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3"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Y23" i="32" l="1"/>
  <c r="Y24" i="32"/>
  <c r="Y22" i="32"/>
  <c r="Y15" i="32"/>
  <c r="Y18" i="32"/>
  <c r="Y16" i="32"/>
  <c r="Y13" i="32"/>
  <c r="Y14" i="32"/>
  <c r="Y12" i="32"/>
  <c r="Y11" i="32"/>
  <c r="Y17" i="32"/>
  <c r="Y8" i="32"/>
  <c r="Y7" i="32"/>
  <c r="Y10" i="32"/>
  <c r="Y9" i="32"/>
  <c r="Y6" i="32"/>
  <c r="Y5" i="32"/>
  <c r="Y20" i="32" l="1"/>
  <c r="Y19" i="32"/>
  <c r="Z20" i="32" l="1"/>
  <c r="Z23" i="32"/>
  <c r="Z24" i="32"/>
  <c r="Z22" i="32"/>
  <c r="Z19" i="32"/>
  <c r="Z15" i="32"/>
  <c r="Z18" i="32"/>
  <c r="Z16" i="32"/>
  <c r="Z13" i="32"/>
  <c r="Z14" i="32"/>
  <c r="Z12" i="32"/>
  <c r="Z11" i="32"/>
  <c r="Z17" i="32"/>
  <c r="Z8" i="32"/>
  <c r="Z7" i="32"/>
  <c r="Z10" i="32"/>
  <c r="Z9" i="32"/>
  <c r="Z6" i="32"/>
  <c r="Z5"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11" i="32"/>
  <c r="AL15" i="32"/>
  <c r="AL16" i="32"/>
  <c r="AL19" i="32"/>
  <c r="AL20" i="32"/>
  <c r="AL22" i="32"/>
  <c r="AL24" i="32"/>
  <c r="AK6" i="32"/>
  <c r="AK8" i="32"/>
  <c r="AK11" i="32"/>
  <c r="AK15" i="32"/>
  <c r="AK16" i="32"/>
  <c r="AK19" i="32"/>
  <c r="AK20" i="32"/>
  <c r="AK22" i="32"/>
  <c r="AK24" i="32"/>
  <c r="AJ6" i="32"/>
  <c r="AJ8" i="32"/>
  <c r="AJ11" i="32"/>
  <c r="AJ15" i="32"/>
  <c r="AJ16" i="32"/>
  <c r="AJ19" i="32"/>
  <c r="AJ20" i="32"/>
  <c r="AJ22" i="32"/>
  <c r="AJ24" i="32"/>
  <c r="AH6" i="32"/>
  <c r="AI6" i="32"/>
  <c r="AH8" i="32"/>
  <c r="AI8" i="32"/>
  <c r="AH11" i="32"/>
  <c r="AI11" i="32"/>
  <c r="AH15" i="32"/>
  <c r="AI15" i="32"/>
  <c r="AH16" i="32"/>
  <c r="AI16" i="32"/>
  <c r="AH19" i="32"/>
  <c r="AI19" i="32"/>
  <c r="AH20" i="32"/>
  <c r="AI20" i="32"/>
  <c r="AH22" i="32"/>
  <c r="AI22" i="32"/>
  <c r="AH24" i="32"/>
  <c r="AI24" i="32"/>
  <c r="AF6" i="32"/>
  <c r="AG6" i="32"/>
  <c r="AF8" i="32"/>
  <c r="AG8" i="32"/>
  <c r="AF11" i="32"/>
  <c r="AG11" i="32"/>
  <c r="AF15" i="32"/>
  <c r="AG15" i="32"/>
  <c r="AF16" i="32"/>
  <c r="AG16" i="32"/>
  <c r="AF19" i="32"/>
  <c r="AG19" i="32"/>
  <c r="AF20" i="32"/>
  <c r="AG20" i="32"/>
  <c r="AF22" i="32"/>
  <c r="AG22" i="32"/>
  <c r="AF24" i="32"/>
  <c r="AG24" i="32"/>
  <c r="P23" i="32"/>
  <c r="P21" i="32"/>
  <c r="AF21" i="32" s="1"/>
  <c r="P7" i="32"/>
  <c r="P5" i="32"/>
  <c r="AN23" i="32" l="1"/>
  <c r="AN7" i="32"/>
  <c r="AM23" i="32"/>
  <c r="AM21" i="32"/>
  <c r="AM7" i="32"/>
  <c r="AN21" i="32"/>
  <c r="AN5" i="32"/>
  <c r="AL21" i="32"/>
  <c r="AM5" i="32"/>
  <c r="AK21" i="32"/>
  <c r="AJ21" i="32"/>
  <c r="AI21" i="32"/>
  <c r="AH21" i="32"/>
  <c r="AG21" i="32"/>
  <c r="R32" i="49" l="1"/>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8" i="49"/>
  <c r="V13" i="49"/>
  <c r="V16" i="49"/>
  <c r="V22" i="49"/>
  <c r="V11" i="49"/>
  <c r="V20" i="49"/>
  <c r="V15" i="49"/>
  <c r="V5" i="49"/>
  <c r="V9" i="49"/>
  <c r="V12" i="49"/>
  <c r="V19" i="49"/>
  <c r="V3" i="49"/>
  <c r="V6" i="49"/>
  <c r="V14" i="49"/>
  <c r="V7" i="49"/>
  <c r="V10" i="49"/>
  <c r="V21" i="49"/>
  <c r="AB11" i="32" l="1"/>
  <c r="AB6" i="32"/>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F9" i="102"/>
  <c r="C9" i="102"/>
  <c r="M9" i="102" s="1"/>
  <c r="J9" i="111"/>
  <c r="J9" i="110"/>
  <c r="J8" i="107"/>
  <c r="C8" i="102"/>
  <c r="M8" i="102" s="1"/>
  <c r="J16" i="111"/>
  <c r="J4" i="110"/>
  <c r="J6" i="107"/>
  <c r="F2" i="102"/>
  <c r="C2" i="102"/>
  <c r="M2" i="102" s="1"/>
  <c r="J18" i="111"/>
  <c r="J14" i="110"/>
  <c r="J19" i="107"/>
  <c r="J5" i="107"/>
  <c r="J5" i="110"/>
  <c r="J14" i="111"/>
  <c r="C5" i="102"/>
  <c r="M5" i="102" s="1"/>
  <c r="J6" i="111"/>
  <c r="J10" i="107"/>
  <c r="J10" i="110"/>
  <c r="C7" i="102"/>
  <c r="M7" i="102" s="1"/>
  <c r="J15" i="110"/>
  <c r="J17" i="107"/>
  <c r="J15" i="111"/>
  <c r="C20" i="102"/>
  <c r="J4" i="111"/>
  <c r="J16" i="110"/>
  <c r="J12" i="107"/>
  <c r="F14" i="102"/>
  <c r="C14" i="102"/>
  <c r="J10" i="111"/>
  <c r="J9" i="107"/>
  <c r="J8" i="110"/>
  <c r="F10" i="102"/>
  <c r="C10" i="102"/>
  <c r="M10" i="102" s="1"/>
  <c r="J13" i="110"/>
  <c r="J18" i="107"/>
  <c r="J17" i="111"/>
  <c r="F6" i="102"/>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0" i="32"/>
  <c r="J22" i="32"/>
  <c r="J23" i="32"/>
  <c r="J24" i="32"/>
  <c r="J5" i="32"/>
  <c r="AF23" i="32" l="1"/>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8" i="83" l="1"/>
  <c r="D19" i="83"/>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1"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0" i="32"/>
  <c r="AQ22" i="32"/>
  <c r="AQ23" i="32"/>
  <c r="AQ24"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12"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0" i="32" l="1"/>
  <c r="F19" i="32"/>
  <c r="F20" i="32"/>
  <c r="F5" i="32"/>
  <c r="F24" i="32"/>
  <c r="F9" i="32"/>
  <c r="F6" i="32"/>
  <c r="F21" i="32"/>
  <c r="D12" i="111" s="1"/>
  <c r="F7" i="32"/>
  <c r="D15" i="111" s="1"/>
  <c r="F13" i="32"/>
  <c r="F11" i="32"/>
  <c r="F23" i="32"/>
  <c r="F15" i="32"/>
  <c r="F14" i="32"/>
  <c r="F18" i="32"/>
  <c r="F17" i="32"/>
  <c r="F8" i="32"/>
  <c r="F22" i="32"/>
  <c r="F16"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<sst xmlns="http://schemas.openxmlformats.org/spreadsheetml/2006/main" count="4186" uniqueCount="881">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</sst>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3">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Coma" xfId="3" builtinId="3"/>
    <cellStyle name="Enllaç" xfId="4" builtinId="8"/>
    <cellStyle name="Excel Built-in Normal" xfId="5"/>
    <cellStyle name="Moneda" xfId="1" builtinId="4"/>
    <cellStyle name="Normal" xfId="0" builtinId="0"/>
    <cellStyle name="Percentatg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1827069456"/>
        <c:axId val="1827067280"/>
      </c:barChart>
      <c:catAx>
        <c:axId val="1827069456"/>
        <c:scaling>
          <c:orientation val="minMax"/>
        </c:scaling>
        <c:delete val="0"/>
        <c:axPos val="b"/>
        <c:numFmt formatCode="General" sourceLinked="1"/>
        <c:majorTickMark val="out"/>
        <c:minorTickMark val="none"/>
        <c:tickLblPos val="nextTo"/>
        <c:crossAx val="1827067280"/>
        <c:crosses val="autoZero"/>
        <c:auto val="1"/>
        <c:lblAlgn val="ctr"/>
        <c:lblOffset val="100"/>
        <c:noMultiLvlLbl val="0"/>
      </c:catAx>
      <c:valAx>
        <c:axId val="1827067280"/>
        <c:scaling>
          <c:orientation val="minMax"/>
        </c:scaling>
        <c:delete val="0"/>
        <c:axPos val="l"/>
        <c:majorGridlines/>
        <c:numFmt formatCode="_-* #,##0\ [$€-C0A]_-;\-* #,##0\ [$€-C0A]_-;_-* &quot;-&quot;??\ [$€-C0A]_-;_-@_-" sourceLinked="1"/>
        <c:majorTickMark val="out"/>
        <c:minorTickMark val="none"/>
        <c:tickLblPos val="nextTo"/>
        <c:crossAx val="18270694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91764496"/>
        <c:axId val="1891755792"/>
      </c:barChart>
      <c:catAx>
        <c:axId val="1891764496"/>
        <c:scaling>
          <c:orientation val="minMax"/>
        </c:scaling>
        <c:delete val="0"/>
        <c:axPos val="b"/>
        <c:numFmt formatCode="General" sourceLinked="1"/>
        <c:majorTickMark val="out"/>
        <c:minorTickMark val="none"/>
        <c:tickLblPos val="nextTo"/>
        <c:crossAx val="1891755792"/>
        <c:crosses val="autoZero"/>
        <c:auto val="1"/>
        <c:lblAlgn val="ctr"/>
        <c:lblOffset val="100"/>
        <c:noMultiLvlLbl val="0"/>
      </c:catAx>
      <c:valAx>
        <c:axId val="1891755792"/>
        <c:scaling>
          <c:orientation val="minMax"/>
        </c:scaling>
        <c:delete val="0"/>
        <c:axPos val="l"/>
        <c:majorGridlines/>
        <c:numFmt formatCode="_-* #,##0\ [$€-C0A]_-;\-* #,##0\ [$€-C0A]_-;_-* &quot;-&quot;??\ [$€-C0A]_-;_-@_-" sourceLinked="1"/>
        <c:majorTickMark val="out"/>
        <c:minorTickMark val="none"/>
        <c:tickLblPos val="nextTo"/>
        <c:crossAx val="1891764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1891763952"/>
        <c:axId val="1891765040"/>
      </c:barChart>
      <c:catAx>
        <c:axId val="1891763952"/>
        <c:scaling>
          <c:orientation val="minMax"/>
        </c:scaling>
        <c:delete val="0"/>
        <c:axPos val="b"/>
        <c:numFmt formatCode="General" sourceLinked="1"/>
        <c:majorTickMark val="out"/>
        <c:minorTickMark val="none"/>
        <c:tickLblPos val="nextTo"/>
        <c:crossAx val="1891765040"/>
        <c:crosses val="autoZero"/>
        <c:auto val="1"/>
        <c:lblAlgn val="ctr"/>
        <c:lblOffset val="100"/>
        <c:noMultiLvlLbl val="0"/>
      </c:catAx>
      <c:valAx>
        <c:axId val="1891765040"/>
        <c:scaling>
          <c:orientation val="minMax"/>
        </c:scaling>
        <c:delete val="0"/>
        <c:axPos val="l"/>
        <c:majorGridlines/>
        <c:numFmt formatCode="_-* #,##0\ [$€-C0A]_-;\-* #,##0\ [$€-C0A]_-;_-* &quot;-&quot;??\ [$€-C0A]_-;_-@_-" sourceLinked="1"/>
        <c:majorTickMark val="out"/>
        <c:minorTickMark val="none"/>
        <c:tickLblPos val="nextTo"/>
        <c:crossAx val="18917639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91757968"/>
        <c:axId val="1891766672"/>
      </c:barChart>
      <c:catAx>
        <c:axId val="1891757968"/>
        <c:scaling>
          <c:orientation val="minMax"/>
        </c:scaling>
        <c:delete val="0"/>
        <c:axPos val="b"/>
        <c:numFmt formatCode="General" sourceLinked="1"/>
        <c:majorTickMark val="out"/>
        <c:minorTickMark val="none"/>
        <c:tickLblPos val="nextTo"/>
        <c:crossAx val="1891766672"/>
        <c:crosses val="autoZero"/>
        <c:auto val="1"/>
        <c:lblAlgn val="ctr"/>
        <c:lblOffset val="100"/>
        <c:noMultiLvlLbl val="0"/>
      </c:catAx>
      <c:valAx>
        <c:axId val="1891766672"/>
        <c:scaling>
          <c:orientation val="minMax"/>
        </c:scaling>
        <c:delete val="0"/>
        <c:axPos val="l"/>
        <c:majorGridlines/>
        <c:numFmt formatCode="_-* #,##0\ [$€-C0A]_-;\-* #,##0\ [$€-C0A]_-;_-* &quot;-&quot;??\ [$€-C0A]_-;_-@_-" sourceLinked="1"/>
        <c:majorTickMark val="out"/>
        <c:minorTickMark val="none"/>
        <c:tickLblPos val="nextTo"/>
        <c:crossAx val="18917579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1891767760"/>
        <c:axId val="1891769936"/>
      </c:barChart>
      <c:catAx>
        <c:axId val="1891767760"/>
        <c:scaling>
          <c:orientation val="minMax"/>
        </c:scaling>
        <c:delete val="0"/>
        <c:axPos val="b"/>
        <c:numFmt formatCode="General" sourceLinked="1"/>
        <c:majorTickMark val="out"/>
        <c:minorTickMark val="none"/>
        <c:tickLblPos val="nextTo"/>
        <c:crossAx val="1891769936"/>
        <c:crosses val="autoZero"/>
        <c:auto val="1"/>
        <c:lblAlgn val="ctr"/>
        <c:lblOffset val="100"/>
        <c:noMultiLvlLbl val="0"/>
      </c:catAx>
      <c:valAx>
        <c:axId val="1891769936"/>
        <c:scaling>
          <c:orientation val="minMax"/>
        </c:scaling>
        <c:delete val="0"/>
        <c:axPos val="l"/>
        <c:majorGridlines/>
        <c:numFmt formatCode="_-* #,##0\ [$€-C0A]_-;\-* #,##0\ [$€-C0A]_-;_-* &quot;-&quot;??\ [$€-C0A]_-;_-@_-" sourceLinked="1"/>
        <c:majorTickMark val="out"/>
        <c:minorTickMark val="none"/>
        <c:tickLblPos val="nextTo"/>
        <c:crossAx val="18917677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1893025456"/>
        <c:axId val="1893024368"/>
      </c:barChart>
      <c:catAx>
        <c:axId val="1893025456"/>
        <c:scaling>
          <c:orientation val="minMax"/>
        </c:scaling>
        <c:delete val="0"/>
        <c:axPos val="b"/>
        <c:numFmt formatCode="General" sourceLinked="1"/>
        <c:majorTickMark val="out"/>
        <c:minorTickMark val="none"/>
        <c:tickLblPos val="nextTo"/>
        <c:crossAx val="1893024368"/>
        <c:crosses val="autoZero"/>
        <c:auto val="1"/>
        <c:lblAlgn val="ctr"/>
        <c:lblOffset val="100"/>
        <c:noMultiLvlLbl val="0"/>
      </c:catAx>
      <c:valAx>
        <c:axId val="1893024368"/>
        <c:scaling>
          <c:orientation val="minMax"/>
        </c:scaling>
        <c:delete val="0"/>
        <c:axPos val="l"/>
        <c:majorGridlines/>
        <c:numFmt formatCode="_-* #,##0\ [$€-C0A]_-;\-* #,##0\ [$€-C0A]_-;_-* &quot;-&quot;??\ [$€-C0A]_-;_-@_-" sourceLinked="1"/>
        <c:majorTickMark val="out"/>
        <c:minorTickMark val="none"/>
        <c:tickLblPos val="nextTo"/>
        <c:crossAx val="18930254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1893033072"/>
        <c:axId val="1893026544"/>
      </c:barChart>
      <c:catAx>
        <c:axId val="1893033072"/>
        <c:scaling>
          <c:orientation val="minMax"/>
        </c:scaling>
        <c:delete val="0"/>
        <c:axPos val="b"/>
        <c:numFmt formatCode="General" sourceLinked="1"/>
        <c:majorTickMark val="out"/>
        <c:minorTickMark val="none"/>
        <c:tickLblPos val="nextTo"/>
        <c:crossAx val="1893026544"/>
        <c:crosses val="autoZero"/>
        <c:auto val="1"/>
        <c:lblAlgn val="ctr"/>
        <c:lblOffset val="100"/>
        <c:noMultiLvlLbl val="0"/>
      </c:catAx>
      <c:valAx>
        <c:axId val="1893026544"/>
        <c:scaling>
          <c:orientation val="minMax"/>
        </c:scaling>
        <c:delete val="0"/>
        <c:axPos val="l"/>
        <c:majorGridlines/>
        <c:numFmt formatCode="_-* #,##0\ [$€-C0A]_-;\-* #,##0\ [$€-C0A]_-;_-* &quot;-&quot;??\ [$€-C0A]_-;_-@_-" sourceLinked="1"/>
        <c:majorTickMark val="out"/>
        <c:minorTickMark val="none"/>
        <c:tickLblPos val="nextTo"/>
        <c:crossAx val="18930330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93031984"/>
        <c:axId val="1893018384"/>
      </c:barChart>
      <c:catAx>
        <c:axId val="1893031984"/>
        <c:scaling>
          <c:orientation val="minMax"/>
        </c:scaling>
        <c:delete val="0"/>
        <c:axPos val="b"/>
        <c:numFmt formatCode="General" sourceLinked="1"/>
        <c:majorTickMark val="out"/>
        <c:minorTickMark val="none"/>
        <c:tickLblPos val="nextTo"/>
        <c:crossAx val="1893018384"/>
        <c:crosses val="autoZero"/>
        <c:auto val="1"/>
        <c:lblAlgn val="ctr"/>
        <c:lblOffset val="100"/>
        <c:noMultiLvlLbl val="0"/>
      </c:catAx>
      <c:valAx>
        <c:axId val="1893018384"/>
        <c:scaling>
          <c:orientation val="minMax"/>
        </c:scaling>
        <c:delete val="0"/>
        <c:axPos val="l"/>
        <c:majorGridlines/>
        <c:numFmt formatCode="_-* #,##0\ [$€-C0A]_-;\-* #,##0\ [$€-C0A]_-;_-* &quot;-&quot;??\ [$€-C0A]_-;_-@_-" sourceLinked="1"/>
        <c:majorTickMark val="out"/>
        <c:minorTickMark val="none"/>
        <c:tickLblPos val="nextTo"/>
        <c:crossAx val="18930319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93022736"/>
        <c:axId val="1893030352"/>
      </c:barChart>
      <c:catAx>
        <c:axId val="1893022736"/>
        <c:scaling>
          <c:orientation val="minMax"/>
        </c:scaling>
        <c:delete val="0"/>
        <c:axPos val="b"/>
        <c:numFmt formatCode="General" sourceLinked="1"/>
        <c:majorTickMark val="out"/>
        <c:minorTickMark val="none"/>
        <c:tickLblPos val="nextTo"/>
        <c:crossAx val="1893030352"/>
        <c:crosses val="autoZero"/>
        <c:auto val="1"/>
        <c:lblAlgn val="ctr"/>
        <c:lblOffset val="100"/>
        <c:noMultiLvlLbl val="0"/>
      </c:catAx>
      <c:valAx>
        <c:axId val="1893030352"/>
        <c:scaling>
          <c:orientation val="minMax"/>
        </c:scaling>
        <c:delete val="0"/>
        <c:axPos val="l"/>
        <c:majorGridlines/>
        <c:numFmt formatCode="_-* #,##0\ [$€-C0A]_-;\-* #,##0\ [$€-C0A]_-;_-* &quot;-&quot;??\ [$€-C0A]_-;_-@_-" sourceLinked="1"/>
        <c:majorTickMark val="out"/>
        <c:minorTickMark val="none"/>
        <c:tickLblPos val="nextTo"/>
        <c:crossAx val="18930227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93024912"/>
        <c:axId val="1893027632"/>
      </c:barChart>
      <c:catAx>
        <c:axId val="1893024912"/>
        <c:scaling>
          <c:orientation val="minMax"/>
        </c:scaling>
        <c:delete val="0"/>
        <c:axPos val="b"/>
        <c:numFmt formatCode="General" sourceLinked="1"/>
        <c:majorTickMark val="out"/>
        <c:minorTickMark val="none"/>
        <c:tickLblPos val="nextTo"/>
        <c:crossAx val="1893027632"/>
        <c:crosses val="autoZero"/>
        <c:auto val="1"/>
        <c:lblAlgn val="ctr"/>
        <c:lblOffset val="100"/>
        <c:noMultiLvlLbl val="0"/>
      </c:catAx>
      <c:valAx>
        <c:axId val="1893027632"/>
        <c:scaling>
          <c:orientation val="minMax"/>
        </c:scaling>
        <c:delete val="0"/>
        <c:axPos val="l"/>
        <c:majorGridlines/>
        <c:numFmt formatCode="_-* #,##0\ [$€-C0A]_-;\-* #,##0\ [$€-C0A]_-;_-* &quot;-&quot;??\ [$€-C0A]_-;_-@_-" sourceLinked="1"/>
        <c:majorTickMark val="out"/>
        <c:minorTickMark val="none"/>
        <c:tickLblPos val="nextTo"/>
        <c:crossAx val="18930249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1893022192"/>
        <c:axId val="1893029808"/>
      </c:barChart>
      <c:catAx>
        <c:axId val="1893022192"/>
        <c:scaling>
          <c:orientation val="minMax"/>
        </c:scaling>
        <c:delete val="0"/>
        <c:axPos val="b"/>
        <c:numFmt formatCode="General" sourceLinked="1"/>
        <c:majorTickMark val="out"/>
        <c:minorTickMark val="none"/>
        <c:tickLblPos val="nextTo"/>
        <c:crossAx val="1893029808"/>
        <c:crosses val="autoZero"/>
        <c:auto val="1"/>
        <c:lblAlgn val="ctr"/>
        <c:lblOffset val="100"/>
        <c:noMultiLvlLbl val="0"/>
      </c:catAx>
      <c:valAx>
        <c:axId val="1893029808"/>
        <c:scaling>
          <c:orientation val="minMax"/>
        </c:scaling>
        <c:delete val="0"/>
        <c:axPos val="l"/>
        <c:majorGridlines/>
        <c:numFmt formatCode="_-* #,##0\ [$€-C0A]_-;\-* #,##0\ [$€-C0A]_-;_-* &quot;-&quot;??\ [$€-C0A]_-;_-@_-" sourceLinked="1"/>
        <c:majorTickMark val="out"/>
        <c:minorTickMark val="none"/>
        <c:tickLblPos val="nextTo"/>
        <c:crossAx val="18930221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27078704"/>
        <c:axId val="1827066192"/>
      </c:barChart>
      <c:catAx>
        <c:axId val="1827078704"/>
        <c:scaling>
          <c:orientation val="minMax"/>
        </c:scaling>
        <c:delete val="0"/>
        <c:axPos val="b"/>
        <c:numFmt formatCode="General" sourceLinked="1"/>
        <c:majorTickMark val="out"/>
        <c:minorTickMark val="none"/>
        <c:tickLblPos val="nextTo"/>
        <c:crossAx val="1827066192"/>
        <c:crosses val="autoZero"/>
        <c:auto val="1"/>
        <c:lblAlgn val="ctr"/>
        <c:lblOffset val="100"/>
        <c:noMultiLvlLbl val="0"/>
      </c:catAx>
      <c:valAx>
        <c:axId val="1827066192"/>
        <c:scaling>
          <c:orientation val="minMax"/>
        </c:scaling>
        <c:delete val="0"/>
        <c:axPos val="l"/>
        <c:majorGridlines/>
        <c:numFmt formatCode="_-* #,##0\ [$€-C0A]_-;\-* #,##0\ [$€-C0A]_-;_-* &quot;-&quot;??\ [$€-C0A]_-;_-@_-" sourceLinked="1"/>
        <c:majorTickMark val="out"/>
        <c:minorTickMark val="none"/>
        <c:tickLblPos val="nextTo"/>
        <c:crossAx val="18270787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93030896"/>
        <c:axId val="1893018928"/>
      </c:barChart>
      <c:catAx>
        <c:axId val="1893030896"/>
        <c:scaling>
          <c:orientation val="minMax"/>
        </c:scaling>
        <c:delete val="0"/>
        <c:axPos val="b"/>
        <c:numFmt formatCode="General" sourceLinked="1"/>
        <c:majorTickMark val="out"/>
        <c:minorTickMark val="none"/>
        <c:tickLblPos val="nextTo"/>
        <c:crossAx val="1893018928"/>
        <c:crosses val="autoZero"/>
        <c:auto val="1"/>
        <c:lblAlgn val="ctr"/>
        <c:lblOffset val="100"/>
        <c:noMultiLvlLbl val="0"/>
      </c:catAx>
      <c:valAx>
        <c:axId val="1893018928"/>
        <c:scaling>
          <c:orientation val="minMax"/>
        </c:scaling>
        <c:delete val="0"/>
        <c:axPos val="l"/>
        <c:majorGridlines/>
        <c:numFmt formatCode="_-* #,##0\ [$€-C0A]_-;\-* #,##0\ [$€-C0A]_-;_-* &quot;-&quot;??\ [$€-C0A]_-;_-@_-" sourceLinked="1"/>
        <c:majorTickMark val="out"/>
        <c:minorTickMark val="none"/>
        <c:tickLblPos val="nextTo"/>
        <c:crossAx val="18930308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1898007520"/>
        <c:axId val="1897994464"/>
      </c:barChart>
      <c:catAx>
        <c:axId val="1898007520"/>
        <c:scaling>
          <c:orientation val="minMax"/>
        </c:scaling>
        <c:delete val="0"/>
        <c:axPos val="b"/>
        <c:numFmt formatCode="General" sourceLinked="1"/>
        <c:majorTickMark val="out"/>
        <c:minorTickMark val="none"/>
        <c:tickLblPos val="nextTo"/>
        <c:crossAx val="1897994464"/>
        <c:crosses val="autoZero"/>
        <c:auto val="1"/>
        <c:lblAlgn val="ctr"/>
        <c:lblOffset val="100"/>
        <c:noMultiLvlLbl val="0"/>
      </c:catAx>
      <c:valAx>
        <c:axId val="1897994464"/>
        <c:scaling>
          <c:orientation val="minMax"/>
        </c:scaling>
        <c:delete val="0"/>
        <c:axPos val="l"/>
        <c:majorGridlines/>
        <c:numFmt formatCode="_-* #,##0\ [$€-C0A]_-;\-* #,##0\ [$€-C0A]_-;_-* &quot;-&quot;??\ [$€-C0A]_-;_-@_-" sourceLinked="1"/>
        <c:majorTickMark val="out"/>
        <c:minorTickMark val="none"/>
        <c:tickLblPos val="nextTo"/>
        <c:crossAx val="18980075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98000992"/>
        <c:axId val="1898003712"/>
      </c:barChart>
      <c:catAx>
        <c:axId val="1898000992"/>
        <c:scaling>
          <c:orientation val="minMax"/>
        </c:scaling>
        <c:delete val="0"/>
        <c:axPos val="b"/>
        <c:numFmt formatCode="General" sourceLinked="1"/>
        <c:majorTickMark val="out"/>
        <c:minorTickMark val="none"/>
        <c:tickLblPos val="nextTo"/>
        <c:crossAx val="1898003712"/>
        <c:crosses val="autoZero"/>
        <c:auto val="1"/>
        <c:lblAlgn val="ctr"/>
        <c:lblOffset val="100"/>
        <c:noMultiLvlLbl val="0"/>
      </c:catAx>
      <c:valAx>
        <c:axId val="1898003712"/>
        <c:scaling>
          <c:orientation val="minMax"/>
        </c:scaling>
        <c:delete val="0"/>
        <c:axPos val="l"/>
        <c:majorGridlines/>
        <c:numFmt formatCode="_-* #,##0\ [$€-C0A]_-;\-* #,##0\ [$€-C0A]_-;_-* &quot;-&quot;??\ [$€-C0A]_-;_-@_-" sourceLinked="1"/>
        <c:majorTickMark val="out"/>
        <c:minorTickMark val="none"/>
        <c:tickLblPos val="nextTo"/>
        <c:crossAx val="18980009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1897998272"/>
        <c:axId val="1898004800"/>
      </c:lineChart>
      <c:catAx>
        <c:axId val="1897998272"/>
        <c:scaling>
          <c:orientation val="minMax"/>
        </c:scaling>
        <c:delete val="0"/>
        <c:axPos val="b"/>
        <c:numFmt formatCode="General" sourceLinked="0"/>
        <c:majorTickMark val="out"/>
        <c:minorTickMark val="none"/>
        <c:tickLblPos val="nextTo"/>
        <c:crossAx val="1898004800"/>
        <c:crosses val="autoZero"/>
        <c:auto val="1"/>
        <c:lblAlgn val="ctr"/>
        <c:lblOffset val="100"/>
        <c:noMultiLvlLbl val="0"/>
      </c:catAx>
      <c:valAx>
        <c:axId val="1898004800"/>
        <c:scaling>
          <c:orientation val="minMax"/>
          <c:min val="0"/>
        </c:scaling>
        <c:delete val="0"/>
        <c:axPos val="l"/>
        <c:majorGridlines/>
        <c:numFmt formatCode="General" sourceLinked="1"/>
        <c:majorTickMark val="out"/>
        <c:minorTickMark val="none"/>
        <c:tickLblPos val="nextTo"/>
        <c:crossAx val="189799827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27071088"/>
        <c:axId val="1827079792"/>
      </c:barChart>
      <c:catAx>
        <c:axId val="1827071088"/>
        <c:scaling>
          <c:orientation val="minMax"/>
        </c:scaling>
        <c:delete val="0"/>
        <c:axPos val="b"/>
        <c:numFmt formatCode="General" sourceLinked="1"/>
        <c:majorTickMark val="out"/>
        <c:minorTickMark val="none"/>
        <c:tickLblPos val="nextTo"/>
        <c:crossAx val="1827079792"/>
        <c:crosses val="autoZero"/>
        <c:auto val="1"/>
        <c:lblAlgn val="ctr"/>
        <c:lblOffset val="100"/>
        <c:noMultiLvlLbl val="0"/>
      </c:catAx>
      <c:valAx>
        <c:axId val="1827079792"/>
        <c:scaling>
          <c:orientation val="minMax"/>
        </c:scaling>
        <c:delete val="0"/>
        <c:axPos val="l"/>
        <c:majorGridlines/>
        <c:numFmt formatCode="_-* #,##0\ [$€-C0A]_-;\-* #,##0\ [$€-C0A]_-;_-* &quot;-&quot;??\ [$€-C0A]_-;_-@_-" sourceLinked="1"/>
        <c:majorTickMark val="out"/>
        <c:minorTickMark val="none"/>
        <c:tickLblPos val="nextTo"/>
        <c:crossAx val="18270710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27067824"/>
        <c:axId val="1827070000"/>
      </c:barChart>
      <c:catAx>
        <c:axId val="1827067824"/>
        <c:scaling>
          <c:orientation val="minMax"/>
        </c:scaling>
        <c:delete val="0"/>
        <c:axPos val="b"/>
        <c:numFmt formatCode="General" sourceLinked="1"/>
        <c:majorTickMark val="out"/>
        <c:minorTickMark val="none"/>
        <c:tickLblPos val="nextTo"/>
        <c:crossAx val="1827070000"/>
        <c:crosses val="autoZero"/>
        <c:auto val="1"/>
        <c:lblAlgn val="ctr"/>
        <c:lblOffset val="100"/>
        <c:noMultiLvlLbl val="0"/>
      </c:catAx>
      <c:valAx>
        <c:axId val="1827070000"/>
        <c:scaling>
          <c:orientation val="minMax"/>
        </c:scaling>
        <c:delete val="0"/>
        <c:axPos val="l"/>
        <c:majorGridlines/>
        <c:numFmt formatCode="_-* #,##0\ [$€-C0A]_-;\-* #,##0\ [$€-C0A]_-;_-* &quot;-&quot;??\ [$€-C0A]_-;_-@_-" sourceLinked="1"/>
        <c:majorTickMark val="out"/>
        <c:minorTickMark val="none"/>
        <c:tickLblPos val="nextTo"/>
        <c:crossAx val="18270678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1827071632"/>
        <c:axId val="1827072176"/>
      </c:barChart>
      <c:catAx>
        <c:axId val="1827071632"/>
        <c:scaling>
          <c:orientation val="minMax"/>
        </c:scaling>
        <c:delete val="0"/>
        <c:axPos val="b"/>
        <c:numFmt formatCode="General" sourceLinked="1"/>
        <c:majorTickMark val="out"/>
        <c:minorTickMark val="none"/>
        <c:tickLblPos val="nextTo"/>
        <c:crossAx val="1827072176"/>
        <c:crosses val="autoZero"/>
        <c:auto val="1"/>
        <c:lblAlgn val="ctr"/>
        <c:lblOffset val="100"/>
        <c:noMultiLvlLbl val="0"/>
      </c:catAx>
      <c:valAx>
        <c:axId val="1827072176"/>
        <c:scaling>
          <c:orientation val="minMax"/>
        </c:scaling>
        <c:delete val="0"/>
        <c:axPos val="l"/>
        <c:majorGridlines/>
        <c:numFmt formatCode="_-* #,##0\ [$€-C0A]_-;\-* #,##0\ [$€-C0A]_-;_-* &quot;-&quot;??\ [$€-C0A]_-;_-@_-" sourceLinked="1"/>
        <c:majorTickMark val="out"/>
        <c:minorTickMark val="none"/>
        <c:tickLblPos val="nextTo"/>
        <c:crossAx val="18270716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27073808"/>
        <c:axId val="1568783520"/>
      </c:barChart>
      <c:catAx>
        <c:axId val="1827073808"/>
        <c:scaling>
          <c:orientation val="minMax"/>
        </c:scaling>
        <c:delete val="0"/>
        <c:axPos val="b"/>
        <c:numFmt formatCode="General" sourceLinked="1"/>
        <c:majorTickMark val="out"/>
        <c:minorTickMark val="none"/>
        <c:tickLblPos val="nextTo"/>
        <c:crossAx val="1568783520"/>
        <c:crosses val="autoZero"/>
        <c:auto val="1"/>
        <c:lblAlgn val="ctr"/>
        <c:lblOffset val="100"/>
        <c:noMultiLvlLbl val="0"/>
      </c:catAx>
      <c:valAx>
        <c:axId val="1568783520"/>
        <c:scaling>
          <c:orientation val="minMax"/>
        </c:scaling>
        <c:delete val="0"/>
        <c:axPos val="l"/>
        <c:majorGridlines/>
        <c:numFmt formatCode="_-* #,##0\ [$€-C0A]_-;\-* #,##0\ [$€-C0A]_-;_-* &quot;-&quot;??\ [$€-C0A]_-;_-@_-" sourceLinked="1"/>
        <c:majorTickMark val="out"/>
        <c:minorTickMark val="none"/>
        <c:tickLblPos val="nextTo"/>
        <c:crossAx val="18270738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91761776"/>
        <c:axId val="1891761232"/>
      </c:barChart>
      <c:catAx>
        <c:axId val="1891761776"/>
        <c:scaling>
          <c:orientation val="minMax"/>
        </c:scaling>
        <c:delete val="0"/>
        <c:axPos val="b"/>
        <c:numFmt formatCode="General" sourceLinked="1"/>
        <c:majorTickMark val="out"/>
        <c:minorTickMark val="none"/>
        <c:tickLblPos val="nextTo"/>
        <c:crossAx val="1891761232"/>
        <c:crosses val="autoZero"/>
        <c:auto val="1"/>
        <c:lblAlgn val="ctr"/>
        <c:lblOffset val="100"/>
        <c:noMultiLvlLbl val="0"/>
      </c:catAx>
      <c:valAx>
        <c:axId val="1891761232"/>
        <c:scaling>
          <c:orientation val="minMax"/>
        </c:scaling>
        <c:delete val="0"/>
        <c:axPos val="l"/>
        <c:majorGridlines/>
        <c:numFmt formatCode="_-* #,##0\ [$€-C0A]_-;\-* #,##0\ [$€-C0A]_-;_-* &quot;-&quot;??\ [$€-C0A]_-;_-@_-" sourceLinked="1"/>
        <c:majorTickMark val="out"/>
        <c:minorTickMark val="none"/>
        <c:tickLblPos val="nextTo"/>
        <c:crossAx val="18917617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1891768304"/>
        <c:axId val="1891756336"/>
      </c:barChart>
      <c:catAx>
        <c:axId val="1891768304"/>
        <c:scaling>
          <c:orientation val="minMax"/>
        </c:scaling>
        <c:delete val="0"/>
        <c:axPos val="b"/>
        <c:numFmt formatCode="General" sourceLinked="1"/>
        <c:majorTickMark val="out"/>
        <c:minorTickMark val="none"/>
        <c:tickLblPos val="nextTo"/>
        <c:crossAx val="1891756336"/>
        <c:crosses val="autoZero"/>
        <c:auto val="1"/>
        <c:lblAlgn val="ctr"/>
        <c:lblOffset val="100"/>
        <c:noMultiLvlLbl val="0"/>
      </c:catAx>
      <c:valAx>
        <c:axId val="1891756336"/>
        <c:scaling>
          <c:orientation val="minMax"/>
        </c:scaling>
        <c:delete val="0"/>
        <c:axPos val="l"/>
        <c:majorGridlines/>
        <c:numFmt formatCode="_-* #,##0\ [$€-C0A]_-;\-* #,##0\ [$€-C0A]_-;_-* &quot;-&quot;??\ [$€-C0A]_-;_-@_-" sourceLinked="1"/>
        <c:majorTickMark val="out"/>
        <c:minorTickMark val="none"/>
        <c:tickLblPos val="nextTo"/>
        <c:crossAx val="18917683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1891755248"/>
        <c:axId val="1891762320"/>
      </c:barChart>
      <c:catAx>
        <c:axId val="1891755248"/>
        <c:scaling>
          <c:orientation val="minMax"/>
        </c:scaling>
        <c:delete val="0"/>
        <c:axPos val="b"/>
        <c:numFmt formatCode="General" sourceLinked="1"/>
        <c:majorTickMark val="out"/>
        <c:minorTickMark val="none"/>
        <c:tickLblPos val="nextTo"/>
        <c:crossAx val="1891762320"/>
        <c:crosses val="autoZero"/>
        <c:auto val="1"/>
        <c:lblAlgn val="ctr"/>
        <c:lblOffset val="100"/>
        <c:noMultiLvlLbl val="0"/>
      </c:catAx>
      <c:valAx>
        <c:axId val="1891762320"/>
        <c:scaling>
          <c:orientation val="minMax"/>
        </c:scaling>
        <c:delete val="0"/>
        <c:axPos val="l"/>
        <c:majorGridlines/>
        <c:numFmt formatCode="_-* #,##0\ [$€-C0A]_-;\-* #,##0\ [$€-C0A]_-;_-* &quot;-&quot;??\ [$€-C0A]_-;_-@_-" sourceLinked="1"/>
        <c:majorTickMark val="out"/>
        <c:minorTickMark val="none"/>
        <c:tickLblPos val="nextTo"/>
        <c:crossAx val="18917552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43105</v>
      </c>
      <c r="D1" s="681">
        <v>41471</v>
      </c>
      <c r="E1" s="681"/>
      <c r="F1" s="681"/>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1705</v>
      </c>
      <c r="G5" s="593">
        <f ca="1">F5/112</f>
        <v>15.223214285714286</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1705</v>
      </c>
      <c r="G6" s="593">
        <f t="shared" ref="G6:G20" ca="1" si="1">F6/112</f>
        <v>15.223214285714286</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1586</v>
      </c>
      <c r="G7" s="593">
        <f t="shared" ca="1" si="1"/>
        <v>14.160714285714286</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1578</v>
      </c>
      <c r="G8" s="593">
        <f t="shared" ca="1" si="1"/>
        <v>14.089285714285714</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1566</v>
      </c>
      <c r="G9" s="593">
        <f t="shared" ca="1" si="1"/>
        <v>13.982142857142858</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1553</v>
      </c>
      <c r="G10" s="593">
        <f t="shared" ca="1" si="1"/>
        <v>13.866071428571429</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1522</v>
      </c>
      <c r="G11" s="593">
        <f t="shared" ca="1" si="1"/>
        <v>13.589285714285714</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1452</v>
      </c>
      <c r="G12" s="593">
        <f t="shared" ca="1" si="1"/>
        <v>12.964285714285714</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1441</v>
      </c>
      <c r="G13" s="593">
        <f t="shared" ca="1" si="1"/>
        <v>12.866071428571429</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1419</v>
      </c>
      <c r="G14" s="593">
        <f t="shared" ca="1" si="1"/>
        <v>12.669642857142858</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1383</v>
      </c>
      <c r="G15" s="593">
        <f t="shared" ca="1" si="1"/>
        <v>12.348214285714286</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1368</v>
      </c>
      <c r="G16" s="593">
        <f t="shared" ca="1" si="1"/>
        <v>12.214285714285714</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1358</v>
      </c>
      <c r="G17" s="593">
        <f t="shared" ca="1" si="1"/>
        <v>12.125</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1194</v>
      </c>
      <c r="G18" s="593">
        <f t="shared" ca="1" si="1"/>
        <v>10.660714285714286</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1132</v>
      </c>
      <c r="G19" s="593">
        <f t="shared" ca="1" si="1"/>
        <v>10.107142857142858</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999</v>
      </c>
      <c r="G20" s="593">
        <f t="shared" ca="1" si="1"/>
        <v>8.9196428571428577</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1"/>
      <c r="T1" s="691"/>
      <c r="U1" s="691"/>
      <c r="V1" s="178"/>
      <c r="W1" s="691" t="s">
        <v>530</v>
      </c>
      <c r="X1" s="691"/>
      <c r="Z1" s="414">
        <f>S2+T2+U2+V2+W2+X2+Z2</f>
        <v>1</v>
      </c>
      <c r="AQ1" s="691" t="s">
        <v>603</v>
      </c>
      <c r="AR1" s="691"/>
      <c r="AS1" s="691"/>
      <c r="AT1" s="691"/>
      <c r="AU1" s="691"/>
      <c r="AV1" s="691"/>
      <c r="AW1" s="691"/>
      <c r="AX1" s="691"/>
      <c r="AY1" s="691"/>
      <c r="AZ1" s="691"/>
      <c r="BA1" s="691"/>
      <c r="BB1" s="691"/>
      <c r="BC1" s="691"/>
      <c r="BS1" s="439" t="s">
        <v>605</v>
      </c>
      <c r="BT1" s="439" t="s">
        <v>176</v>
      </c>
      <c r="BU1" s="439" t="s">
        <v>606</v>
      </c>
      <c r="BV1" s="440" t="s">
        <v>607</v>
      </c>
      <c r="BW1" s="438" t="s">
        <v>608</v>
      </c>
      <c r="BX1" s="438" t="s">
        <v>609</v>
      </c>
    </row>
    <row r="2" spans="1:76" s="249" customFormat="1" ht="18.75" x14ac:dyDescent="0.3">
      <c r="C2" s="250"/>
      <c r="D2" s="421">
        <f ca="1">TODAY()</f>
        <v>43105</v>
      </c>
      <c r="E2" s="681">
        <v>41471</v>
      </c>
      <c r="F2" s="681"/>
      <c r="G2" s="681"/>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2" t="s">
        <v>719</v>
      </c>
      <c r="AR3" s="693"/>
      <c r="AS3" s="331" t="s">
        <v>467</v>
      </c>
      <c r="AT3" s="331" t="s">
        <v>468</v>
      </c>
      <c r="AU3" s="331" t="s">
        <v>489</v>
      </c>
      <c r="AV3" s="331" t="s">
        <v>469</v>
      </c>
      <c r="AW3" s="331" t="s">
        <v>470</v>
      </c>
      <c r="AX3" s="331" t="s">
        <v>471</v>
      </c>
      <c r="AY3" s="331" t="s">
        <v>472</v>
      </c>
      <c r="AZ3" s="331" t="s">
        <v>734</v>
      </c>
      <c r="BA3" s="331" t="s">
        <v>735</v>
      </c>
      <c r="BB3" s="331" t="s">
        <v>565</v>
      </c>
      <c r="BC3" s="331" t="s">
        <v>604</v>
      </c>
      <c r="BE3" s="692" t="s">
        <v>721</v>
      </c>
      <c r="BF3" s="693"/>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2.7589285714285716</v>
      </c>
      <c r="D4" s="294" t="str">
        <f>PLANTILLA!D5</f>
        <v>D. Gehmacher</v>
      </c>
      <c r="E4" s="387">
        <f>PLANTILLA!E5</f>
        <v>30</v>
      </c>
      <c r="F4" s="395">
        <f ca="1">PLANTILLA!F5</f>
        <v>27</v>
      </c>
      <c r="G4" s="388"/>
      <c r="H4" s="403">
        <v>7</v>
      </c>
      <c r="I4" s="308">
        <f>PLANTILLA!I5</f>
        <v>18.100000000000001</v>
      </c>
      <c r="J4" s="486">
        <f>PLANTILLA!X5</f>
        <v>16.666666666666668</v>
      </c>
      <c r="K4" s="486">
        <f>PLANTILLA!Y5</f>
        <v>12.080559440559444</v>
      </c>
      <c r="L4" s="486">
        <f>PLANTILLA!Z5</f>
        <v>2.0499999999999989</v>
      </c>
      <c r="M4" s="486">
        <f>PLANTILLA!AA5</f>
        <v>2.1399999999999992</v>
      </c>
      <c r="N4" s="486">
        <f>PLANTILLA!AB5</f>
        <v>1.0400000000000003</v>
      </c>
      <c r="O4" s="486">
        <f>PLANTILLA!AC5</f>
        <v>0.14055555555555557</v>
      </c>
      <c r="P4" s="486">
        <f>PLANTILLA!AD5</f>
        <v>17.849999999999998</v>
      </c>
      <c r="Q4" s="411">
        <f t="shared" ref="Q4:Q23" si="4">E4</f>
        <v>30</v>
      </c>
      <c r="R4" s="412">
        <f t="shared" ref="R4:R23" ca="1" si="5">F4+7</f>
        <v>34</v>
      </c>
      <c r="S4" s="180"/>
      <c r="T4" s="180"/>
      <c r="U4" s="180"/>
      <c r="V4" s="180"/>
      <c r="W4" s="180"/>
      <c r="X4" s="180"/>
      <c r="Y4" s="180"/>
      <c r="Z4" s="180"/>
      <c r="AA4" s="296">
        <f t="shared" ref="AA4:AA23" si="6">I4+$AA$2</f>
        <v>18.100000000000001</v>
      </c>
      <c r="AB4" s="506">
        <f>J4+(S4*S$2/15)</f>
        <v>16.666666666666668</v>
      </c>
      <c r="AC4" s="506">
        <f>K4+(T$2/11)</f>
        <v>12.080559440559444</v>
      </c>
      <c r="AD4" s="506">
        <f>L4+(U$2/18)</f>
        <v>2.0499999999999989</v>
      </c>
      <c r="AE4" s="506">
        <f>M4+(V$2/12)</f>
        <v>2.1399999999999992</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-1.3214285714285714</v>
      </c>
      <c r="D5" s="386" t="s">
        <v>267</v>
      </c>
      <c r="E5" s="387">
        <f>PLANTILLA!E6</f>
        <v>34</v>
      </c>
      <c r="F5" s="387">
        <f ca="1">PLANTILLA!F6</f>
        <v>36</v>
      </c>
      <c r="G5" s="388" t="s">
        <v>502</v>
      </c>
      <c r="H5" s="371">
        <v>4</v>
      </c>
      <c r="I5" s="308">
        <f>PLANTILLA!I6</f>
        <v>7.8</v>
      </c>
      <c r="J5" s="486">
        <f>PLANTILLA!X6</f>
        <v>10.3</v>
      </c>
      <c r="K5" s="486">
        <f>PLANTILLA!Y6</f>
        <v>10.814999999999998</v>
      </c>
      <c r="L5" s="486">
        <f>PLANTILLA!Z6</f>
        <v>4.6400000000000006</v>
      </c>
      <c r="M5" s="486">
        <f>PLANTILLA!AA6</f>
        <v>4.95</v>
      </c>
      <c r="N5" s="486">
        <f>PLANTILLA!AB6</f>
        <v>6.5444444444444434</v>
      </c>
      <c r="O5" s="486">
        <f>PLANTILLA!AC6</f>
        <v>3.99</v>
      </c>
      <c r="P5" s="486">
        <f>PLANTILLA!AD6</f>
        <v>15.778888888888888</v>
      </c>
      <c r="Q5" s="411">
        <f t="shared" si="4"/>
        <v>34</v>
      </c>
      <c r="R5" s="412">
        <f t="shared" ca="1" si="5"/>
        <v>43</v>
      </c>
      <c r="S5" s="180"/>
      <c r="T5" s="180"/>
      <c r="U5" s="180"/>
      <c r="V5" s="180"/>
      <c r="W5" s="180"/>
      <c r="X5" s="180"/>
      <c r="Y5" s="180"/>
      <c r="Z5" s="180"/>
      <c r="AA5" s="296">
        <f t="shared" si="6"/>
        <v>7.8</v>
      </c>
      <c r="AB5" s="506">
        <f>J5+(S5*S$2/6)</f>
        <v>10.3</v>
      </c>
      <c r="AC5" s="506">
        <f>K5+(T$2/45)</f>
        <v>10.814999999999998</v>
      </c>
      <c r="AD5" s="506">
        <f>L5+(U$2/34)</f>
        <v>4.6400000000000006</v>
      </c>
      <c r="AE5" s="506">
        <f>M5+(V$2/22)</f>
        <v>4.95</v>
      </c>
      <c r="AF5" s="506">
        <f>N5+(W$2/28)</f>
        <v>6.5444444444444434</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1.25</v>
      </c>
      <c r="D7" s="294" t="s">
        <v>275</v>
      </c>
      <c r="E7" s="387">
        <f>PLANTILLA!E8</f>
        <v>31</v>
      </c>
      <c r="F7" s="387">
        <f ca="1">PLANTILLA!F8</f>
        <v>84</v>
      </c>
      <c r="G7" s="388" t="s">
        <v>502</v>
      </c>
      <c r="H7" s="394">
        <v>5</v>
      </c>
      <c r="I7" s="308">
        <f>PLANTILLA!I8</f>
        <v>7.5</v>
      </c>
      <c r="J7" s="486">
        <f>PLANTILLA!X8</f>
        <v>0</v>
      </c>
      <c r="K7" s="486">
        <f>PLANTILLA!Y8</f>
        <v>11.077333333333334</v>
      </c>
      <c r="L7" s="486">
        <f>PLANTILLA!Z8</f>
        <v>6.199444444444441</v>
      </c>
      <c r="M7" s="486">
        <f>PLANTILLA!AA8</f>
        <v>6.04</v>
      </c>
      <c r="N7" s="486">
        <f>PLANTILLA!AB8</f>
        <v>7.7227777777777789</v>
      </c>
      <c r="O7" s="486">
        <f>PLANTILLA!AC8</f>
        <v>4.383333333333332</v>
      </c>
      <c r="P7" s="486">
        <f>PLANTILLA!AD8</f>
        <v>15.349999999999998</v>
      </c>
      <c r="Q7" s="411">
        <f t="shared" si="4"/>
        <v>31</v>
      </c>
      <c r="R7" s="412">
        <f t="shared" ca="1" si="5"/>
        <v>91</v>
      </c>
      <c r="S7" s="180"/>
      <c r="T7" s="180"/>
      <c r="U7" s="180"/>
      <c r="V7" s="180"/>
      <c r="W7" s="180"/>
      <c r="X7" s="180"/>
      <c r="Y7" s="180"/>
      <c r="Z7" s="180"/>
      <c r="AA7" s="296">
        <f t="shared" si="6"/>
        <v>7.5</v>
      </c>
      <c r="AB7" s="506">
        <f t="shared" si="20"/>
        <v>0</v>
      </c>
      <c r="AC7" s="506">
        <f>K7+(T$2/11)</f>
        <v>11.077333333333334</v>
      </c>
      <c r="AD7" s="506">
        <f>L7+(U$2/6.5)</f>
        <v>6.199444444444441</v>
      </c>
      <c r="AE7" s="506">
        <f>M7+(V$2/62)</f>
        <v>6.04</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1.6607142857142858</v>
      </c>
      <c r="D8" s="386" t="s">
        <v>269</v>
      </c>
      <c r="E8" s="387">
        <f>PLANTILLA!E9</f>
        <v>31</v>
      </c>
      <c r="F8" s="387">
        <f ca="1">PLANTILLA!F9</f>
        <v>38</v>
      </c>
      <c r="G8" s="388"/>
      <c r="H8" s="394">
        <v>5</v>
      </c>
      <c r="I8" s="308">
        <f>PLANTILLA!I9</f>
        <v>12.2</v>
      </c>
      <c r="J8" s="486">
        <f>PLANTILLA!X9</f>
        <v>0</v>
      </c>
      <c r="K8" s="486">
        <f>PLANTILLA!Y9</f>
        <v>12.200000000000005</v>
      </c>
      <c r="L8" s="486">
        <f>PLANTILLA!Z9</f>
        <v>13.156555555555553</v>
      </c>
      <c r="M8" s="486">
        <f>PLANTILLA!AA9</f>
        <v>9.8200000000000056</v>
      </c>
      <c r="N8" s="486">
        <f>PLANTILLA!AB9</f>
        <v>9.6</v>
      </c>
      <c r="O8" s="486">
        <f>PLANTILLA!AC9</f>
        <v>3.6816666666666658</v>
      </c>
      <c r="P8" s="486">
        <f>PLANTILLA!AD9</f>
        <v>16.627777777777773</v>
      </c>
      <c r="Q8" s="411">
        <f t="shared" si="4"/>
        <v>31</v>
      </c>
      <c r="R8" s="412">
        <f t="shared" ca="1" si="5"/>
        <v>45</v>
      </c>
      <c r="S8" s="180"/>
      <c r="T8" s="180"/>
      <c r="U8" s="180"/>
      <c r="V8" s="180"/>
      <c r="W8" s="180"/>
      <c r="X8" s="180"/>
      <c r="Y8" s="180"/>
      <c r="Z8" s="180"/>
      <c r="AA8" s="296">
        <f t="shared" si="6"/>
        <v>12.2</v>
      </c>
      <c r="AB8" s="506">
        <f t="shared" si="20"/>
        <v>0</v>
      </c>
      <c r="AC8" s="506">
        <f>K8+(T$2/11)</f>
        <v>12.200000000000005</v>
      </c>
      <c r="AD8" s="506">
        <f>L8+(U$2/29)</f>
        <v>13.156555555555553</v>
      </c>
      <c r="AE8" s="506">
        <f>M8+(V$2/13)</f>
        <v>9.8200000000000056</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1.7946428571428572</v>
      </c>
      <c r="D9" s="294" t="s">
        <v>273</v>
      </c>
      <c r="E9" s="387">
        <f>PLANTILLA!E10</f>
        <v>31</v>
      </c>
      <c r="F9" s="387">
        <f ca="1">PLANTILLA!F10</f>
        <v>23</v>
      </c>
      <c r="G9" s="388"/>
      <c r="H9" s="371">
        <v>4</v>
      </c>
      <c r="I9" s="308">
        <f>PLANTILLA!I10</f>
        <v>9.3000000000000007</v>
      </c>
      <c r="J9" s="486">
        <f>PLANTILLA!X10</f>
        <v>0</v>
      </c>
      <c r="K9" s="486">
        <f>PLANTILLA!Y10</f>
        <v>11.999999999999996</v>
      </c>
      <c r="L9" s="486">
        <f>PLANTILLA!Z10</f>
        <v>7.0025000000000022</v>
      </c>
      <c r="M9" s="486">
        <f>PLANTILLA!AA10</f>
        <v>7.4300000000000015</v>
      </c>
      <c r="N9" s="486">
        <f>PLANTILLA!AB10</f>
        <v>9.0199999999999978</v>
      </c>
      <c r="O9" s="486">
        <f>PLANTILLA!AC10</f>
        <v>4.6199999999999966</v>
      </c>
      <c r="P9" s="486">
        <f>PLANTILLA!AD10</f>
        <v>15.6</v>
      </c>
      <c r="Q9" s="411">
        <f t="shared" si="4"/>
        <v>31</v>
      </c>
      <c r="R9" s="412">
        <f t="shared" ca="1" si="5"/>
        <v>30</v>
      </c>
      <c r="S9" s="180"/>
      <c r="T9" s="180"/>
      <c r="U9" s="180"/>
      <c r="V9" s="180"/>
      <c r="W9" s="180"/>
      <c r="X9" s="180"/>
      <c r="Y9" s="180"/>
      <c r="Z9" s="180"/>
      <c r="AA9" s="296">
        <f t="shared" si="6"/>
        <v>9.3000000000000007</v>
      </c>
      <c r="AB9" s="506">
        <f t="shared" si="20"/>
        <v>0</v>
      </c>
      <c r="AC9" s="506">
        <f>K9+(T$2/10)</f>
        <v>11.999999999999996</v>
      </c>
      <c r="AD9" s="506">
        <f>L9+(U$2/31)</f>
        <v>7.0025000000000022</v>
      </c>
      <c r="AE9" s="506">
        <f>M9+(V$2/6)</f>
        <v>7.4300000000000015</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5.5892857142857144</v>
      </c>
      <c r="D10" s="294" t="s">
        <v>567</v>
      </c>
      <c r="E10" s="387">
        <f>PLANTILLA!E11</f>
        <v>27</v>
      </c>
      <c r="F10" s="387">
        <f ca="1">PLANTILLA!F11</f>
        <v>46</v>
      </c>
      <c r="G10" s="388"/>
      <c r="H10" s="394">
        <v>5</v>
      </c>
      <c r="I10" s="308">
        <f>PLANTILLA!I11</f>
        <v>4.9000000000000004</v>
      </c>
      <c r="J10" s="486">
        <f>PLANTILLA!X11</f>
        <v>0</v>
      </c>
      <c r="K10" s="486">
        <f>PLANTILLA!Y11</f>
        <v>9.6046666666666667</v>
      </c>
      <c r="L10" s="486">
        <f>PLANTILLA!Z11</f>
        <v>7.7507222222222225</v>
      </c>
      <c r="M10" s="486">
        <f>PLANTILLA!AA11</f>
        <v>6.1499999999999986</v>
      </c>
      <c r="N10" s="486">
        <f>PLANTILLA!AB11</f>
        <v>8.8633333333333315</v>
      </c>
      <c r="O10" s="486">
        <f>PLANTILLA!AC11</f>
        <v>3.2566666666666673</v>
      </c>
      <c r="P10" s="486">
        <f>PLANTILLA!AD11</f>
        <v>13.238888888888889</v>
      </c>
      <c r="Q10" s="411">
        <f t="shared" si="4"/>
        <v>27</v>
      </c>
      <c r="R10" s="412">
        <f t="shared" ca="1" si="5"/>
        <v>53</v>
      </c>
      <c r="S10" s="180"/>
      <c r="T10" s="180"/>
      <c r="U10" s="180"/>
      <c r="V10" s="180"/>
      <c r="W10" s="180"/>
      <c r="X10" s="180"/>
      <c r="Y10" s="180"/>
      <c r="Z10" s="180"/>
      <c r="AA10" s="296">
        <f t="shared" si="6"/>
        <v>4.9000000000000004</v>
      </c>
      <c r="AB10" s="506">
        <f t="shared" si="20"/>
        <v>0</v>
      </c>
      <c r="AC10" s="506">
        <f>K10+(T$2/25)</f>
        <v>9.6046666666666667</v>
      </c>
      <c r="AD10" s="506">
        <f>L10+(U$2/37)</f>
        <v>7.7507222222222225</v>
      </c>
      <c r="AE10" s="506">
        <f>M10+(V$2/20)</f>
        <v>6.1499999999999986</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2</v>
      </c>
      <c r="D11" s="386" t="s">
        <v>270</v>
      </c>
      <c r="E11" s="387">
        <f>PLANTILLA!E12</f>
        <v>31</v>
      </c>
      <c r="F11" s="387">
        <f ca="1">PLANTILLA!F12</f>
        <v>0</v>
      </c>
      <c r="G11" s="388" t="s">
        <v>271</v>
      </c>
      <c r="H11" s="371">
        <v>1</v>
      </c>
      <c r="I11" s="308">
        <f>PLANTILLA!I12</f>
        <v>12.3</v>
      </c>
      <c r="J11" s="486">
        <f>PLANTILLA!X12</f>
        <v>0</v>
      </c>
      <c r="K11" s="486">
        <f>PLANTILLA!Y12</f>
        <v>12.06111111111111</v>
      </c>
      <c r="L11" s="486">
        <f>PLANTILLA!Z12</f>
        <v>12.534111111111114</v>
      </c>
      <c r="M11" s="486">
        <f>PLANTILLA!AA12</f>
        <v>13.133333333333335</v>
      </c>
      <c r="N11" s="486">
        <f>PLANTILLA!AB12</f>
        <v>10.91</v>
      </c>
      <c r="O11" s="486">
        <f>PLANTILLA!AC12</f>
        <v>7.7700000000000005</v>
      </c>
      <c r="P11" s="486">
        <f>PLANTILLA!AD12</f>
        <v>17.13</v>
      </c>
      <c r="Q11" s="411">
        <f t="shared" si="4"/>
        <v>31</v>
      </c>
      <c r="R11" s="412">
        <f t="shared" ca="1" si="5"/>
        <v>7</v>
      </c>
      <c r="S11" s="180"/>
      <c r="T11" s="180"/>
      <c r="U11" s="180"/>
      <c r="V11" s="180"/>
      <c r="W11" s="180"/>
      <c r="X11" s="180"/>
      <c r="Y11" s="180"/>
      <c r="Z11" s="180"/>
      <c r="AA11" s="296">
        <f t="shared" si="6"/>
        <v>12.3</v>
      </c>
      <c r="AB11" s="506">
        <f t="shared" si="20"/>
        <v>0</v>
      </c>
      <c r="AC11" s="506">
        <f>K11+(T$2/10)</f>
        <v>12.06111111111111</v>
      </c>
      <c r="AD11" s="506">
        <f>L11+(U$2/18)</f>
        <v>12.534111111111114</v>
      </c>
      <c r="AE11" s="506">
        <f>M11+(V$2/15)</f>
        <v>13.133333333333335</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2.4732142857142856</v>
      </c>
      <c r="D12" s="386" t="s">
        <v>298</v>
      </c>
      <c r="E12" s="387">
        <f>PLANTILLA!E13</f>
        <v>30</v>
      </c>
      <c r="F12" s="387">
        <f ca="1">PLANTILLA!F13</f>
        <v>59</v>
      </c>
      <c r="G12" s="388" t="s">
        <v>268</v>
      </c>
      <c r="H12" s="371">
        <v>3</v>
      </c>
      <c r="I12" s="308">
        <f>PLANTILLA!I13</f>
        <v>10.3</v>
      </c>
      <c r="J12" s="486">
        <f>PLANTILLA!X13</f>
        <v>0</v>
      </c>
      <c r="K12" s="486">
        <f>PLANTILLA!Y13</f>
        <v>7.2503030303030309</v>
      </c>
      <c r="L12" s="486">
        <f>PLANTILLA!Z13</f>
        <v>10.500000000000004</v>
      </c>
      <c r="M12" s="486">
        <f>PLANTILLA!AA13</f>
        <v>13.388333333333334</v>
      </c>
      <c r="N12" s="486">
        <f>PLANTILLA!AB13</f>
        <v>10.359999999999998</v>
      </c>
      <c r="O12" s="486">
        <f>PLANTILLA!AC13</f>
        <v>5.4050000000000002</v>
      </c>
      <c r="P12" s="486">
        <f>PLANTILLA!AD13</f>
        <v>17.300000000000004</v>
      </c>
      <c r="Q12" s="411">
        <f t="shared" si="4"/>
        <v>30</v>
      </c>
      <c r="R12" s="412">
        <f t="shared" ca="1" si="5"/>
        <v>66</v>
      </c>
      <c r="S12" s="180"/>
      <c r="T12" s="180"/>
      <c r="U12" s="180"/>
      <c r="V12" s="180"/>
      <c r="W12" s="180"/>
      <c r="X12" s="180"/>
      <c r="Y12" s="180"/>
      <c r="Z12" s="180"/>
      <c r="AA12" s="296">
        <f t="shared" si="6"/>
        <v>10.3</v>
      </c>
      <c r="AB12" s="506">
        <f t="shared" si="20"/>
        <v>0</v>
      </c>
      <c r="AC12" s="506">
        <f>K12+(T$2/7)</f>
        <v>7.2503030303030309</v>
      </c>
      <c r="AD12" s="506">
        <f>L12+(U$2/7)</f>
        <v>10.500000000000004</v>
      </c>
      <c r="AE12" s="506">
        <f>M12+(V$2/8)</f>
        <v>13.388333333333334</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5.3392857142857144</v>
      </c>
      <c r="D13" s="386" t="s">
        <v>507</v>
      </c>
      <c r="E13" s="387">
        <f>PLANTILLA!E14</f>
        <v>27</v>
      </c>
      <c r="F13" s="387">
        <f ca="1">PLANTILLA!F14</f>
        <v>74</v>
      </c>
      <c r="G13" s="388" t="s">
        <v>502</v>
      </c>
      <c r="H13" s="371">
        <v>3</v>
      </c>
      <c r="I13" s="308">
        <f>PLANTILLA!I14</f>
        <v>8.6999999999999993</v>
      </c>
      <c r="J13" s="486">
        <f>PLANTILLA!X14</f>
        <v>0</v>
      </c>
      <c r="K13" s="486">
        <f>PLANTILLA!Y14</f>
        <v>8.3599999999999977</v>
      </c>
      <c r="L13" s="486">
        <f>PLANTILLA!Z14</f>
        <v>12.158412698412699</v>
      </c>
      <c r="M13" s="486">
        <f>PLANTILLA!AA14</f>
        <v>12.25</v>
      </c>
      <c r="N13" s="486">
        <f>PLANTILLA!AB14</f>
        <v>10.24</v>
      </c>
      <c r="O13" s="486">
        <f>PLANTILLA!AC14</f>
        <v>7.4766666666666666</v>
      </c>
      <c r="P13" s="486">
        <f>PLANTILLA!AD14</f>
        <v>15.270000000000001</v>
      </c>
      <c r="Q13" s="411">
        <f t="shared" si="4"/>
        <v>27</v>
      </c>
      <c r="R13" s="412">
        <f t="shared" ca="1" si="5"/>
        <v>81</v>
      </c>
      <c r="S13" s="180"/>
      <c r="T13" s="180"/>
      <c r="U13" s="180"/>
      <c r="V13" s="180"/>
      <c r="W13" s="180"/>
      <c r="X13" s="180"/>
      <c r="Y13" s="180"/>
      <c r="Z13" s="180"/>
      <c r="AA13" s="296">
        <f t="shared" si="6"/>
        <v>8.6999999999999993</v>
      </c>
      <c r="AB13" s="506">
        <f t="shared" si="20"/>
        <v>0</v>
      </c>
      <c r="AC13" s="506">
        <f>K13+(T$2/6.5)</f>
        <v>8.3599999999999977</v>
      </c>
      <c r="AD13" s="506">
        <f>L13+(U$2/8)</f>
        <v>12.158412698412699</v>
      </c>
      <c r="AE13" s="506">
        <f>M13+(V$2/6)</f>
        <v>12.25</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3.3660714285714284</v>
      </c>
      <c r="D14" s="294" t="s">
        <v>415</v>
      </c>
      <c r="E14" s="387">
        <f>PLANTILLA!E15</f>
        <v>29</v>
      </c>
      <c r="F14" s="387">
        <f ca="1">PLANTILLA!F15</f>
        <v>71</v>
      </c>
      <c r="G14" s="388" t="s">
        <v>268</v>
      </c>
      <c r="H14" s="371">
        <v>4</v>
      </c>
      <c r="I14" s="308">
        <f>PLANTILLA!I15</f>
        <v>10.4</v>
      </c>
      <c r="J14" s="486">
        <f>PLANTILLA!X15</f>
        <v>0</v>
      </c>
      <c r="K14" s="486">
        <f>PLANTILLA!Y15</f>
        <v>9.3036666666666648</v>
      </c>
      <c r="L14" s="486">
        <f>PLANTILLA!Z15</f>
        <v>13.759999999999998</v>
      </c>
      <c r="M14" s="486">
        <f>PLANTILLA!AA15</f>
        <v>12.835000000000001</v>
      </c>
      <c r="N14" s="486">
        <f>PLANTILLA!AB15</f>
        <v>9.6733333333333356</v>
      </c>
      <c r="O14" s="486">
        <f>PLANTILLA!AC15</f>
        <v>5.0296666666666656</v>
      </c>
      <c r="P14" s="486">
        <f>PLANTILLA!AD15</f>
        <v>15.2</v>
      </c>
      <c r="Q14" s="411">
        <f t="shared" si="4"/>
        <v>29</v>
      </c>
      <c r="R14" s="412">
        <f t="shared" ca="1" si="5"/>
        <v>78</v>
      </c>
      <c r="S14" s="180"/>
      <c r="T14" s="180"/>
      <c r="U14" s="180"/>
      <c r="V14" s="180"/>
      <c r="W14" s="180"/>
      <c r="X14" s="180"/>
      <c r="Y14" s="180"/>
      <c r="Z14" s="180"/>
      <c r="AA14" s="296">
        <f t="shared" si="6"/>
        <v>10.4</v>
      </c>
      <c r="AB14" s="506">
        <f t="shared" si="20"/>
        <v>0</v>
      </c>
      <c r="AC14" s="506">
        <f>K14+(T$2/50)</f>
        <v>9.3036666666666648</v>
      </c>
      <c r="AD14" s="506">
        <f>L14+(U$2/10)</f>
        <v>13.759999999999998</v>
      </c>
      <c r="AE14" s="506">
        <f>M14+(V$2/15)</f>
        <v>12.835000000000001</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1.0625</v>
      </c>
      <c r="D15" s="386" t="s">
        <v>285</v>
      </c>
      <c r="E15" s="387">
        <f>PLANTILLA!E16</f>
        <v>31</v>
      </c>
      <c r="F15" s="387">
        <f ca="1">PLANTILLA!F16</f>
        <v>105</v>
      </c>
      <c r="G15" s="388" t="s">
        <v>268</v>
      </c>
      <c r="H15" s="394">
        <v>5</v>
      </c>
      <c r="I15" s="308">
        <f>PLANTILLA!I16</f>
        <v>11</v>
      </c>
      <c r="J15" s="486">
        <f>PLANTILLA!X16</f>
        <v>0</v>
      </c>
      <c r="K15" s="486">
        <f>PLANTILLA!Y16</f>
        <v>8.6275555555555581</v>
      </c>
      <c r="L15" s="486">
        <f>PLANTILLA!Z16</f>
        <v>14.238017460317453</v>
      </c>
      <c r="M15" s="486">
        <f>PLANTILLA!AA16</f>
        <v>9.99</v>
      </c>
      <c r="N15" s="486">
        <f>PLANTILLA!AB16</f>
        <v>10.09</v>
      </c>
      <c r="O15" s="486">
        <f>PLANTILLA!AC16</f>
        <v>4.3999999999999995</v>
      </c>
      <c r="P15" s="486">
        <f>PLANTILLA!AD16</f>
        <v>16.544444444444441</v>
      </c>
      <c r="Q15" s="411">
        <f t="shared" si="4"/>
        <v>31</v>
      </c>
      <c r="R15" s="412">
        <f t="shared" ca="1" si="5"/>
        <v>112</v>
      </c>
      <c r="S15" s="180"/>
      <c r="T15" s="180"/>
      <c r="U15" s="180"/>
      <c r="V15" s="180"/>
      <c r="W15" s="180"/>
      <c r="X15" s="180"/>
      <c r="Y15" s="180"/>
      <c r="Z15" s="180"/>
      <c r="AA15" s="296">
        <f t="shared" si="6"/>
        <v>11</v>
      </c>
      <c r="AB15" s="506">
        <f t="shared" si="20"/>
        <v>0</v>
      </c>
      <c r="AC15" s="506">
        <f>K15+(T$2/50)</f>
        <v>8.6275555555555581</v>
      </c>
      <c r="AD15" s="506">
        <f>L15+(U$2/11)</f>
        <v>14.238017460317453</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2.1160714285714284</v>
      </c>
      <c r="D16" s="386" t="s">
        <v>272</v>
      </c>
      <c r="E16" s="387">
        <f>PLANTILLA!E17</f>
        <v>30</v>
      </c>
      <c r="F16" s="387">
        <f ca="1">PLANTILLA!F17</f>
        <v>99</v>
      </c>
      <c r="G16" s="388"/>
      <c r="H16" s="371">
        <v>4</v>
      </c>
      <c r="I16" s="308">
        <f>PLANTILLA!I17</f>
        <v>9.1</v>
      </c>
      <c r="J16" s="486">
        <f>PLANTILLA!X17</f>
        <v>0</v>
      </c>
      <c r="K16" s="486">
        <f>PLANTILLA!Y17</f>
        <v>10.549999999999995</v>
      </c>
      <c r="L16" s="486">
        <f>PLANTILLA!Z17</f>
        <v>12.869777777777777</v>
      </c>
      <c r="M16" s="486">
        <f>PLANTILLA!AA17</f>
        <v>5.1299999999999981</v>
      </c>
      <c r="N16" s="486">
        <f>PLANTILLA!AB17</f>
        <v>9.24</v>
      </c>
      <c r="O16" s="486">
        <f>PLANTILLA!AC17</f>
        <v>2.98</v>
      </c>
      <c r="P16" s="486">
        <f>PLANTILLA!AD17</f>
        <v>16.959999999999997</v>
      </c>
      <c r="Q16" s="411">
        <f t="shared" si="4"/>
        <v>30</v>
      </c>
      <c r="R16" s="412">
        <f t="shared" ca="1" si="5"/>
        <v>106</v>
      </c>
      <c r="S16" s="180"/>
      <c r="T16" s="180"/>
      <c r="U16" s="180"/>
      <c r="V16" s="180"/>
      <c r="W16" s="180"/>
      <c r="X16" s="180"/>
      <c r="Y16" s="180"/>
      <c r="Z16" s="180"/>
      <c r="AA16" s="296">
        <f t="shared" si="6"/>
        <v>9.1</v>
      </c>
      <c r="AB16" s="506">
        <f t="shared" si="20"/>
        <v>0</v>
      </c>
      <c r="AC16" s="506">
        <f>K16+(T$2/7)</f>
        <v>10.549999999999995</v>
      </c>
      <c r="AD16" s="506">
        <f>L16+(U$2/11)</f>
        <v>12.869777777777777</v>
      </c>
      <c r="AE16" s="506">
        <f>M16+(V$2/19)</f>
        <v>5.1299999999999981</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2.3392857142857144</v>
      </c>
      <c r="D17" s="294" t="s">
        <v>400</v>
      </c>
      <c r="E17" s="387">
        <f>PLANTILLA!E18</f>
        <v>30</v>
      </c>
      <c r="F17" s="387">
        <f ca="1">PLANTILLA!F18</f>
        <v>74</v>
      </c>
      <c r="G17" s="388"/>
      <c r="H17" s="371">
        <v>1</v>
      </c>
      <c r="I17" s="308">
        <f>PLANTILLA!I18</f>
        <v>8.1</v>
      </c>
      <c r="J17" s="486">
        <f>PLANTILLA!X18</f>
        <v>0</v>
      </c>
      <c r="K17" s="486">
        <f>PLANTILLA!Y18</f>
        <v>5.4644444444444451</v>
      </c>
      <c r="L17" s="486">
        <f>PLANTILLA!Z18</f>
        <v>14.331408994708985</v>
      </c>
      <c r="M17" s="486">
        <f>PLANTILLA!AA18</f>
        <v>3.5124999999999993</v>
      </c>
      <c r="N17" s="486">
        <f>PLANTILLA!AB18</f>
        <v>9.1400000000000041</v>
      </c>
      <c r="O17" s="486">
        <f>PLANTILLA!AC18</f>
        <v>7.4318888888888894</v>
      </c>
      <c r="P17" s="486">
        <f>PLANTILLA!AD18</f>
        <v>16.07</v>
      </c>
      <c r="Q17" s="411">
        <f t="shared" si="4"/>
        <v>30</v>
      </c>
      <c r="R17" s="412">
        <f t="shared" ca="1" si="5"/>
        <v>81</v>
      </c>
      <c r="S17" s="180"/>
      <c r="T17" s="180"/>
      <c r="U17" s="180"/>
      <c r="V17" s="180"/>
      <c r="W17" s="180"/>
      <c r="X17" s="180"/>
      <c r="Y17" s="180"/>
      <c r="Z17" s="180"/>
      <c r="AA17" s="296">
        <f t="shared" si="6"/>
        <v>8.1</v>
      </c>
      <c r="AB17" s="506">
        <f t="shared" si="20"/>
        <v>0</v>
      </c>
      <c r="AC17" s="506">
        <f>K17+(T$2/6.5)</f>
        <v>5.4644444444444451</v>
      </c>
      <c r="AD17" s="506">
        <f>L17+(U$2/11)</f>
        <v>14.331408994708985</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2" t="s">
        <v>720</v>
      </c>
      <c r="AR17" s="693"/>
      <c r="AS17" s="331" t="s">
        <v>467</v>
      </c>
      <c r="AT17" s="331" t="s">
        <v>468</v>
      </c>
      <c r="AU17" s="331" t="s">
        <v>489</v>
      </c>
      <c r="AV17" s="331" t="s">
        <v>469</v>
      </c>
      <c r="AW17" s="331" t="s">
        <v>470</v>
      </c>
      <c r="AX17" s="331" t="s">
        <v>471</v>
      </c>
      <c r="AY17" s="331" t="s">
        <v>472</v>
      </c>
      <c r="AZ17" s="331" t="s">
        <v>734</v>
      </c>
      <c r="BA17" s="331" t="s">
        <v>735</v>
      </c>
      <c r="BB17" s="331" t="s">
        <v>565</v>
      </c>
      <c r="BC17" s="331" t="s">
        <v>604</v>
      </c>
      <c r="BE17" s="692" t="s">
        <v>646</v>
      </c>
      <c r="BF17" s="693"/>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3.7857142857142856</v>
      </c>
      <c r="D18" s="294" t="s">
        <v>414</v>
      </c>
      <c r="E18" s="387">
        <f>PLANTILLA!E19</f>
        <v>29</v>
      </c>
      <c r="F18" s="387">
        <f ca="1">PLANTILLA!F19</f>
        <v>24</v>
      </c>
      <c r="G18" s="388"/>
      <c r="H18" s="371">
        <v>3</v>
      </c>
      <c r="I18" s="308">
        <f>PLANTILLA!I19</f>
        <v>4</v>
      </c>
      <c r="J18" s="486">
        <f>PLANTILLA!X19</f>
        <v>0</v>
      </c>
      <c r="K18" s="486">
        <f>PLANTILLA!Y19</f>
        <v>5.6515555555555519</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31</v>
      </c>
      <c r="S18" s="180"/>
      <c r="T18" s="180"/>
      <c r="U18" s="180"/>
      <c r="V18" s="180"/>
      <c r="W18" s="180"/>
      <c r="X18" s="180"/>
      <c r="Y18" s="180"/>
      <c r="Z18" s="180"/>
      <c r="AA18" s="296">
        <f t="shared" si="6"/>
        <v>4</v>
      </c>
      <c r="AB18" s="506">
        <f t="shared" si="20"/>
        <v>0</v>
      </c>
      <c r="AC18" s="506">
        <f>K18+(T$2/26)</f>
        <v>5.6515555555555519</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2.6517857142857144</v>
      </c>
      <c r="D20" s="294" t="str">
        <f>PLANTILLA!D7</f>
        <v>B. Pinczehelyi</v>
      </c>
      <c r="E20" s="387">
        <f>PLANTILLA!E7</f>
        <v>30</v>
      </c>
      <c r="F20" s="395">
        <f ca="1">PLANTILLA!F7</f>
        <v>39</v>
      </c>
      <c r="G20" s="388" t="s">
        <v>502</v>
      </c>
      <c r="H20" s="371">
        <v>2</v>
      </c>
      <c r="I20" s="308">
        <f>PLANTILLA!I7</f>
        <v>14.1</v>
      </c>
      <c r="J20" s="486">
        <f>PLANTILLA!X7</f>
        <v>0</v>
      </c>
      <c r="K20" s="486">
        <f>PLANTILLA!Y7</f>
        <v>14.300000000000004</v>
      </c>
      <c r="L20" s="486">
        <f>PLANTILLA!Z7</f>
        <v>9.3193333333333346</v>
      </c>
      <c r="M20" s="486">
        <f>PLANTILLA!AA7</f>
        <v>14.291666666666663</v>
      </c>
      <c r="N20" s="486">
        <f>PLANTILLA!AB7</f>
        <v>9.4199999999999982</v>
      </c>
      <c r="O20" s="486">
        <f>PLANTILLA!AC7</f>
        <v>1.1428571428571428</v>
      </c>
      <c r="P20" s="486">
        <f>PLANTILLA!AD7</f>
        <v>9.4</v>
      </c>
      <c r="Q20" s="411">
        <f t="shared" si="4"/>
        <v>30</v>
      </c>
      <c r="R20" s="412">
        <f t="shared" ca="1" si="5"/>
        <v>46</v>
      </c>
      <c r="S20" s="180"/>
      <c r="T20" s="180"/>
      <c r="U20" s="180"/>
      <c r="V20" s="180"/>
      <c r="W20" s="180"/>
      <c r="X20" s="180"/>
      <c r="Y20" s="180"/>
      <c r="Z20" s="180"/>
      <c r="AA20" s="296">
        <f t="shared" si="6"/>
        <v>14.1</v>
      </c>
      <c r="AB20" s="506">
        <f t="shared" si="20"/>
        <v>0</v>
      </c>
      <c r="AC20" s="506">
        <f>K20+(T$2/20)</f>
        <v>14.300000000000004</v>
      </c>
      <c r="AD20" s="506">
        <f>L20+(U$2/50)</f>
        <v>9.3193333333333346</v>
      </c>
      <c r="AE20" s="506">
        <f>M20+(V$2/35)</f>
        <v>14.291666666666663</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3.0089285714285716</v>
      </c>
      <c r="D21" s="386" t="s">
        <v>287</v>
      </c>
      <c r="E21" s="387">
        <f>PLANTILLA!E22</f>
        <v>29</v>
      </c>
      <c r="F21" s="387">
        <f ca="1">PLANTILLA!F22</f>
        <v>111</v>
      </c>
      <c r="G21" s="388" t="s">
        <v>296</v>
      </c>
      <c r="H21" s="371">
        <v>4</v>
      </c>
      <c r="I21" s="308">
        <f>PLANTILLA!I22</f>
        <v>10</v>
      </c>
      <c r="J21" s="486">
        <f>PLANTILLA!X22</f>
        <v>0</v>
      </c>
      <c r="K21" s="486">
        <f>PLANTILLA!Y22</f>
        <v>6.8376190476190493</v>
      </c>
      <c r="L21" s="486">
        <f>PLANTILLA!Z22</f>
        <v>8.625</v>
      </c>
      <c r="M21" s="486">
        <f>PLANTILLA!AA22</f>
        <v>8.7299999999999969</v>
      </c>
      <c r="N21" s="486">
        <f>PLANTILLA!AB22</f>
        <v>9.6900000000000013</v>
      </c>
      <c r="O21" s="486">
        <f>PLANTILLA!AC22</f>
        <v>8.5625000000000018</v>
      </c>
      <c r="P21" s="486">
        <f>PLANTILLA!AD22</f>
        <v>18.639999999999993</v>
      </c>
      <c r="Q21" s="411">
        <f t="shared" si="4"/>
        <v>29</v>
      </c>
      <c r="R21" s="412">
        <f t="shared" ca="1" si="5"/>
        <v>118</v>
      </c>
      <c r="S21" s="180"/>
      <c r="T21" s="180"/>
      <c r="U21" s="180"/>
      <c r="V21" s="180"/>
      <c r="W21" s="180"/>
      <c r="X21" s="180"/>
      <c r="Y21" s="180"/>
      <c r="Z21" s="180"/>
      <c r="AA21" s="296">
        <f t="shared" si="6"/>
        <v>10</v>
      </c>
      <c r="AB21" s="506">
        <f t="shared" si="20"/>
        <v>0</v>
      </c>
      <c r="AC21" s="506">
        <f>K21+(T$2/32)</f>
        <v>6.8376190476190493</v>
      </c>
      <c r="AD21" s="506">
        <f>L21+(U$2/7)</f>
        <v>8.625</v>
      </c>
      <c r="AE21" s="506">
        <f>M21+(V$2/25)</f>
        <v>8.7299999999999969</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2.3928571428571428</v>
      </c>
      <c r="D22" s="386" t="str">
        <f>PLANTILLA!D23</f>
        <v>L. Calosso</v>
      </c>
      <c r="E22" s="387">
        <f>PLANTILLA!E23</f>
        <v>30</v>
      </c>
      <c r="F22" s="387">
        <f ca="1">PLANTILLA!F23</f>
        <v>68</v>
      </c>
      <c r="G22" s="388"/>
      <c r="H22" s="371">
        <v>4</v>
      </c>
      <c r="I22" s="308">
        <f>PLANTILLA!I23</f>
        <v>10.199999999999999</v>
      </c>
      <c r="J22" s="486">
        <f>PLANTILLA!X23</f>
        <v>0</v>
      </c>
      <c r="K22" s="486">
        <f>PLANTILLA!Y23</f>
        <v>3.02</v>
      </c>
      <c r="L22" s="486">
        <f>PLANTILLA!Z23</f>
        <v>14.137609523809523</v>
      </c>
      <c r="M22" s="486">
        <f>PLANTILLA!AA23</f>
        <v>3.02</v>
      </c>
      <c r="N22" s="486">
        <f>PLANTILLA!AB23</f>
        <v>15.02</v>
      </c>
      <c r="O22" s="486">
        <f>PLANTILLA!AC23</f>
        <v>10</v>
      </c>
      <c r="P22" s="486">
        <f>PLANTILLA!AD23</f>
        <v>9.3000000000000007</v>
      </c>
      <c r="Q22" s="411">
        <f t="shared" si="4"/>
        <v>30</v>
      </c>
      <c r="R22" s="412">
        <f t="shared" ca="1" si="5"/>
        <v>75</v>
      </c>
      <c r="S22" s="180"/>
      <c r="T22" s="180"/>
      <c r="U22" s="180"/>
      <c r="V22" s="180"/>
      <c r="W22" s="180"/>
      <c r="X22" s="180"/>
      <c r="Y22" s="180"/>
      <c r="Z22" s="180"/>
      <c r="AA22" s="296">
        <f t="shared" si="6"/>
        <v>10.199999999999999</v>
      </c>
      <c r="AB22" s="506">
        <f t="shared" si="20"/>
        <v>0</v>
      </c>
      <c r="AC22" s="506">
        <f>K22+(T$2/21)</f>
        <v>3.02</v>
      </c>
      <c r="AD22" s="506">
        <f>L22+(U$2/21)</f>
        <v>14.137609523809523</v>
      </c>
      <c r="AE22" s="506">
        <f>M22+(V$2/22)</f>
        <v>3.02</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5.7321428571428568</v>
      </c>
      <c r="D23" s="294" t="s">
        <v>541</v>
      </c>
      <c r="E23" s="387">
        <f>PLANTILLA!E24</f>
        <v>27</v>
      </c>
      <c r="F23" s="387">
        <f ca="1">PLANTILLA!F24</f>
        <v>30</v>
      </c>
      <c r="G23" s="388"/>
      <c r="H23" s="396">
        <v>6</v>
      </c>
      <c r="I23" s="308">
        <f>PLANTILLA!I24</f>
        <v>5.3</v>
      </c>
      <c r="J23" s="486">
        <f>PLANTILLA!X24</f>
        <v>0</v>
      </c>
      <c r="K23" s="486">
        <f>PLANTILLA!Y24</f>
        <v>4.0199999999999996</v>
      </c>
      <c r="L23" s="486">
        <f>PLANTILLA!Z24</f>
        <v>5.5538722222222203</v>
      </c>
      <c r="M23" s="486">
        <f>PLANTILLA!AA24</f>
        <v>5.4899999999999993</v>
      </c>
      <c r="N23" s="486">
        <f>PLANTILLA!AB24</f>
        <v>10.799999999999999</v>
      </c>
      <c r="O23" s="486">
        <f>PLANTILLA!AC24</f>
        <v>8.384500000000001</v>
      </c>
      <c r="P23" s="486">
        <f>PLANTILLA!AD24</f>
        <v>13.566666666666668</v>
      </c>
      <c r="Q23" s="411">
        <f t="shared" si="4"/>
        <v>27</v>
      </c>
      <c r="R23" s="412">
        <f t="shared" ca="1" si="5"/>
        <v>37</v>
      </c>
      <c r="S23" s="180"/>
      <c r="T23" s="180"/>
      <c r="U23" s="180"/>
      <c r="V23" s="180"/>
      <c r="W23" s="180"/>
      <c r="X23" s="180"/>
      <c r="Y23" s="180"/>
      <c r="Z23" s="180"/>
      <c r="AA23" s="296">
        <f t="shared" si="6"/>
        <v>5.3</v>
      </c>
      <c r="AB23" s="506">
        <f t="shared" si="20"/>
        <v>0</v>
      </c>
      <c r="AC23" s="506">
        <f>K23+(T$2/20)</f>
        <v>4.0199999999999996</v>
      </c>
      <c r="AD23" s="506">
        <f>L23+(U$2/27)</f>
        <v>5.5538722222222203</v>
      </c>
      <c r="AE23" s="506">
        <f>M23+(V$2/21)</f>
        <v>5.4899999999999993</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4" t="s">
        <v>727</v>
      </c>
      <c r="B4" s="540" t="s">
        <v>680</v>
      </c>
      <c r="C4" s="583">
        <v>5.9340247552447711E-2</v>
      </c>
      <c r="D4" s="557">
        <v>6.8999559240759498E-2</v>
      </c>
      <c r="E4" s="557">
        <v>7.5579372027972075E-2</v>
      </c>
      <c r="F4" s="557"/>
      <c r="G4" s="557"/>
      <c r="H4" s="557"/>
      <c r="I4" s="557"/>
      <c r="J4" s="557">
        <v>0</v>
      </c>
      <c r="K4" s="557">
        <v>3.6222627372627408E-2</v>
      </c>
      <c r="L4" s="557"/>
      <c r="M4" s="9"/>
      <c r="N4" s="696"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4"/>
      <c r="B5" s="540" t="s">
        <v>679</v>
      </c>
      <c r="C5" s="578"/>
      <c r="D5" s="544"/>
      <c r="E5" s="544"/>
      <c r="F5" s="544">
        <v>5.254696863959811E-2</v>
      </c>
      <c r="G5" s="544"/>
      <c r="H5" s="544"/>
      <c r="I5" s="544"/>
      <c r="J5" s="544"/>
      <c r="K5" s="544"/>
      <c r="L5" s="544"/>
      <c r="M5" s="9"/>
      <c r="N5" s="696"/>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4"/>
      <c r="B6" s="540" t="s">
        <v>731</v>
      </c>
      <c r="C6" s="578"/>
      <c r="D6" s="544"/>
      <c r="E6" s="544"/>
      <c r="F6" s="544"/>
      <c r="G6" s="544">
        <v>3.9584999999999822E-2</v>
      </c>
      <c r="H6" s="544">
        <v>6.3542692307692147E-2</v>
      </c>
      <c r="I6" s="544">
        <v>0</v>
      </c>
      <c r="J6" s="544"/>
      <c r="K6" s="544"/>
      <c r="L6" s="544"/>
      <c r="M6" s="9"/>
      <c r="N6" s="696"/>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4"/>
      <c r="B7" s="540" t="s">
        <v>732</v>
      </c>
      <c r="C7" s="578"/>
      <c r="D7" s="544"/>
      <c r="E7" s="544"/>
      <c r="F7" s="544"/>
      <c r="G7" s="544">
        <v>3.3714285714285648E-2</v>
      </c>
      <c r="H7" s="544">
        <v>3.433928571428569E-2</v>
      </c>
      <c r="I7" s="544">
        <v>4.9198011904761828E-2</v>
      </c>
      <c r="J7" s="544"/>
      <c r="K7" s="544"/>
      <c r="L7" s="544"/>
      <c r="M7" s="9"/>
      <c r="N7" s="696"/>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4"/>
      <c r="B8" s="540" t="s">
        <v>698</v>
      </c>
      <c r="C8" s="578"/>
      <c r="D8" s="544"/>
      <c r="E8" s="544"/>
      <c r="F8" s="544"/>
      <c r="G8" s="544"/>
      <c r="H8" s="544"/>
      <c r="I8" s="544"/>
      <c r="J8" s="544"/>
      <c r="K8" s="544"/>
      <c r="L8" s="544"/>
      <c r="M8" s="9"/>
      <c r="N8" s="696"/>
      <c r="O8" s="584" t="s">
        <v>698</v>
      </c>
      <c r="P8" s="549"/>
      <c r="Q8" s="645"/>
      <c r="R8" s="536"/>
      <c r="S8" s="645"/>
      <c r="T8" s="536"/>
      <c r="U8" s="645"/>
      <c r="V8" s="536"/>
      <c r="W8" s="645"/>
      <c r="X8" s="549"/>
      <c r="Y8" s="645"/>
      <c r="Z8" s="536"/>
      <c r="AA8" s="645"/>
      <c r="AB8" s="536"/>
      <c r="AC8" s="645"/>
      <c r="AD8" s="549"/>
      <c r="AE8" s="647"/>
      <c r="AF8" s="549"/>
      <c r="AG8" s="647"/>
    </row>
    <row r="9" spans="1:33" x14ac:dyDescent="0.25">
      <c r="A9" s="694"/>
      <c r="B9" s="552" t="s">
        <v>0</v>
      </c>
      <c r="C9" s="579"/>
      <c r="D9" s="535"/>
      <c r="E9" s="535"/>
      <c r="F9" s="535"/>
      <c r="G9" s="535"/>
      <c r="H9" s="535"/>
      <c r="I9" s="535"/>
      <c r="J9" s="535"/>
      <c r="K9" s="535"/>
      <c r="L9" s="535"/>
      <c r="M9" s="9"/>
      <c r="N9" s="696"/>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5" t="s">
        <v>728</v>
      </c>
      <c r="B10" s="541" t="s">
        <v>680</v>
      </c>
      <c r="C10" s="583">
        <v>4.0980247552447779E-2</v>
      </c>
      <c r="D10" s="557">
        <v>7.0304873926074096E-2</v>
      </c>
      <c r="E10" s="557">
        <v>4.0579372027972196E-2</v>
      </c>
      <c r="F10" s="557"/>
      <c r="G10" s="557"/>
      <c r="H10" s="557"/>
      <c r="I10" s="557"/>
      <c r="J10" s="557">
        <v>0</v>
      </c>
      <c r="K10" s="557">
        <v>3.0871978021978067E-2</v>
      </c>
      <c r="L10" s="557"/>
      <c r="M10" s="9"/>
      <c r="N10" s="697"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4"/>
      <c r="B11" s="540" t="s">
        <v>679</v>
      </c>
      <c r="C11" s="578"/>
      <c r="D11" s="544"/>
      <c r="E11" s="544"/>
      <c r="F11" s="544">
        <v>5.1022557865187314E-2</v>
      </c>
      <c r="G11" s="544"/>
      <c r="H11" s="544"/>
      <c r="I11" s="544"/>
      <c r="J11" s="544"/>
      <c r="K11" s="544"/>
      <c r="L11" s="544"/>
      <c r="M11" s="9"/>
      <c r="N11" s="696"/>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4"/>
      <c r="B12" s="540" t="s">
        <v>731</v>
      </c>
      <c r="C12" s="578"/>
      <c r="D12" s="544"/>
      <c r="E12" s="544"/>
      <c r="F12" s="544"/>
      <c r="G12" s="544">
        <v>4.2215952380952187E-2</v>
      </c>
      <c r="H12" s="544">
        <v>6.617364468864452E-2</v>
      </c>
      <c r="I12" s="544">
        <v>0</v>
      </c>
      <c r="J12" s="544"/>
      <c r="K12" s="544"/>
      <c r="L12" s="544"/>
      <c r="M12" s="9"/>
      <c r="N12" s="696"/>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4"/>
      <c r="B13" s="540" t="s">
        <v>732</v>
      </c>
      <c r="C13" s="578"/>
      <c r="D13" s="544"/>
      <c r="E13" s="544"/>
      <c r="F13" s="544"/>
      <c r="G13" s="544">
        <v>3.8151785714285652E-2</v>
      </c>
      <c r="H13" s="544">
        <v>3.8776785714285687E-2</v>
      </c>
      <c r="I13" s="544">
        <v>5.7961761904761842E-2</v>
      </c>
      <c r="J13" s="544"/>
      <c r="K13" s="544"/>
      <c r="L13" s="544"/>
      <c r="M13" s="9"/>
      <c r="N13" s="696"/>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4"/>
      <c r="B14" s="540" t="s">
        <v>698</v>
      </c>
      <c r="C14" s="578"/>
      <c r="D14" s="544"/>
      <c r="E14" s="544"/>
      <c r="F14" s="544"/>
      <c r="G14" s="544"/>
      <c r="H14" s="544"/>
      <c r="I14" s="544"/>
      <c r="J14" s="544"/>
      <c r="K14" s="544"/>
      <c r="L14" s="544"/>
      <c r="M14" s="9"/>
      <c r="N14" s="696"/>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4"/>
      <c r="B15" s="552" t="s">
        <v>0</v>
      </c>
      <c r="C15" s="579"/>
      <c r="D15" s="535"/>
      <c r="E15" s="535"/>
      <c r="F15" s="535"/>
      <c r="G15" s="535"/>
      <c r="H15" s="535"/>
      <c r="I15" s="535"/>
      <c r="J15" s="535"/>
      <c r="K15" s="535"/>
      <c r="L15" s="535"/>
      <c r="M15" s="9"/>
      <c r="N15" s="696"/>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5"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7"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4"/>
      <c r="B17" s="540" t="s">
        <v>679</v>
      </c>
      <c r="C17" s="578"/>
      <c r="D17" s="544"/>
      <c r="E17" s="544"/>
      <c r="F17" s="544">
        <v>4.2273232055429683E-2</v>
      </c>
      <c r="G17" s="544"/>
      <c r="H17" s="544"/>
      <c r="I17" s="544"/>
      <c r="J17" s="544"/>
      <c r="K17" s="544"/>
      <c r="L17" s="544"/>
      <c r="M17" s="9"/>
      <c r="N17" s="696"/>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4"/>
      <c r="B18" s="540" t="s">
        <v>731</v>
      </c>
      <c r="C18" s="578"/>
      <c r="D18" s="544"/>
      <c r="E18" s="544"/>
      <c r="F18" s="544"/>
      <c r="G18" s="544">
        <v>5.2239892473118138E-2</v>
      </c>
      <c r="H18" s="544">
        <v>8.0176190476190248E-2</v>
      </c>
      <c r="I18" s="544">
        <v>0</v>
      </c>
      <c r="J18" s="544"/>
      <c r="K18" s="544"/>
      <c r="L18" s="544"/>
      <c r="M18" s="9"/>
      <c r="N18" s="696"/>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4"/>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6"/>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4"/>
      <c r="B20" s="540" t="s">
        <v>698</v>
      </c>
      <c r="C20" s="578"/>
      <c r="D20" s="544"/>
      <c r="E20" s="544"/>
      <c r="F20" s="544"/>
      <c r="G20" s="544"/>
      <c r="H20" s="544"/>
      <c r="I20" s="544"/>
      <c r="J20" s="544"/>
      <c r="K20" s="544"/>
      <c r="L20" s="544"/>
      <c r="M20" s="9"/>
      <c r="N20" s="696"/>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4"/>
      <c r="B21" s="552" t="s">
        <v>0</v>
      </c>
      <c r="C21" s="578"/>
      <c r="D21" s="544"/>
      <c r="E21" s="544"/>
      <c r="F21" s="544"/>
      <c r="G21" s="544"/>
      <c r="H21" s="544"/>
      <c r="I21" s="544"/>
      <c r="J21" s="544"/>
      <c r="K21" s="544"/>
      <c r="L21" s="544"/>
      <c r="M21" s="9"/>
      <c r="N21" s="696"/>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5"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7"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4"/>
      <c r="B23" s="556" t="s">
        <v>679</v>
      </c>
      <c r="C23" s="578"/>
      <c r="D23" s="544"/>
      <c r="E23" s="544"/>
      <c r="F23" s="544">
        <v>4.3797642829840472E-2</v>
      </c>
      <c r="G23" s="544"/>
      <c r="H23" s="544"/>
      <c r="I23" s="544"/>
      <c r="J23" s="544"/>
      <c r="K23" s="544"/>
      <c r="L23" s="544"/>
      <c r="M23" s="9"/>
      <c r="N23" s="696"/>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4"/>
      <c r="B24" s="556" t="s">
        <v>731</v>
      </c>
      <c r="C24" s="578"/>
      <c r="D24" s="544"/>
      <c r="E24" s="544"/>
      <c r="F24" s="544"/>
      <c r="G24" s="544">
        <v>4.8379892473118219E-2</v>
      </c>
      <c r="H24" s="544">
        <v>7.5159999999999741E-2</v>
      </c>
      <c r="I24" s="544">
        <v>0</v>
      </c>
      <c r="J24" s="544"/>
      <c r="K24" s="544"/>
      <c r="L24" s="544"/>
      <c r="M24" s="9"/>
      <c r="N24" s="696"/>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4"/>
      <c r="B25" s="556" t="s">
        <v>732</v>
      </c>
      <c r="C25" s="578"/>
      <c r="D25" s="544"/>
      <c r="E25" s="544"/>
      <c r="F25" s="544"/>
      <c r="G25" s="544">
        <v>2.3874999999999962E-2</v>
      </c>
      <c r="H25" s="544">
        <v>2.31875E-2</v>
      </c>
      <c r="I25" s="544">
        <v>2.7005333333333312E-2</v>
      </c>
      <c r="J25" s="544"/>
      <c r="K25" s="544"/>
      <c r="L25" s="544">
        <v>0.16964285714285698</v>
      </c>
      <c r="M25" s="655">
        <f>1/L25</f>
        <v>5.894736842105269</v>
      </c>
      <c r="N25" s="696"/>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4"/>
      <c r="B26" s="556" t="s">
        <v>698</v>
      </c>
      <c r="C26" s="578"/>
      <c r="D26" s="544"/>
      <c r="E26" s="544"/>
      <c r="F26" s="544"/>
      <c r="G26" s="544"/>
      <c r="H26" s="544"/>
      <c r="I26" s="544"/>
      <c r="J26" s="544"/>
      <c r="K26" s="544"/>
      <c r="L26" s="544"/>
      <c r="M26" s="9"/>
      <c r="N26" s="696"/>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4"/>
      <c r="B27" s="552" t="s">
        <v>0</v>
      </c>
      <c r="C27" s="579"/>
      <c r="D27" s="535"/>
      <c r="E27" s="535"/>
      <c r="F27" s="535"/>
      <c r="G27" s="535"/>
      <c r="H27" s="535"/>
      <c r="I27" s="535"/>
      <c r="J27" s="535"/>
      <c r="K27" s="535"/>
      <c r="L27" s="535"/>
      <c r="M27" s="9"/>
      <c r="N27" s="696"/>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12.080559440559444</v>
      </c>
      <c r="G3" s="265">
        <f>Evaluacion!M3</f>
        <v>2.0499999999999989</v>
      </c>
      <c r="H3" s="265">
        <f>Evaluacion!N3</f>
        <v>2.1399999999999992</v>
      </c>
      <c r="I3" s="265">
        <f>Evaluacion!O3</f>
        <v>1.0400000000000003</v>
      </c>
      <c r="J3" s="265">
        <f>Evaluacion!P3</f>
        <v>0.14055555555555557</v>
      </c>
      <c r="K3" s="265">
        <f>Evaluacion!Q3</f>
        <v>17.849999999999998</v>
      </c>
      <c r="M3" t="s">
        <v>1</v>
      </c>
      <c r="N3" s="596">
        <v>1</v>
      </c>
      <c r="O3" s="597">
        <f>Evaluacion!X3</f>
        <v>15.621172266742139</v>
      </c>
      <c r="P3" s="597">
        <f>Evaluacion!Y3</f>
        <v>23.023455149112589</v>
      </c>
      <c r="Q3" s="597">
        <f>Evaluacion!Z3</f>
        <v>15.621172266742139</v>
      </c>
      <c r="R3" s="597">
        <v>0</v>
      </c>
      <c r="S3" s="597">
        <v>0</v>
      </c>
      <c r="T3" s="597">
        <v>0</v>
      </c>
      <c r="U3" s="597">
        <v>0</v>
      </c>
      <c r="V3" s="597">
        <v>0</v>
      </c>
      <c r="W3" s="597">
        <f>Evaluacion!T3</f>
        <v>0.54252777777777772</v>
      </c>
      <c r="X3" s="597">
        <f>Evaluacion!U3</f>
        <v>1.0187223776223777</v>
      </c>
      <c r="Y3" s="601"/>
    </row>
    <row r="4" spans="2:25" x14ac:dyDescent="0.25">
      <c r="B4" t="s">
        <v>804</v>
      </c>
      <c r="C4" t="str">
        <f>Evaluacion!A6</f>
        <v>E. Toney</v>
      </c>
      <c r="D4" s="636"/>
      <c r="E4" s="265">
        <f>Evaluacion!K6</f>
        <v>0</v>
      </c>
      <c r="F4" s="265">
        <f>Evaluacion!L6</f>
        <v>12.200000000000005</v>
      </c>
      <c r="G4" s="265">
        <f>Evaluacion!M6</f>
        <v>13.156555555555553</v>
      </c>
      <c r="H4" s="265">
        <f>Evaluacion!N6</f>
        <v>9.8200000000000056</v>
      </c>
      <c r="I4" s="265">
        <f>Evaluacion!O6</f>
        <v>9.6</v>
      </c>
      <c r="J4" s="265">
        <f>Evaluacion!P6</f>
        <v>3.6816666666666658</v>
      </c>
      <c r="K4" s="265">
        <f>Evaluacion!Q6</f>
        <v>16.627777777777773</v>
      </c>
      <c r="M4" t="s">
        <v>804</v>
      </c>
      <c r="N4" s="596">
        <v>1</v>
      </c>
      <c r="O4" s="597">
        <f>Evaluacion!AI6</f>
        <v>13.936601392294364</v>
      </c>
      <c r="P4" s="597">
        <f>Evaluacion!AJ6</f>
        <v>6.2714706265324631</v>
      </c>
      <c r="Q4" s="597">
        <v>0</v>
      </c>
      <c r="R4" s="597">
        <f>Evaluacion!AK6</f>
        <v>2.6895409000746877</v>
      </c>
      <c r="S4" s="597">
        <f>Evaluacion!AL6</f>
        <v>7.507866107249006</v>
      </c>
      <c r="T4" s="597">
        <v>0</v>
      </c>
      <c r="U4" s="597">
        <v>0</v>
      </c>
      <c r="V4" s="597">
        <f>Evaluacion!R6</f>
        <v>4.3000000000000007</v>
      </c>
      <c r="W4" s="597">
        <f>Evaluacion!T6</f>
        <v>0.68291666666666639</v>
      </c>
      <c r="X4" s="597">
        <f>Evaluacion!U6</f>
        <v>0.98683333333333345</v>
      </c>
    </row>
    <row r="5" spans="2:25" x14ac:dyDescent="0.25">
      <c r="B5" t="s">
        <v>805</v>
      </c>
      <c r="C5" t="str">
        <f>Evaluacion!A15</f>
        <v>E. Gross</v>
      </c>
      <c r="D5" s="636"/>
      <c r="E5" s="265">
        <f>Evaluacion!K15</f>
        <v>0</v>
      </c>
      <c r="F5" s="265">
        <f>Evaluacion!L15</f>
        <v>10.549999999999995</v>
      </c>
      <c r="G5" s="265">
        <f>Evaluacion!M15</f>
        <v>12.869777777777777</v>
      </c>
      <c r="H5" s="265">
        <f>Evaluacion!N15</f>
        <v>5.1299999999999981</v>
      </c>
      <c r="I5" s="265">
        <f>Evaluacion!O15</f>
        <v>9.24</v>
      </c>
      <c r="J5" s="265">
        <f>Evaluacion!P15</f>
        <v>2.98</v>
      </c>
      <c r="K5" s="265">
        <f>Evaluacion!Q15</f>
        <v>16.959999999999997</v>
      </c>
      <c r="M5" t="s">
        <v>805</v>
      </c>
      <c r="N5" s="596">
        <v>1</v>
      </c>
      <c r="O5" s="597">
        <f>(Evaluacion!AA15+Evaluacion!AC15)/2</f>
        <v>5.1582153584376824</v>
      </c>
      <c r="P5" s="597">
        <f>Evaluacion!AB15</f>
        <v>13.328721856428119</v>
      </c>
      <c r="Q5" s="597">
        <f>O5</f>
        <v>5.1582153584376824</v>
      </c>
      <c r="R5" s="597">
        <f>Evaluacion!AD15</f>
        <v>3.7243429129410042</v>
      </c>
      <c r="S5" s="597">
        <v>0</v>
      </c>
      <c r="T5" s="597">
        <v>0</v>
      </c>
      <c r="U5" s="597">
        <v>0</v>
      </c>
      <c r="V5" s="597">
        <f>Evaluacion!R15</f>
        <v>4.0037499999999993</v>
      </c>
      <c r="W5" s="597">
        <f>Evaluacion!T15</f>
        <v>0.65779999999999994</v>
      </c>
      <c r="X5" s="597">
        <f>Evaluacion!U15</f>
        <v>0.93079999999999963</v>
      </c>
    </row>
    <row r="6" spans="2:25" x14ac:dyDescent="0.25">
      <c r="B6" t="s">
        <v>804</v>
      </c>
      <c r="C6" t="str">
        <f>Evaluacion!A9</f>
        <v>B. Pinczehelyi</v>
      </c>
      <c r="D6" s="636" t="str">
        <f>Evaluacion!D9</f>
        <v>CAB</v>
      </c>
      <c r="E6" s="265">
        <f>Evaluacion!K9</f>
        <v>0</v>
      </c>
      <c r="F6" s="265">
        <f>Evaluacion!L9</f>
        <v>14.300000000000004</v>
      </c>
      <c r="G6" s="265">
        <f>Evaluacion!M9</f>
        <v>9.3193333333333346</v>
      </c>
      <c r="H6" s="265">
        <f>Evaluacion!N9</f>
        <v>14.291666666666663</v>
      </c>
      <c r="I6" s="265">
        <f>Evaluacion!O9</f>
        <v>9.4199999999999982</v>
      </c>
      <c r="J6" s="265">
        <f>Evaluacion!P9</f>
        <v>1.1428571428571428</v>
      </c>
      <c r="K6" s="265">
        <f>Evaluacion!Q9</f>
        <v>9.4</v>
      </c>
      <c r="M6" t="s">
        <v>804</v>
      </c>
      <c r="N6" s="596">
        <v>1</v>
      </c>
      <c r="O6" s="597">
        <v>0</v>
      </c>
      <c r="P6" s="597">
        <f>Evaluacion!AJ9</f>
        <v>6.9685689501857713</v>
      </c>
      <c r="Q6" s="597">
        <f>Evaluacion!AI9</f>
        <v>15.485708778190604</v>
      </c>
      <c r="R6" s="597">
        <f>Evaluacion!AK9</f>
        <v>1.9792214557512648</v>
      </c>
      <c r="S6" s="597">
        <v>0</v>
      </c>
      <c r="T6" s="597">
        <f>0</f>
        <v>0</v>
      </c>
      <c r="U6" s="597">
        <f>Evaluacion!AL9</f>
        <v>9.8924877843218155</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13.759999999999998</v>
      </c>
      <c r="H7" s="265">
        <f>Evaluacion!N13</f>
        <v>12.835000000000001</v>
      </c>
      <c r="I7" s="265">
        <f>Evaluacion!O13</f>
        <v>9.6733333333333356</v>
      </c>
      <c r="J7" s="265">
        <f>Evaluacion!P13</f>
        <v>5.0296666666666656</v>
      </c>
      <c r="K7" s="265">
        <f>Evaluacion!Q13</f>
        <v>15.2</v>
      </c>
      <c r="M7" t="s">
        <v>503</v>
      </c>
      <c r="N7" s="596">
        <v>0.82499999999999996</v>
      </c>
      <c r="O7" s="597">
        <f>Evaluacion!BE13*N7</f>
        <v>2.9192426469095385</v>
      </c>
      <c r="P7" s="597">
        <f>Evaluacion!BF13*N7</f>
        <v>3.4910530622835725</v>
      </c>
      <c r="Q7" s="597">
        <v>0</v>
      </c>
      <c r="R7" s="597">
        <f>Evaluacion!BG13*N7</f>
        <v>12.076956509114446</v>
      </c>
      <c r="S7" s="597">
        <f>Evaluacion!BH13*N7</f>
        <v>10.686566152500278</v>
      </c>
      <c r="T7" s="597">
        <f>Evaluacion!BI13*N7</f>
        <v>2.4911535382481067</v>
      </c>
      <c r="U7" s="597">
        <v>0</v>
      </c>
      <c r="V7" s="597">
        <v>0</v>
      </c>
      <c r="W7" s="597">
        <f>Evaluacion!T13*N7</f>
        <v>0.58367374999999988</v>
      </c>
      <c r="X7" s="597">
        <f>Evaluacion!U13*N7</f>
        <v>0.68322099999999997</v>
      </c>
    </row>
    <row r="8" spans="2:25" x14ac:dyDescent="0.25">
      <c r="B8" t="s">
        <v>806</v>
      </c>
      <c r="C8" t="str">
        <f>Evaluacion!A16</f>
        <v>L. Bauman</v>
      </c>
      <c r="D8" s="636"/>
      <c r="E8" s="265">
        <f>Evaluacion!K16</f>
        <v>0</v>
      </c>
      <c r="F8" s="265">
        <f>Evaluacion!L16</f>
        <v>5.4644444444444451</v>
      </c>
      <c r="G8" s="265">
        <f>Evaluacion!M16</f>
        <v>14.331408994708985</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0.95610377656865342</v>
      </c>
      <c r="P8" s="597">
        <f>Evaluacion!AY16*N8</f>
        <v>2.6980000749732729</v>
      </c>
      <c r="Q8" s="597">
        <f>O8</f>
        <v>0.95610377656865342</v>
      </c>
      <c r="R8" s="597">
        <f>Evaluacion!BA16*N8</f>
        <v>14.060245941401426</v>
      </c>
      <c r="S8" s="597">
        <f>((Evaluacion!BB16+Evaluacion!BD16)/2)*N8</f>
        <v>1.8552490355654465</v>
      </c>
      <c r="T8" s="597">
        <f>Evaluacion!BC16*N8</f>
        <v>5.0913805199423514</v>
      </c>
      <c r="U8" s="597">
        <f>S8</f>
        <v>1.8552490355654465</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14.238017460317453</v>
      </c>
      <c r="H9" s="265">
        <f>Evaluacion!N14</f>
        <v>9.99</v>
      </c>
      <c r="I9" s="265">
        <f>Evaluacion!O14</f>
        <v>10.09</v>
      </c>
      <c r="J9" s="265">
        <f>Evaluacion!P14</f>
        <v>4.3999999999999995</v>
      </c>
      <c r="K9" s="265">
        <f>Evaluacion!Q14</f>
        <v>16.544444444444441</v>
      </c>
      <c r="M9" t="s">
        <v>503</v>
      </c>
      <c r="N9" s="596">
        <v>0.82499999999999996</v>
      </c>
      <c r="O9" s="597">
        <v>0</v>
      </c>
      <c r="P9" s="597">
        <f>Evaluacion!BF14*N9</f>
        <v>3.3062663198785689</v>
      </c>
      <c r="Q9" s="597">
        <f>Evaluacion!BE14*N9</f>
        <v>2.7647226985191478</v>
      </c>
      <c r="R9" s="597">
        <f>Evaluacion!BG14*N9</f>
        <v>12.447998191782068</v>
      </c>
      <c r="S9" s="597">
        <v>0</v>
      </c>
      <c r="T9" s="597">
        <f>Evaluacion!BI14*N9</f>
        <v>2.5804549508354451</v>
      </c>
      <c r="U9" s="597">
        <f>Evaluacion!BH14*N9</f>
        <v>9.4714186568162262</v>
      </c>
      <c r="V9" s="597">
        <v>0</v>
      </c>
      <c r="W9" s="597">
        <f>Evaluacion!T14*N9</f>
        <v>0.59097499999999992</v>
      </c>
      <c r="X9" s="597">
        <f>Evaluacion!U14*N9</f>
        <v>0.69418433333333329</v>
      </c>
    </row>
    <row r="10" spans="2:25" x14ac:dyDescent="0.25">
      <c r="B10" t="s">
        <v>807</v>
      </c>
      <c r="C10" t="str">
        <f>Evaluacion!A10</f>
        <v>E. Romweber</v>
      </c>
      <c r="D10" s="636" t="str">
        <f>Evaluacion!D10</f>
        <v>IMP</v>
      </c>
      <c r="E10" s="265">
        <f>Evaluacion!K10</f>
        <v>0</v>
      </c>
      <c r="F10" s="265">
        <f>Evaluacion!L10</f>
        <v>12.06111111111111</v>
      </c>
      <c r="G10" s="265">
        <f>Evaluacion!M10</f>
        <v>12.534111111111114</v>
      </c>
      <c r="H10" s="265">
        <f>Evaluacion!N10</f>
        <v>13.133333333333335</v>
      </c>
      <c r="I10" s="265">
        <f>Evaluacion!O10</f>
        <v>10.91</v>
      </c>
      <c r="J10" s="265">
        <f>Evaluacion!P10</f>
        <v>7.7700000000000005</v>
      </c>
      <c r="K10" s="265">
        <f>Evaluacion!Q10</f>
        <v>17.13</v>
      </c>
      <c r="M10" t="s">
        <v>807</v>
      </c>
      <c r="N10" s="596">
        <v>1</v>
      </c>
      <c r="O10" s="597">
        <f>Evaluacion!BT10</f>
        <v>4.2640662910872731</v>
      </c>
      <c r="P10" s="597">
        <f>Evaluacion!BU10</f>
        <v>3.6634935740327279</v>
      </c>
      <c r="Q10" s="597">
        <v>0</v>
      </c>
      <c r="R10" s="597">
        <f>Evaluacion!BV10</f>
        <v>7.0467296564954589</v>
      </c>
      <c r="S10" s="597">
        <f>Evaluacion!BW10</f>
        <v>17.281393151299806</v>
      </c>
      <c r="T10" s="597">
        <f>Evaluacion!BX10</f>
        <v>1.6774480246455561</v>
      </c>
      <c r="U10" s="597">
        <v>0</v>
      </c>
      <c r="V10" s="597">
        <v>0</v>
      </c>
      <c r="W10" s="597">
        <f>Evaluacion!T10*N10</f>
        <v>0.90239999999999987</v>
      </c>
      <c r="X10" s="597">
        <f>Evaluacion!U10*N10</f>
        <v>0.99634444444444448</v>
      </c>
    </row>
    <row r="11" spans="2:25" x14ac:dyDescent="0.25">
      <c r="B11" t="s">
        <v>807</v>
      </c>
      <c r="C11" t="str">
        <f>Evaluacion!A11</f>
        <v>K. Helms</v>
      </c>
      <c r="D11" s="636" t="str">
        <f>Evaluacion!D11</f>
        <v>TEC</v>
      </c>
      <c r="E11" s="265">
        <f>Evaluacion!K11</f>
        <v>0</v>
      </c>
      <c r="F11" s="265">
        <f>Evaluacion!L11</f>
        <v>7.2503030303030309</v>
      </c>
      <c r="G11" s="265">
        <f>Evaluacion!M11</f>
        <v>10.500000000000004</v>
      </c>
      <c r="H11" s="265">
        <f>Evaluacion!N11</f>
        <v>13.388333333333334</v>
      </c>
      <c r="I11" s="265">
        <f>Evaluacion!O11</f>
        <v>10.359999999999998</v>
      </c>
      <c r="J11" s="265">
        <f>Evaluacion!P11</f>
        <v>5.4050000000000002</v>
      </c>
      <c r="K11" s="265">
        <f>Evaluacion!Q11</f>
        <v>17.300000000000004</v>
      </c>
      <c r="M11" t="s">
        <v>807</v>
      </c>
      <c r="N11" s="596">
        <v>1</v>
      </c>
      <c r="O11" s="597">
        <v>0</v>
      </c>
      <c r="P11" s="597">
        <f>Evaluacion!BU11</f>
        <v>2.4645836498313551</v>
      </c>
      <c r="Q11" s="597">
        <f>Evaluacion!BT11</f>
        <v>2.8686137563610856</v>
      </c>
      <c r="R11" s="597">
        <f>Evaluacion!BV11</f>
        <v>6.0744545829878058</v>
      </c>
      <c r="S11" s="597">
        <v>0</v>
      </c>
      <c r="T11" s="597">
        <f>Evaluacion!BX11</f>
        <v>1.5984644055857675</v>
      </c>
      <c r="U11" s="597">
        <f>Evaluacion!BW11</f>
        <v>17.253658193297774</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8.625</v>
      </c>
      <c r="H12" s="265">
        <f>Evaluacion!N19</f>
        <v>8.7299999999999969</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2.70703125</v>
      </c>
      <c r="S12" s="597">
        <f>N12*Evaluacion!CH19</f>
        <v>6.7725566999999991</v>
      </c>
      <c r="T12" s="597">
        <f>N12*Evaluacion!CI19</f>
        <v>15.136011450000003</v>
      </c>
      <c r="U12" s="597">
        <f>S12</f>
        <v>6.7725566999999991</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14.137609523809523</v>
      </c>
      <c r="H13" s="265">
        <f>Evaluacion!N20</f>
        <v>3.02</v>
      </c>
      <c r="I13" s="265">
        <f>Evaluacion!O20</f>
        <v>15.02</v>
      </c>
      <c r="J13" s="265">
        <f>Evaluacion!P20</f>
        <v>10</v>
      </c>
      <c r="K13" s="265">
        <f>Evaluacion!Q20</f>
        <v>9.3000000000000007</v>
      </c>
      <c r="M13" t="s">
        <v>602</v>
      </c>
      <c r="N13" s="596">
        <f>1-0.055</f>
        <v>0.94499999999999995</v>
      </c>
      <c r="O13" s="597">
        <v>0</v>
      </c>
      <c r="P13" s="597">
        <v>0</v>
      </c>
      <c r="Q13" s="597">
        <v>0</v>
      </c>
      <c r="R13" s="597">
        <f>N13*Evaluacion!CD20</f>
        <v>6.5156411498665259</v>
      </c>
      <c r="S13" s="597">
        <f>N13*Evaluacion!CE20</f>
        <v>7.8427486660684291</v>
      </c>
      <c r="T13" s="597">
        <f>N13*Evaluacion!CF20</f>
        <v>16.243704279688938</v>
      </c>
      <c r="U13" s="597">
        <f>S13</f>
        <v>7.8427486660684291</v>
      </c>
      <c r="V13" s="597">
        <v>0</v>
      </c>
      <c r="W13" s="597">
        <f>Evaluacion!T20*N13</f>
        <v>0.736155</v>
      </c>
      <c r="X13" s="597">
        <f>Evaluacion!U20*N13</f>
        <v>0.37781100000000001</v>
      </c>
    </row>
    <row r="14" spans="2:25" x14ac:dyDescent="0.25">
      <c r="M14" s="263"/>
      <c r="N14" s="444"/>
      <c r="O14" s="598">
        <f>SUM(O3:O13)</f>
        <v>42.855401732039653</v>
      </c>
      <c r="P14" s="598">
        <f t="shared" ref="P14:X14" si="0">SUM(P3:P13)</f>
        <v>65.215613263258433</v>
      </c>
      <c r="Q14" s="598">
        <f t="shared" si="0"/>
        <v>42.854536634819318</v>
      </c>
      <c r="R14" s="598">
        <f t="shared" si="0"/>
        <v>69.322162550414689</v>
      </c>
      <c r="S14" s="598">
        <f t="shared" si="0"/>
        <v>51.946379812682963</v>
      </c>
      <c r="T14" s="598">
        <f t="shared" si="0"/>
        <v>44.818617168946169</v>
      </c>
      <c r="U14" s="598">
        <f t="shared" si="0"/>
        <v>53.088119036069685</v>
      </c>
      <c r="V14" s="654">
        <f t="shared" si="0"/>
        <v>12.821250000000001</v>
      </c>
      <c r="W14" s="654">
        <f t="shared" si="0"/>
        <v>7.4621610932539681</v>
      </c>
      <c r="X14" s="654">
        <f t="shared" si="0"/>
        <v>8.7158937766122762</v>
      </c>
    </row>
    <row r="15" spans="2:25" ht="15.75" x14ac:dyDescent="0.25">
      <c r="M15" s="263"/>
      <c r="N15" s="263" t="s">
        <v>812</v>
      </c>
      <c r="O15" s="600">
        <f>O14*0.34</f>
        <v>14.570836588893483</v>
      </c>
      <c r="P15" s="600">
        <f>P14*0.245</f>
        <v>15.977825249498316</v>
      </c>
      <c r="Q15" s="600">
        <f>Q14*0.34</f>
        <v>14.57054245583857</v>
      </c>
      <c r="R15" s="600">
        <f>R14*0.125</f>
        <v>8.6652703188018361</v>
      </c>
      <c r="S15" s="600">
        <f>S14*0.25</f>
        <v>12.986594953170741</v>
      </c>
      <c r="T15" s="600">
        <f>T14*0.19</f>
        <v>8.5155372620997714</v>
      </c>
      <c r="U15" s="600">
        <f>U14*0.25</f>
        <v>13.272029759017421</v>
      </c>
    </row>
    <row r="16" spans="2:25" ht="15.75" x14ac:dyDescent="0.25">
      <c r="M16" s="263"/>
      <c r="N16" s="263" t="s">
        <v>813</v>
      </c>
      <c r="O16" s="610">
        <f>O15*1.2/1.05</f>
        <v>16.652384673021125</v>
      </c>
      <c r="P16" s="610">
        <f t="shared" ref="P16:Q16" si="1">P15*1.2/1.05</f>
        <v>18.26037171371236</v>
      </c>
      <c r="Q16" s="610">
        <f t="shared" si="1"/>
        <v>16.652048520958363</v>
      </c>
      <c r="R16" s="610">
        <f>R15</f>
        <v>8.6652703188018361</v>
      </c>
      <c r="S16" s="610">
        <f>S15*0.925/1.05</f>
        <v>11.440571744459939</v>
      </c>
      <c r="T16" s="610">
        <f t="shared" ref="T16:U16" si="2">T15*0.925/1.05</f>
        <v>7.5017828261355124</v>
      </c>
      <c r="U16" s="610">
        <f t="shared" si="2"/>
        <v>11.692026216277252</v>
      </c>
    </row>
    <row r="17" spans="13:21" ht="15.75" x14ac:dyDescent="0.25">
      <c r="M17" s="263"/>
      <c r="N17" s="263" t="s">
        <v>814</v>
      </c>
      <c r="O17" s="610">
        <f>O15*0.925/1.05</f>
        <v>12.836213185453783</v>
      </c>
      <c r="P17" s="610">
        <f t="shared" ref="P17:Q17" si="3">P15*0.925/1.05</f>
        <v>14.075703195986613</v>
      </c>
      <c r="Q17" s="610">
        <f t="shared" si="3"/>
        <v>12.83595406823874</v>
      </c>
      <c r="R17" s="610">
        <f>R16</f>
        <v>8.6652703188018361</v>
      </c>
      <c r="S17" s="610">
        <f>S15*1.135/1.05</f>
        <v>14.037890735094086</v>
      </c>
      <c r="T17" s="610">
        <f t="shared" ref="T17:U17" si="4">T15*1.135/1.05</f>
        <v>9.2048902785554656</v>
      </c>
      <c r="U17" s="610">
        <f t="shared" si="4"/>
        <v>14.346432168080737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12.080559440559444</v>
      </c>
      <c r="F2" s="265">
        <f>Evaluacion!M3</f>
        <v>2.0499999999999989</v>
      </c>
      <c r="G2" s="265">
        <f>Evaluacion!N3</f>
        <v>2.1399999999999992</v>
      </c>
      <c r="H2" s="265">
        <f>Evaluacion!O3</f>
        <v>1.0400000000000003</v>
      </c>
      <c r="I2" s="265">
        <f>Evaluacion!P3</f>
        <v>0.14055555555555557</v>
      </c>
      <c r="J2" s="265">
        <f>Evaluacion!Q3</f>
        <v>17.849999999999998</v>
      </c>
      <c r="L2" t="str">
        <f>A2</f>
        <v>POR</v>
      </c>
      <c r="M2" s="596">
        <v>1</v>
      </c>
      <c r="N2" s="597">
        <f>Evaluacion!X3</f>
        <v>15.621172266742139</v>
      </c>
      <c r="O2" s="597">
        <f>Evaluacion!Y3</f>
        <v>23.023455149112589</v>
      </c>
      <c r="P2" s="597">
        <f>Evaluacion!Z3</f>
        <v>15.621172266742139</v>
      </c>
      <c r="Q2" s="597">
        <v>0</v>
      </c>
      <c r="R2" s="597">
        <v>0</v>
      </c>
      <c r="S2" s="597">
        <v>0</v>
      </c>
      <c r="T2" s="597">
        <v>0</v>
      </c>
      <c r="U2" s="597">
        <v>0</v>
      </c>
      <c r="V2" s="597">
        <f>Evaluacion!T3</f>
        <v>0.54252777777777772</v>
      </c>
      <c r="W2" s="597">
        <f>Evaluacion!U3</f>
        <v>1.0187223776223777</v>
      </c>
      <c r="AA2" s="602"/>
    </row>
    <row r="3" spans="1:27" x14ac:dyDescent="0.25">
      <c r="A3" t="s">
        <v>804</v>
      </c>
      <c r="B3" t="str">
        <f>Evaluacion!A9</f>
        <v>B. Pinczehelyi</v>
      </c>
      <c r="C3" t="str">
        <f>Evaluacion!D9</f>
        <v>CAB</v>
      </c>
      <c r="D3" s="265">
        <f>Evaluacion!K9</f>
        <v>0</v>
      </c>
      <c r="E3" s="265">
        <f>Evaluacion!L9</f>
        <v>14.300000000000004</v>
      </c>
      <c r="F3" s="265">
        <f>Evaluacion!M9</f>
        <v>9.3193333333333346</v>
      </c>
      <c r="G3" s="265">
        <f>Evaluacion!N9</f>
        <v>14.291666666666663</v>
      </c>
      <c r="H3" s="265">
        <f>Evaluacion!O9</f>
        <v>9.4199999999999982</v>
      </c>
      <c r="I3" s="265">
        <f>Evaluacion!P9</f>
        <v>1.1428571428571428</v>
      </c>
      <c r="J3" s="265">
        <f>Evaluacion!Q9</f>
        <v>9.4</v>
      </c>
      <c r="L3" t="str">
        <f t="shared" ref="L3:L12" si="0">A3</f>
        <v>LATN</v>
      </c>
      <c r="M3" s="596">
        <v>1</v>
      </c>
      <c r="N3" s="597">
        <f>Evaluacion!AI9</f>
        <v>15.485708778190604</v>
      </c>
      <c r="O3" s="597">
        <f>Evaluacion!AJ9</f>
        <v>6.9685689501857713</v>
      </c>
      <c r="P3" s="597">
        <v>0</v>
      </c>
      <c r="Q3" s="597">
        <f>Evaluacion!AK9</f>
        <v>1.9792214557512648</v>
      </c>
      <c r="R3" s="597">
        <f>Evaluacion!AL9</f>
        <v>9.8924877843218155</v>
      </c>
      <c r="S3" s="597">
        <v>0</v>
      </c>
      <c r="T3" s="597">
        <v>0</v>
      </c>
      <c r="U3" s="597">
        <f>Evaluacion!R9</f>
        <v>4.5175000000000001</v>
      </c>
      <c r="V3" s="597">
        <f>Evaluacion!T9</f>
        <v>0.33914285714285713</v>
      </c>
      <c r="W3" s="597">
        <f>Evaluacion!U9</f>
        <v>0.85400000000000031</v>
      </c>
      <c r="AA3" s="603"/>
    </row>
    <row r="4" spans="1:27" x14ac:dyDescent="0.25">
      <c r="A4" t="s">
        <v>816</v>
      </c>
      <c r="B4" t="str">
        <f>Evaluacion!A7</f>
        <v>B. Bartolache</v>
      </c>
      <c r="C4">
        <f>Evaluacion!D7</f>
        <v>0</v>
      </c>
      <c r="D4" s="265">
        <f>Evaluacion!K7</f>
        <v>0</v>
      </c>
      <c r="E4" s="265">
        <f>Evaluacion!L7</f>
        <v>11.999999999999996</v>
      </c>
      <c r="F4" s="265">
        <f>Evaluacion!M7</f>
        <v>7.0025000000000022</v>
      </c>
      <c r="G4" s="265">
        <f>Evaluacion!N7</f>
        <v>7.4300000000000015</v>
      </c>
      <c r="H4" s="265">
        <f>Evaluacion!O7</f>
        <v>9.0199999999999978</v>
      </c>
      <c r="I4" s="265">
        <f>Evaluacion!P7</f>
        <v>4.6199999999999966</v>
      </c>
      <c r="J4" s="265">
        <f>Evaluacion!Q7</f>
        <v>15.6</v>
      </c>
      <c r="L4" t="str">
        <f t="shared" si="0"/>
        <v>DCHL</v>
      </c>
      <c r="M4" s="596">
        <v>0.9</v>
      </c>
      <c r="N4" s="597">
        <f>M4*Evaluacion!AM7</f>
        <v>10.037383371851599</v>
      </c>
      <c r="O4" s="597">
        <f>M4*Evaluacion!AN7</f>
        <v>9.4250231130914219</v>
      </c>
      <c r="P4" s="597">
        <v>0</v>
      </c>
      <c r="Q4" s="597">
        <f>M4*Evaluacion!AO7</f>
        <v>2.764213982890209</v>
      </c>
      <c r="R4" s="597">
        <f>M4*Evaluacion!AP7</f>
        <v>1.7940037070202395</v>
      </c>
      <c r="S4" s="597">
        <v>0</v>
      </c>
      <c r="T4" s="597">
        <v>0</v>
      </c>
      <c r="U4" s="597">
        <f>Evaluacion!R7</f>
        <v>4.129999999999999</v>
      </c>
      <c r="V4" s="597">
        <f>Evaluacion!T7*M4</f>
        <v>0.62909999999999988</v>
      </c>
      <c r="W4" s="597">
        <f>Evaluacion!U7*M4</f>
        <v>0.85319999999999985</v>
      </c>
      <c r="AA4" s="603"/>
    </row>
    <row r="5" spans="1:27" x14ac:dyDescent="0.25">
      <c r="A5" t="s">
        <v>815</v>
      </c>
      <c r="B5" t="str">
        <f>Evaluacion!A6</f>
        <v>E. Toney</v>
      </c>
      <c r="C5">
        <f>Evaluacion!D6</f>
        <v>0</v>
      </c>
      <c r="D5" s="265">
        <f>Evaluacion!K6</f>
        <v>0</v>
      </c>
      <c r="E5" s="265">
        <f>Evaluacion!L6</f>
        <v>12.200000000000005</v>
      </c>
      <c r="F5" s="265">
        <f>Evaluacion!M6</f>
        <v>13.156555555555553</v>
      </c>
      <c r="G5" s="265">
        <f>Evaluacion!N6</f>
        <v>9.8200000000000056</v>
      </c>
      <c r="H5" s="265">
        <f>Evaluacion!O6</f>
        <v>9.6</v>
      </c>
      <c r="I5" s="265">
        <f>Evaluacion!P6</f>
        <v>3.6816666666666658</v>
      </c>
      <c r="J5" s="265">
        <f>Evaluacion!Q6</f>
        <v>16.627777777777773</v>
      </c>
      <c r="L5" t="str">
        <f t="shared" si="0"/>
        <v>DCN</v>
      </c>
      <c r="M5" s="596">
        <v>0.9</v>
      </c>
      <c r="N5" s="597">
        <f>M5*(Evaluacion!AA6+Evaluacion!AC6)/2</f>
        <v>5.2762155053653554</v>
      </c>
      <c r="O5" s="597">
        <f>M5*Evaluacion!AB6</f>
        <v>13.633631796809704</v>
      </c>
      <c r="P5" s="597">
        <f>N5</f>
        <v>5.2762155053653554</v>
      </c>
      <c r="Q5" s="597">
        <f>M5*Evaluacion!AD6</f>
        <v>3.449698567640707</v>
      </c>
      <c r="R5" s="597">
        <v>0</v>
      </c>
      <c r="S5" s="597">
        <f>0</f>
        <v>0</v>
      </c>
      <c r="T5" s="597">
        <v>0</v>
      </c>
      <c r="U5" s="597">
        <f>Evaluacion!R6</f>
        <v>4.3000000000000007</v>
      </c>
      <c r="V5" s="597">
        <f>Evaluacion!T6*M5</f>
        <v>0.61462499999999975</v>
      </c>
      <c r="W5" s="597">
        <f>Evaluacion!U6*M5</f>
        <v>0.88815000000000011</v>
      </c>
      <c r="AA5" s="603"/>
    </row>
    <row r="6" spans="1:27" x14ac:dyDescent="0.25">
      <c r="A6" t="s">
        <v>816</v>
      </c>
      <c r="B6" t="str">
        <f>Evaluacion!A5</f>
        <v>D. Toh</v>
      </c>
      <c r="C6" t="str">
        <f>Evaluacion!D5</f>
        <v>CAB</v>
      </c>
      <c r="D6" s="265">
        <f>Evaluacion!K5</f>
        <v>0</v>
      </c>
      <c r="E6" s="265">
        <f>Evaluacion!L5</f>
        <v>11.077333333333334</v>
      </c>
      <c r="F6" s="265">
        <f>Evaluacion!M5</f>
        <v>6.199444444444441</v>
      </c>
      <c r="G6" s="265">
        <f>Evaluacion!N5</f>
        <v>6.04</v>
      </c>
      <c r="H6" s="265">
        <f>Evaluacion!O5</f>
        <v>7.7227777777777789</v>
      </c>
      <c r="I6" s="265">
        <f>Evaluacion!P5</f>
        <v>4.383333333333332</v>
      </c>
      <c r="J6" s="265">
        <f>Evaluacion!Q5</f>
        <v>15.349999999999998</v>
      </c>
      <c r="L6" t="str">
        <f t="shared" si="0"/>
        <v>DCHL</v>
      </c>
      <c r="M6" s="596">
        <v>0.9</v>
      </c>
      <c r="N6" s="597">
        <v>0</v>
      </c>
      <c r="O6" s="597">
        <f>M6*Evaluacion!AN5</f>
        <v>8.7577288493775889</v>
      </c>
      <c r="P6" s="597">
        <f>M6*Evaluacion!AM5</f>
        <v>9.3267338311168118</v>
      </c>
      <c r="Q6" s="597">
        <f>M6*Evaluacion!AO5</f>
        <v>2.7079172771836966</v>
      </c>
      <c r="R6" s="597">
        <v>0</v>
      </c>
      <c r="S6" s="597">
        <v>0</v>
      </c>
      <c r="T6" s="597">
        <f>M6*Evaluacion!AP5</f>
        <v>1.6477627726281716</v>
      </c>
      <c r="U6" s="597">
        <f>Evaluacion!R5</f>
        <v>3.6903611111111116</v>
      </c>
      <c r="V6" s="597">
        <f>Evaluacion!T5*M6</f>
        <v>0.61169999999999991</v>
      </c>
      <c r="W6" s="597">
        <f>Evaluacion!U5*M6</f>
        <v>0.8132339999999999</v>
      </c>
      <c r="AA6" s="603"/>
    </row>
    <row r="7" spans="1:27" x14ac:dyDescent="0.25">
      <c r="A7" t="s">
        <v>804</v>
      </c>
      <c r="B7" t="str">
        <f>Evaluacion!A10</f>
        <v>E. Romweber</v>
      </c>
      <c r="C7" t="str">
        <f>Evaluacion!D10</f>
        <v>IMP</v>
      </c>
      <c r="D7" s="265">
        <f>Evaluacion!K10</f>
        <v>0</v>
      </c>
      <c r="E7" s="265">
        <f>Evaluacion!L10</f>
        <v>12.06111111111111</v>
      </c>
      <c r="F7" s="265">
        <f>Evaluacion!M10</f>
        <v>12.534111111111114</v>
      </c>
      <c r="G7" s="265">
        <f>Evaluacion!N10</f>
        <v>13.133333333333335</v>
      </c>
      <c r="H7" s="265">
        <f>Evaluacion!O10</f>
        <v>10.91</v>
      </c>
      <c r="I7" s="265">
        <f>Evaluacion!P10</f>
        <v>7.7700000000000005</v>
      </c>
      <c r="J7" s="265">
        <f>Evaluacion!Q10</f>
        <v>17.13</v>
      </c>
      <c r="L7" t="str">
        <f t="shared" si="0"/>
        <v>LATN</v>
      </c>
      <c r="M7" s="596">
        <v>1</v>
      </c>
      <c r="N7" s="597">
        <v>0</v>
      </c>
      <c r="O7" s="597">
        <f>Evaluacion!AJ10</f>
        <v>6.2159276215145471</v>
      </c>
      <c r="P7" s="597">
        <f>Evaluacion!AI10</f>
        <v>13.81317249225455</v>
      </c>
      <c r="Q7" s="597">
        <f>Evaluacion!AK10</f>
        <v>2.5863820937027286</v>
      </c>
      <c r="R7" s="597">
        <v>0</v>
      </c>
      <c r="S7" s="597">
        <v>0</v>
      </c>
      <c r="T7" s="597">
        <f>Evaluacion!AL10</f>
        <v>9.4588856073684884</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14.238017460317453</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3.1333523916550345</v>
      </c>
      <c r="O8" s="597">
        <f>M8*Evaluacion!BF14</f>
        <v>3.7471018291957119</v>
      </c>
      <c r="P8" s="597">
        <v>0</v>
      </c>
      <c r="Q8" s="597">
        <f>Evaluacion!BG14*M8</f>
        <v>14.107731284019678</v>
      </c>
      <c r="R8" s="597">
        <f>Evaluacion!BH14*M8</f>
        <v>10.734274477725059</v>
      </c>
      <c r="S8" s="597">
        <f>Evaluacion!BI14*M8</f>
        <v>2.9245156109468384</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13.759999999999998</v>
      </c>
      <c r="G9" s="265">
        <f>Evaluacion!N13</f>
        <v>12.835000000000001</v>
      </c>
      <c r="H9" s="265">
        <f>Evaluacion!O13</f>
        <v>9.6733333333333356</v>
      </c>
      <c r="I9" s="265">
        <f>Evaluacion!P13</f>
        <v>5.0296666666666656</v>
      </c>
      <c r="J9" s="265">
        <f>Evaluacion!Q13</f>
        <v>15.2</v>
      </c>
      <c r="L9" t="str">
        <f t="shared" si="0"/>
        <v>IHL</v>
      </c>
      <c r="M9" s="596">
        <f>1-0.065</f>
        <v>0.93500000000000005</v>
      </c>
      <c r="N9" s="597">
        <v>0</v>
      </c>
      <c r="O9" s="597">
        <f>M9*Evaluacion!BF13</f>
        <v>3.9565268039213826</v>
      </c>
      <c r="P9" s="597">
        <f>M9*Evaluacion!BE13</f>
        <v>3.3084749998308109</v>
      </c>
      <c r="Q9" s="597">
        <f>Evaluacion!BG13*M9</f>
        <v>13.687217376996372</v>
      </c>
      <c r="R9" s="597">
        <v>0</v>
      </c>
      <c r="S9" s="597">
        <f>Evaluacion!BI13*M9</f>
        <v>2.8233073433478548</v>
      </c>
      <c r="T9" s="597">
        <f>Evaluacion!BH13*M9</f>
        <v>12.111441639500317</v>
      </c>
      <c r="U9" s="597">
        <v>0</v>
      </c>
      <c r="V9" s="597">
        <f>Evaluacion!T13*M9</f>
        <v>0.66149691666666666</v>
      </c>
      <c r="W9" s="597">
        <f>Evaluacion!U13*M9</f>
        <v>0.77431713333333341</v>
      </c>
      <c r="AA9" s="603"/>
    </row>
    <row r="10" spans="1:27" x14ac:dyDescent="0.25">
      <c r="A10" t="s">
        <v>807</v>
      </c>
      <c r="B10" t="str">
        <f>Evaluacion!A11</f>
        <v>K. Helms</v>
      </c>
      <c r="C10" t="str">
        <f>Evaluacion!D11</f>
        <v>TEC</v>
      </c>
      <c r="D10" s="265">
        <f>Evaluacion!K11</f>
        <v>0</v>
      </c>
      <c r="E10" s="265">
        <f>Evaluacion!L11</f>
        <v>7.2503030303030309</v>
      </c>
      <c r="F10" s="265">
        <f>Evaluacion!M11</f>
        <v>10.500000000000004</v>
      </c>
      <c r="G10" s="265">
        <f>Evaluacion!N11</f>
        <v>13.388333333333334</v>
      </c>
      <c r="H10" s="265">
        <f>Evaluacion!O11</f>
        <v>10.359999999999998</v>
      </c>
      <c r="I10" s="265">
        <f>Evaluacion!P11</f>
        <v>5.4050000000000002</v>
      </c>
      <c r="J10" s="265">
        <f>Evaluacion!Q11</f>
        <v>17.300000000000004</v>
      </c>
      <c r="L10" t="str">
        <f t="shared" si="0"/>
        <v>EXTN</v>
      </c>
      <c r="M10" s="596">
        <v>1</v>
      </c>
      <c r="N10" s="597">
        <f>Evaluacion!BT11</f>
        <v>2.8686137563610856</v>
      </c>
      <c r="O10" s="597">
        <f>Evaluacion!BU11</f>
        <v>2.4645836498313551</v>
      </c>
      <c r="P10" s="597">
        <v>0</v>
      </c>
      <c r="Q10" s="597">
        <f>Evaluacion!BV11</f>
        <v>6.0744545829878058</v>
      </c>
      <c r="R10" s="597">
        <f>Evaluacion!BW11</f>
        <v>17.253658193297774</v>
      </c>
      <c r="S10" s="597">
        <f>Evaluacion!BX11</f>
        <v>1.5984644055857675</v>
      </c>
      <c r="T10" s="597">
        <v>0</v>
      </c>
      <c r="U10" s="597">
        <v>0</v>
      </c>
      <c r="V10" s="597">
        <f>Evaluacion!T11</f>
        <v>0.78925000000000023</v>
      </c>
      <c r="W10" s="597">
        <f>Evaluacion!U11</f>
        <v>0.80901212121212152</v>
      </c>
      <c r="AA10" s="603"/>
    </row>
    <row r="11" spans="1:27" x14ac:dyDescent="0.25">
      <c r="A11" t="s">
        <v>807</v>
      </c>
      <c r="B11" t="str">
        <f>Evaluacion!A12</f>
        <v>S. Zobbe</v>
      </c>
      <c r="C11" t="str">
        <f>Evaluacion!D12</f>
        <v>CAB</v>
      </c>
      <c r="D11" s="265">
        <f>Evaluacion!K12</f>
        <v>0</v>
      </c>
      <c r="E11" s="265">
        <f>Evaluacion!L12</f>
        <v>8.3599999999999977</v>
      </c>
      <c r="F11" s="265">
        <f>Evaluacion!M12</f>
        <v>12.158412698412699</v>
      </c>
      <c r="G11" s="265">
        <f>Evaluacion!N12</f>
        <v>12.25</v>
      </c>
      <c r="H11" s="265">
        <f>Evaluacion!O12</f>
        <v>10.24</v>
      </c>
      <c r="I11" s="265">
        <f>Evaluacion!P12</f>
        <v>7.4766666666666666</v>
      </c>
      <c r="J11" s="265">
        <f>Evaluacion!Q12</f>
        <v>15.270000000000001</v>
      </c>
      <c r="L11" t="str">
        <f t="shared" si="0"/>
        <v>EXTN</v>
      </c>
      <c r="M11" s="596">
        <v>1</v>
      </c>
      <c r="N11" s="597">
        <v>0</v>
      </c>
      <c r="O11" s="597">
        <f>Evaluacion!BU12</f>
        <v>2.7114969301852563</v>
      </c>
      <c r="P11" s="597">
        <f>Evaluacion!BT12</f>
        <v>3.1560046236582489</v>
      </c>
      <c r="Q11" s="597">
        <f>Evaluacion!BV12</f>
        <v>6.7845527910330725</v>
      </c>
      <c r="R11" s="597">
        <v>0</v>
      </c>
      <c r="S11" s="597">
        <f>Evaluacion!BX12</f>
        <v>1.5721157727558037</v>
      </c>
      <c r="T11" s="597">
        <f>Evaluacion!BW12</f>
        <v>16.132543109201908</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14.137609523809523</v>
      </c>
      <c r="G12" s="265">
        <f>Evaluacion!N20</f>
        <v>3.02</v>
      </c>
      <c r="H12" s="265">
        <f>Evaluacion!O20</f>
        <v>15.02</v>
      </c>
      <c r="I12" s="265">
        <f>Evaluacion!P20</f>
        <v>10</v>
      </c>
      <c r="J12" s="265">
        <f>Evaluacion!Q20</f>
        <v>9.3000000000000007</v>
      </c>
      <c r="L12" t="str">
        <f t="shared" si="0"/>
        <v>DD</v>
      </c>
      <c r="M12" s="596">
        <v>1</v>
      </c>
      <c r="N12" s="597">
        <v>0</v>
      </c>
      <c r="O12" s="597">
        <v>0</v>
      </c>
      <c r="P12" s="597">
        <v>0</v>
      </c>
      <c r="Q12" s="597">
        <f>M12*Evaluacion!CD20</f>
        <v>6.8948583596471176</v>
      </c>
      <c r="R12" s="597">
        <f>M12*Evaluacion!CE20</f>
        <v>8.2992049376385495</v>
      </c>
      <c r="S12" s="597">
        <f>M12*Evaluacion!CF20</f>
        <v>17.189105057871892</v>
      </c>
      <c r="T12" s="597">
        <f>R12</f>
        <v>8.2992049376385495</v>
      </c>
      <c r="U12" s="597">
        <v>0</v>
      </c>
      <c r="V12" s="597">
        <f>Evaluacion!T20*M12</f>
        <v>0.77900000000000003</v>
      </c>
      <c r="W12" s="597">
        <f>Evaluacion!U20*M12</f>
        <v>0.39980000000000004</v>
      </c>
      <c r="AA12" s="603"/>
    </row>
    <row r="13" spans="1:27" x14ac:dyDescent="0.25">
      <c r="L13" s="263"/>
      <c r="M13" s="444"/>
      <c r="N13" s="598">
        <f>SUM(N2:N12)</f>
        <v>52.422446070165819</v>
      </c>
      <c r="O13" s="598">
        <f t="shared" ref="O13:W13" si="1">SUM(O2:O12)</f>
        <v>80.90404469322533</v>
      </c>
      <c r="P13" s="598">
        <f t="shared" si="1"/>
        <v>50.501773718967918</v>
      </c>
      <c r="Q13" s="598">
        <f t="shared" si="1"/>
        <v>61.036247771852651</v>
      </c>
      <c r="R13" s="598">
        <f t="shared" si="1"/>
        <v>47.973629100003436</v>
      </c>
      <c r="S13" s="598">
        <f t="shared" si="1"/>
        <v>26.107508190508156</v>
      </c>
      <c r="T13" s="598">
        <f t="shared" si="1"/>
        <v>47.649838066337438</v>
      </c>
      <c r="U13" s="599">
        <f t="shared" si="1"/>
        <v>21.247999999999998</v>
      </c>
      <c r="V13" s="599">
        <f t="shared" si="1"/>
        <v>7.3709475515873013</v>
      </c>
      <c r="W13" s="599">
        <f t="shared" si="1"/>
        <v>8.9860223210567227</v>
      </c>
    </row>
    <row r="14" spans="1:27" ht="15.75" x14ac:dyDescent="0.25">
      <c r="L14" s="263"/>
      <c r="M14" s="263" t="s">
        <v>812</v>
      </c>
      <c r="N14" s="600">
        <f>N13*0.34</f>
        <v>17.823631663856379</v>
      </c>
      <c r="O14" s="600">
        <f>O13*0.245</f>
        <v>19.821490949840207</v>
      </c>
      <c r="P14" s="600">
        <f>P13*0.34</f>
        <v>17.170603064449093</v>
      </c>
      <c r="Q14" s="600">
        <f>Q13*0.125</f>
        <v>7.6295309714815813</v>
      </c>
      <c r="R14" s="600">
        <f>R13*0.25</f>
        <v>11.993407275000859</v>
      </c>
      <c r="S14" s="600">
        <f>S13*0.19</f>
        <v>4.9604265561965502</v>
      </c>
      <c r="T14" s="600">
        <f>T13*0.25</f>
        <v>11.912459516584359</v>
      </c>
    </row>
    <row r="15" spans="1:27" ht="15.75" x14ac:dyDescent="0.25">
      <c r="L15" s="263"/>
      <c r="M15" s="263" t="s">
        <v>813</v>
      </c>
      <c r="N15" s="610">
        <f>N14*1.2/1.05</f>
        <v>20.369864758693002</v>
      </c>
      <c r="O15" s="610">
        <f t="shared" ref="O15:P15" si="2">O14*1.2/1.05</f>
        <v>22.653132514103092</v>
      </c>
      <c r="P15" s="610">
        <f t="shared" si="2"/>
        <v>19.62354635937039</v>
      </c>
      <c r="Q15" s="610">
        <f>Q14</f>
        <v>7.6295309714815813</v>
      </c>
      <c r="R15" s="610">
        <f>R14*0.925/1.05</f>
        <v>10.565620694643613</v>
      </c>
      <c r="S15" s="610">
        <f t="shared" ref="S15:T15" si="3">S14*0.925/1.05</f>
        <v>4.3698995852207698</v>
      </c>
      <c r="T15" s="610">
        <f t="shared" si="3"/>
        <v>10.49430957413384</v>
      </c>
    </row>
    <row r="16" spans="1:27" ht="15.75" x14ac:dyDescent="0.25">
      <c r="L16" s="263"/>
      <c r="M16" s="263" t="s">
        <v>814</v>
      </c>
      <c r="N16" s="610">
        <f>N14*0.925/1.05</f>
        <v>15.701770751492525</v>
      </c>
      <c r="O16" s="610">
        <f t="shared" ref="O16:P16" si="4">O14*0.925/1.05</f>
        <v>17.461789646287802</v>
      </c>
      <c r="P16" s="610">
        <f t="shared" si="4"/>
        <v>15.126483652014677</v>
      </c>
      <c r="Q16" s="610">
        <f>Q15</f>
        <v>7.6295309714815813</v>
      </c>
      <c r="R16" s="610">
        <f>R14*1.135/1.05</f>
        <v>12.964302149643785</v>
      </c>
      <c r="S16" s="610">
        <f t="shared" ref="S16:T16" si="5">S14*1.135/1.05</f>
        <v>5.3619848964600809</v>
      </c>
      <c r="T16" s="610">
        <f t="shared" si="5"/>
        <v>12.876801477450712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30</v>
      </c>
      <c r="D4" s="5">
        <f ca="1">PLANTILLA!F17</f>
        <v>99</v>
      </c>
      <c r="E4" s="163">
        <f>PLANTILLA!X17</f>
        <v>0</v>
      </c>
      <c r="F4" s="163">
        <f>PLANTILLA!Y17</f>
        <v>10.549999999999995</v>
      </c>
      <c r="G4" s="163">
        <f>PLANTILLA!Z17</f>
        <v>12.869777777777777</v>
      </c>
      <c r="H4" s="163">
        <f>PLANTILLA!AA17</f>
        <v>5.1299999999999981</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23</v>
      </c>
      <c r="E5" s="163">
        <f>PLANTILLA!X10</f>
        <v>0</v>
      </c>
      <c r="F5" s="163">
        <f>PLANTILLA!Y10</f>
        <v>11.999999999999996</v>
      </c>
      <c r="G5" s="163">
        <f>PLANTILLA!Z10</f>
        <v>7.0025000000000022</v>
      </c>
      <c r="H5" s="163">
        <f>PLANTILLA!AA10</f>
        <v>7.4300000000000015</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84</v>
      </c>
      <c r="E6" s="163">
        <f>PLANTILLA!X8</f>
        <v>0</v>
      </c>
      <c r="F6" s="163">
        <f>PLANTILLA!Y8</f>
        <v>11.077333333333334</v>
      </c>
      <c r="G6" s="163">
        <f>PLANTILLA!Z8</f>
        <v>6.199444444444441</v>
      </c>
      <c r="H6" s="163">
        <f>PLANTILLA!AA8</f>
        <v>6.04</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38</v>
      </c>
      <c r="E7" s="163">
        <f>PLANTILLA!X9</f>
        <v>0</v>
      </c>
      <c r="F7" s="163">
        <f>PLANTILLA!Y9</f>
        <v>12.200000000000005</v>
      </c>
      <c r="G7" s="163">
        <f>PLANTILLA!Z9</f>
        <v>13.156555555555553</v>
      </c>
      <c r="H7" s="163">
        <f>PLANTILLA!AA9</f>
        <v>9.8200000000000056</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31</v>
      </c>
      <c r="D8" s="5">
        <f ca="1">PLANTILLA!F12</f>
        <v>0</v>
      </c>
      <c r="E8" s="163">
        <f>PLANTILLA!X12</f>
        <v>0</v>
      </c>
      <c r="F8" s="163">
        <f>PLANTILLA!Y12</f>
        <v>12.06111111111111</v>
      </c>
      <c r="G8" s="163">
        <f>PLANTILLA!Z12</f>
        <v>12.534111111111114</v>
      </c>
      <c r="H8" s="163">
        <f>PLANTILLA!AA12</f>
        <v>13.133333333333335</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PLANTILLA!A21</f>
        <v>#19</v>
      </c>
      <c r="B9" s="169" t="str">
        <f>PLANTILLA!D21</f>
        <v>G. Kerschl</v>
      </c>
      <c r="C9" s="5">
        <f>PLANTILLA!E21</f>
        <v>28</v>
      </c>
      <c r="D9" s="5">
        <f ca="1">PLANTILLA!F21</f>
        <v>101</v>
      </c>
      <c r="E9" s="163">
        <f>PLANTILLA!X21</f>
        <v>0</v>
      </c>
      <c r="F9" s="163">
        <f>PLANTILLA!Y21</f>
        <v>3</v>
      </c>
      <c r="G9" s="163">
        <f>PLANTILLA!Z21</f>
        <v>15</v>
      </c>
      <c r="H9" s="163">
        <f>PLANTILLA!AA21</f>
        <v>12.01</v>
      </c>
      <c r="I9" s="163">
        <f>PLANTILLA!AB21</f>
        <v>12</v>
      </c>
      <c r="J9" s="163">
        <f>PLANTILLA!AC21</f>
        <v>8</v>
      </c>
      <c r="K9" s="163">
        <f>PLANTILLA!AD21</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39</v>
      </c>
      <c r="E10" s="163">
        <f>PLANTILLA!X7</f>
        <v>0</v>
      </c>
      <c r="F10" s="163">
        <f>PLANTILLA!Y7</f>
        <v>14.300000000000004</v>
      </c>
      <c r="G10" s="163">
        <f>PLANTILLA!Z7</f>
        <v>9.3193333333333346</v>
      </c>
      <c r="H10" s="163">
        <f>PLANTILLA!AA7</f>
        <v>14.291666666666663</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27</v>
      </c>
      <c r="E11" s="163">
        <f>PLANTILLA!X5</f>
        <v>16.666666666666668</v>
      </c>
      <c r="F11" s="163">
        <f>PLANTILLA!Y5</f>
        <v>12.080559440559444</v>
      </c>
      <c r="G11" s="163">
        <f>PLANTILLA!Z5</f>
        <v>2.0499999999999989</v>
      </c>
      <c r="H11" s="163">
        <f>PLANTILLA!AA5</f>
        <v>2.1399999999999992</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74</v>
      </c>
      <c r="E12" s="163">
        <f>PLANTILLA!X18</f>
        <v>0</v>
      </c>
      <c r="F12" s="163">
        <f>PLANTILLA!Y18</f>
        <v>5.4644444444444451</v>
      </c>
      <c r="G12" s="163">
        <f>PLANTILLA!Z18</f>
        <v>14.331408994708985</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59</v>
      </c>
      <c r="E13" s="163">
        <f>PLANTILLA!X13</f>
        <v>0</v>
      </c>
      <c r="F13" s="163">
        <f>PLANTILLA!Y13</f>
        <v>7.2503030303030309</v>
      </c>
      <c r="G13" s="163">
        <f>PLANTILLA!Z13</f>
        <v>10.500000000000004</v>
      </c>
      <c r="H13" s="163">
        <f>PLANTILLA!AA13</f>
        <v>13.388333333333334</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74</v>
      </c>
      <c r="E14" s="163">
        <f>PLANTILLA!X14</f>
        <v>0</v>
      </c>
      <c r="F14" s="163">
        <f>PLANTILLA!Y14</f>
        <v>8.3599999999999977</v>
      </c>
      <c r="G14" s="163">
        <f>PLANTILLA!Z14</f>
        <v>12.158412698412699</v>
      </c>
      <c r="H14" s="163">
        <f>PLANTILLA!AA14</f>
        <v>12.25</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71</v>
      </c>
      <c r="E15" s="163">
        <f>PLANTILLA!X15</f>
        <v>0</v>
      </c>
      <c r="F15" s="163">
        <f>PLANTILLA!Y15</f>
        <v>9.3036666666666648</v>
      </c>
      <c r="G15" s="163">
        <f>PLANTILLA!Z15</f>
        <v>13.759999999999998</v>
      </c>
      <c r="H15" s="163">
        <f>PLANTILLA!AA15</f>
        <v>12.835000000000001</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31</v>
      </c>
      <c r="D16" s="5">
        <f ca="1">PLANTILLA!F16</f>
        <v>105</v>
      </c>
      <c r="E16" s="163">
        <f>PLANTILLA!X16</f>
        <v>0</v>
      </c>
      <c r="F16" s="163">
        <f>PLANTILLA!Y16</f>
        <v>8.6275555555555581</v>
      </c>
      <c r="G16" s="163">
        <f>PLANTILLA!Z16</f>
        <v>14.238017460317453</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PLANTILLA!A22</f>
        <v>#9</v>
      </c>
      <c r="B17" s="287" t="str">
        <f>PLANTILLA!D22</f>
        <v>J. Limon</v>
      </c>
      <c r="C17" s="5">
        <f>PLANTILLA!E22</f>
        <v>29</v>
      </c>
      <c r="D17" s="5">
        <f ca="1">PLANTILLA!F22</f>
        <v>111</v>
      </c>
      <c r="E17" s="163">
        <f>PLANTILLA!X22</f>
        <v>0</v>
      </c>
      <c r="F17" s="163">
        <f>PLANTILLA!Y22</f>
        <v>6.8376190476190493</v>
      </c>
      <c r="G17" s="163">
        <f>PLANTILLA!Z22</f>
        <v>8.625</v>
      </c>
      <c r="H17" s="163">
        <f>PLANTILLA!AA22</f>
        <v>8.7299999999999969</v>
      </c>
      <c r="I17" s="163">
        <f>PLANTILLA!AB22</f>
        <v>9.6900000000000013</v>
      </c>
      <c r="J17" s="163">
        <f>PLANTILLA!AC22</f>
        <v>8.5625000000000018</v>
      </c>
      <c r="K17" s="163">
        <f>PLANTILLA!AD22</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PLANTILLA!A24</f>
        <v>#15</v>
      </c>
      <c r="B18" s="287" t="str">
        <f>PLANTILLA!D24</f>
        <v>P .Trivadi</v>
      </c>
      <c r="C18" s="5">
        <f>PLANTILLA!E24</f>
        <v>27</v>
      </c>
      <c r="D18" s="5">
        <f ca="1">PLANTILLA!F24</f>
        <v>30</v>
      </c>
      <c r="E18" s="163">
        <f>PLANTILLA!X24</f>
        <v>0</v>
      </c>
      <c r="F18" s="163">
        <f>PLANTILLA!Y24</f>
        <v>4.0199999999999996</v>
      </c>
      <c r="G18" s="163">
        <f>PLANTILLA!Z24</f>
        <v>5.5538722222222203</v>
      </c>
      <c r="H18" s="163">
        <f>PLANTILLA!AA24</f>
        <v>5.4899999999999993</v>
      </c>
      <c r="I18" s="163">
        <f>PLANTILLA!AB24</f>
        <v>10.799999999999999</v>
      </c>
      <c r="J18" s="163">
        <f>PLANTILLA!AC24</f>
        <v>8.384500000000001</v>
      </c>
      <c r="K18" s="163">
        <f>PLANTILLA!AD24</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PLANTILLA!A23</f>
        <v>#18</v>
      </c>
      <c r="B19" s="287" t="str">
        <f>PLANTILLA!D23</f>
        <v>L. Calosso</v>
      </c>
      <c r="C19" s="5">
        <f>PLANTILLA!E23</f>
        <v>30</v>
      </c>
      <c r="D19" s="5">
        <f ca="1">PLANTILLA!F23</f>
        <v>68</v>
      </c>
      <c r="E19" s="163">
        <f>PLANTILLA!X23</f>
        <v>0</v>
      </c>
      <c r="F19" s="163">
        <f>PLANTILLA!Y23</f>
        <v>3.02</v>
      </c>
      <c r="G19" s="163">
        <f>PLANTILLA!Z23</f>
        <v>14.137609523809523</v>
      </c>
      <c r="H19" s="163">
        <f>PLANTILLA!AA23</f>
        <v>3.02</v>
      </c>
      <c r="I19" s="163">
        <f>PLANTILLA!AB23</f>
        <v>15.02</v>
      </c>
      <c r="J19" s="163">
        <f>PLANTILLA!AC23</f>
        <v>10</v>
      </c>
      <c r="K19" s="163">
        <f>PLANTILLA!AD23</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46</v>
      </c>
      <c r="E20" s="163">
        <f>PLANTILLA!X11</f>
        <v>0</v>
      </c>
      <c r="F20" s="163">
        <f>PLANTILLA!Y11</f>
        <v>9.6046666666666667</v>
      </c>
      <c r="G20" s="163">
        <f>PLANTILLA!Z11</f>
        <v>7.7507222222222225</v>
      </c>
      <c r="H20" s="163">
        <f>PLANTILLA!AA11</f>
        <v>6.1499999999999986</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24</v>
      </c>
      <c r="E21" s="163">
        <f>PLANTILLA!X19</f>
        <v>0</v>
      </c>
      <c r="F21" s="163">
        <f>PLANTILLA!Y19</f>
        <v>5.6515555555555519</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36</v>
      </c>
      <c r="E22" s="163">
        <f>PLANTILLA!X6</f>
        <v>10.3</v>
      </c>
      <c r="F22" s="163">
        <f>PLANTILLA!Y6</f>
        <v>10.814999999999998</v>
      </c>
      <c r="G22" s="163">
        <f>PLANTILLA!Z6</f>
        <v>4.6400000000000006</v>
      </c>
      <c r="H22" s="163">
        <f>PLANTILLA!AA6</f>
        <v>4.95</v>
      </c>
      <c r="I22" s="163">
        <f>PLANTILLA!AB6</f>
        <v>6.5444444444444434</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str">
        <f>PLANTILLA!A20</f>
        <v>#89</v>
      </c>
      <c r="B23" s="287" t="str">
        <f>PLANTILLA!D20</f>
        <v>M. Amico</v>
      </c>
      <c r="C23" s="5">
        <f>PLANTILLA!E20</f>
        <v>29</v>
      </c>
      <c r="D23" s="5">
        <f ca="1">PLANTILLA!F20</f>
        <v>31</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71</v>
      </c>
      <c r="E4" s="163">
        <f>PLANTILLA!X15</f>
        <v>0</v>
      </c>
      <c r="F4" s="163">
        <f>PLANTILLA!Y15</f>
        <v>9.3036666666666648</v>
      </c>
      <c r="G4" s="163">
        <f>PLANTILLA!Z15</f>
        <v>13.759999999999998</v>
      </c>
      <c r="H4" s="163">
        <f>PLANTILLA!AA15</f>
        <v>12.835000000000001</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74</v>
      </c>
      <c r="E5" s="163">
        <f>PLANTILLA!X18</f>
        <v>0</v>
      </c>
      <c r="F5" s="163">
        <f>PLANTILLA!Y18</f>
        <v>5.4644444444444451</v>
      </c>
      <c r="G5" s="163">
        <f>PLANTILLA!Z18</f>
        <v>14.331408994708985</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PLANTILLA!A22</f>
        <v>#9</v>
      </c>
      <c r="B6" s="169" t="str">
        <f>PLANTILLA!D22</f>
        <v>J. Limon</v>
      </c>
      <c r="C6" s="287">
        <f>PLANTILLA!E22</f>
        <v>29</v>
      </c>
      <c r="D6" s="287">
        <f ca="1">PLANTILLA!F22</f>
        <v>111</v>
      </c>
      <c r="E6" s="163">
        <f>PLANTILLA!X22</f>
        <v>0</v>
      </c>
      <c r="F6" s="163">
        <f>PLANTILLA!Y22</f>
        <v>6.8376190476190493</v>
      </c>
      <c r="G6" s="163">
        <f>PLANTILLA!Z22</f>
        <v>8.625</v>
      </c>
      <c r="H6" s="163">
        <f>PLANTILLA!AA22</f>
        <v>8.7299999999999969</v>
      </c>
      <c r="I6" s="163">
        <f>PLANTILLA!AB22</f>
        <v>9.6900000000000013</v>
      </c>
      <c r="J6" s="163">
        <f>PLANTILLA!AC22</f>
        <v>8.5625000000000018</v>
      </c>
      <c r="K6" s="163">
        <f>PLANTILLA!AD22</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PLANTILLA!A21</f>
        <v>#19</v>
      </c>
      <c r="B7" s="169" t="str">
        <f>PLANTILLA!D21</f>
        <v>G. Kerschl</v>
      </c>
      <c r="C7" s="287">
        <f>PLANTILLA!E21</f>
        <v>28</v>
      </c>
      <c r="D7" s="287">
        <f ca="1">PLANTILLA!F21</f>
        <v>101</v>
      </c>
      <c r="E7" s="163">
        <f>PLANTILLA!X21</f>
        <v>0</v>
      </c>
      <c r="F7" s="163">
        <f>PLANTILLA!Y21</f>
        <v>3</v>
      </c>
      <c r="G7" s="163">
        <f>PLANTILLA!Z21</f>
        <v>15</v>
      </c>
      <c r="H7" s="163">
        <f>PLANTILLA!AA21</f>
        <v>12.01</v>
      </c>
      <c r="I7" s="163">
        <f>PLANTILLA!AB21</f>
        <v>12</v>
      </c>
      <c r="J7" s="163">
        <f>PLANTILLA!AC21</f>
        <v>8</v>
      </c>
      <c r="K7" s="163">
        <f>PLANTILLA!AD21</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59</v>
      </c>
      <c r="E8" s="163">
        <f>PLANTILLA!X13</f>
        <v>0</v>
      </c>
      <c r="F8" s="163">
        <f>PLANTILLA!Y13</f>
        <v>7.2503030303030309</v>
      </c>
      <c r="G8" s="163">
        <f>PLANTILLA!Z13</f>
        <v>10.500000000000004</v>
      </c>
      <c r="H8" s="163">
        <f>PLANTILLA!AA13</f>
        <v>13.388333333333334</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31</v>
      </c>
      <c r="D9" s="287">
        <f ca="1">PLANTILLA!F16</f>
        <v>105</v>
      </c>
      <c r="E9" s="163">
        <f>PLANTILLA!X16</f>
        <v>0</v>
      </c>
      <c r="F9" s="163">
        <f>PLANTILLA!Y16</f>
        <v>8.6275555555555581</v>
      </c>
      <c r="G9" s="163">
        <f>PLANTILLA!Z16</f>
        <v>14.238017460317453</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74</v>
      </c>
      <c r="E10" s="163">
        <f>PLANTILLA!X14</f>
        <v>0</v>
      </c>
      <c r="F10" s="163">
        <f>PLANTILLA!Y14</f>
        <v>8.3599999999999977</v>
      </c>
      <c r="G10" s="163">
        <f>PLANTILLA!Z14</f>
        <v>12.158412698412699</v>
      </c>
      <c r="H10" s="163">
        <f>PLANTILLA!AA14</f>
        <v>12.25</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31</v>
      </c>
      <c r="D11" s="287">
        <f ca="1">PLANTILLA!F12</f>
        <v>0</v>
      </c>
      <c r="E11" s="163">
        <f>PLANTILLA!X12</f>
        <v>0</v>
      </c>
      <c r="F11" s="163">
        <f>PLANTILLA!Y12</f>
        <v>12.06111111111111</v>
      </c>
      <c r="G11" s="163">
        <f>PLANTILLA!Z12</f>
        <v>12.534111111111114</v>
      </c>
      <c r="H11" s="163">
        <f>PLANTILLA!AA12</f>
        <v>13.133333333333335</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84</v>
      </c>
      <c r="E12" s="163">
        <f>PLANTILLA!X8</f>
        <v>0</v>
      </c>
      <c r="F12" s="163">
        <f>PLANTILLA!Y8</f>
        <v>11.077333333333334</v>
      </c>
      <c r="G12" s="163">
        <f>PLANTILLA!Z8</f>
        <v>6.199444444444441</v>
      </c>
      <c r="H12" s="163">
        <f>PLANTILLA!AA8</f>
        <v>6.04</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23</v>
      </c>
      <c r="E13" s="163">
        <f>PLANTILLA!X10</f>
        <v>0</v>
      </c>
      <c r="F13" s="163">
        <f>PLANTILLA!Y10</f>
        <v>11.999999999999996</v>
      </c>
      <c r="G13" s="163">
        <f>PLANTILLA!Z10</f>
        <v>7.0025000000000022</v>
      </c>
      <c r="H13" s="163">
        <f>PLANTILLA!AA10</f>
        <v>7.4300000000000015</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38</v>
      </c>
      <c r="E14" s="163">
        <f>PLANTILLA!X9</f>
        <v>0</v>
      </c>
      <c r="F14" s="163">
        <f>PLANTILLA!Y9</f>
        <v>12.200000000000005</v>
      </c>
      <c r="G14" s="163">
        <f>PLANTILLA!Z9</f>
        <v>13.156555555555553</v>
      </c>
      <c r="H14" s="163">
        <f>PLANTILLA!AA9</f>
        <v>9.8200000000000056</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PLANTILLA!A23</f>
        <v>#18</v>
      </c>
      <c r="B15" s="671" t="str">
        <f>PLANTILLA!D23</f>
        <v>L. Calosso</v>
      </c>
      <c r="C15" s="287">
        <f>PLANTILLA!E23</f>
        <v>30</v>
      </c>
      <c r="D15" s="287">
        <f ca="1">PLANTILLA!F23</f>
        <v>68</v>
      </c>
      <c r="E15" s="163">
        <f>PLANTILLA!X23</f>
        <v>0</v>
      </c>
      <c r="F15" s="163">
        <f>PLANTILLA!Y23</f>
        <v>3.02</v>
      </c>
      <c r="G15" s="163">
        <f>PLANTILLA!Z23</f>
        <v>14.137609523809523</v>
      </c>
      <c r="H15" s="163">
        <f>PLANTILLA!AA23</f>
        <v>3.02</v>
      </c>
      <c r="I15" s="163">
        <f>PLANTILLA!AB23</f>
        <v>15.02</v>
      </c>
      <c r="J15" s="163">
        <f>PLANTILLA!AC23</f>
        <v>10</v>
      </c>
      <c r="K15" s="163">
        <f>PLANTILLA!AD23</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30</v>
      </c>
      <c r="D16" s="287">
        <f ca="1">PLANTILLA!F17</f>
        <v>99</v>
      </c>
      <c r="E16" s="163">
        <f>PLANTILLA!X17</f>
        <v>0</v>
      </c>
      <c r="F16" s="163">
        <f>PLANTILLA!Y17</f>
        <v>10.549999999999995</v>
      </c>
      <c r="G16" s="163">
        <f>PLANTILLA!Z17</f>
        <v>12.869777777777777</v>
      </c>
      <c r="H16" s="163">
        <f>PLANTILLA!AA17</f>
        <v>5.1299999999999981</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39</v>
      </c>
      <c r="E17" s="163">
        <f>PLANTILLA!X7</f>
        <v>0</v>
      </c>
      <c r="F17" s="163">
        <f>PLANTILLA!Y7</f>
        <v>14.300000000000004</v>
      </c>
      <c r="G17" s="163">
        <f>PLANTILLA!Z7</f>
        <v>9.3193333333333346</v>
      </c>
      <c r="H17" s="163">
        <f>PLANTILLA!AA7</f>
        <v>14.291666666666663</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PLANTILLA!A24</f>
        <v>#15</v>
      </c>
      <c r="B18" s="287" t="str">
        <f>PLANTILLA!D24</f>
        <v>P .Trivadi</v>
      </c>
      <c r="C18" s="287">
        <f>PLANTILLA!E24</f>
        <v>27</v>
      </c>
      <c r="D18" s="287">
        <f ca="1">PLANTILLA!F24</f>
        <v>30</v>
      </c>
      <c r="E18" s="163">
        <f>PLANTILLA!X24</f>
        <v>0</v>
      </c>
      <c r="F18" s="163">
        <f>PLANTILLA!Y24</f>
        <v>4.0199999999999996</v>
      </c>
      <c r="G18" s="163">
        <f>PLANTILLA!Z24</f>
        <v>5.5538722222222203</v>
      </c>
      <c r="H18" s="163">
        <f>PLANTILLA!AA24</f>
        <v>5.4899999999999993</v>
      </c>
      <c r="I18" s="163">
        <f>PLANTILLA!AB24</f>
        <v>10.799999999999999</v>
      </c>
      <c r="J18" s="163">
        <f>PLANTILLA!AC24</f>
        <v>8.384500000000001</v>
      </c>
      <c r="K18" s="163">
        <f>PLANTILLA!AD24</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27</v>
      </c>
      <c r="E19" s="163">
        <f>PLANTILLA!X5</f>
        <v>16.666666666666668</v>
      </c>
      <c r="F19" s="163">
        <f>PLANTILLA!Y5</f>
        <v>12.080559440559444</v>
      </c>
      <c r="G19" s="163">
        <f>PLANTILLA!Z5</f>
        <v>2.0499999999999989</v>
      </c>
      <c r="H19" s="163">
        <f>PLANTILLA!AA5</f>
        <v>2.1399999999999992</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36</v>
      </c>
      <c r="E20" s="163">
        <f>PLANTILLA!X6</f>
        <v>10.3</v>
      </c>
      <c r="F20" s="163">
        <f>PLANTILLA!Y6</f>
        <v>10.814999999999998</v>
      </c>
      <c r="G20" s="163">
        <f>PLANTILLA!Z6</f>
        <v>4.6400000000000006</v>
      </c>
      <c r="H20" s="163">
        <f>PLANTILLA!AA6</f>
        <v>4.95</v>
      </c>
      <c r="I20" s="163">
        <f>PLANTILLA!AB6</f>
        <v>6.5444444444444434</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46</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24</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str">
        <f>PLANTILLA!A20</f>
        <v>#89</v>
      </c>
      <c r="B23" s="287" t="str">
        <f>PLANTILLA!D20</f>
        <v>M. Amico</v>
      </c>
      <c r="C23" s="287">
        <f>PLANTILLA!E20</f>
        <v>29</v>
      </c>
      <c r="D23" s="287">
        <f ca="1">PLANTILLA!F20</f>
        <v>31</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PLANTILLA!A22</f>
        <v>#9</v>
      </c>
      <c r="B4" s="670" t="str">
        <f>PLANTILLA!D22</f>
        <v>J. Limon</v>
      </c>
      <c r="C4" s="287">
        <f>PLANTILLA!E22</f>
        <v>29</v>
      </c>
      <c r="D4" s="287">
        <f ca="1">PLANTILLA!F22</f>
        <v>111</v>
      </c>
      <c r="E4" s="163">
        <f>PLANTILLA!X22</f>
        <v>0</v>
      </c>
      <c r="F4" s="163">
        <f>PLANTILLA!Y22</f>
        <v>6.8376190476190493</v>
      </c>
      <c r="G4" s="163">
        <f>PLANTILLA!Z22</f>
        <v>8.625</v>
      </c>
      <c r="H4" s="163">
        <f>PLANTILLA!AA22</f>
        <v>8.7299999999999969</v>
      </c>
      <c r="I4" s="163">
        <f>PLANTILLA!AB22</f>
        <v>9.6900000000000013</v>
      </c>
      <c r="J4" s="163">
        <f>PLANTILLA!AC22</f>
        <v>8.5625000000000018</v>
      </c>
      <c r="K4" s="163">
        <f>PLANTILLA!AD22</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74</v>
      </c>
      <c r="E5" s="163">
        <f>PLANTILLA!X18</f>
        <v>0</v>
      </c>
      <c r="F5" s="163">
        <f>PLANTILLA!Y18</f>
        <v>5.4644444444444451</v>
      </c>
      <c r="G5" s="163">
        <f>PLANTILLA!Z18</f>
        <v>14.331408994708985</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71</v>
      </c>
      <c r="E6" s="163">
        <f>PLANTILLA!X15</f>
        <v>0</v>
      </c>
      <c r="F6" s="163">
        <f>PLANTILLA!Y15</f>
        <v>9.3036666666666648</v>
      </c>
      <c r="G6" s="163">
        <f>PLANTILLA!Z15</f>
        <v>13.759999999999998</v>
      </c>
      <c r="H6" s="163">
        <f>PLANTILLA!AA15</f>
        <v>12.835000000000001</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PLANTILLA!A21</f>
        <v>#19</v>
      </c>
      <c r="B7" s="670" t="str">
        <f>PLANTILLA!D21</f>
        <v>G. Kerschl</v>
      </c>
      <c r="C7" s="287">
        <f>PLANTILLA!E21</f>
        <v>28</v>
      </c>
      <c r="D7" s="287">
        <f ca="1">PLANTILLA!F21</f>
        <v>101</v>
      </c>
      <c r="E7" s="163">
        <f>PLANTILLA!X21</f>
        <v>0</v>
      </c>
      <c r="F7" s="163">
        <f>PLANTILLA!Y21</f>
        <v>3</v>
      </c>
      <c r="G7" s="163">
        <f>PLANTILLA!Z21</f>
        <v>15</v>
      </c>
      <c r="H7" s="163">
        <f>PLANTILLA!AA21</f>
        <v>12.01</v>
      </c>
      <c r="I7" s="163">
        <f>PLANTILLA!AB21</f>
        <v>12</v>
      </c>
      <c r="J7" s="163">
        <f>PLANTILLA!AC21</f>
        <v>8</v>
      </c>
      <c r="K7" s="163">
        <f>PLANTILLA!AD21</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31</v>
      </c>
      <c r="D8" s="287">
        <f ca="1">PLANTILLA!F16</f>
        <v>105</v>
      </c>
      <c r="E8" s="163">
        <f>PLANTILLA!X16</f>
        <v>0</v>
      </c>
      <c r="F8" s="163">
        <f>PLANTILLA!Y16</f>
        <v>8.6275555555555581</v>
      </c>
      <c r="G8" s="163">
        <f>PLANTILLA!Z16</f>
        <v>14.238017460317453</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59</v>
      </c>
      <c r="E9" s="163">
        <f>PLANTILLA!X13</f>
        <v>0</v>
      </c>
      <c r="F9" s="163">
        <f>PLANTILLA!Y13</f>
        <v>7.2503030303030309</v>
      </c>
      <c r="G9" s="163">
        <f>PLANTILLA!Z13</f>
        <v>10.500000000000004</v>
      </c>
      <c r="H9" s="163">
        <f>PLANTILLA!AA13</f>
        <v>13.388333333333334</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74</v>
      </c>
      <c r="E10" s="163">
        <f>PLANTILLA!X14</f>
        <v>0</v>
      </c>
      <c r="F10" s="163">
        <f>PLANTILLA!Y14</f>
        <v>8.3599999999999977</v>
      </c>
      <c r="G10" s="163">
        <f>PLANTILLA!Z14</f>
        <v>12.158412698412699</v>
      </c>
      <c r="H10" s="163">
        <f>PLANTILLA!AA14</f>
        <v>12.25</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31</v>
      </c>
      <c r="D11" s="287">
        <f ca="1">PLANTILLA!F12</f>
        <v>0</v>
      </c>
      <c r="E11" s="163">
        <f>PLANTILLA!X12</f>
        <v>0</v>
      </c>
      <c r="F11" s="163">
        <f>PLANTILLA!Y12</f>
        <v>12.06111111111111</v>
      </c>
      <c r="G11" s="163">
        <f>PLANTILLA!Z12</f>
        <v>12.534111111111114</v>
      </c>
      <c r="H11" s="163">
        <f>PLANTILLA!AA12</f>
        <v>13.133333333333335</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PLANTILLA!A23</f>
        <v>#18</v>
      </c>
      <c r="B12" s="670" t="str">
        <f>PLANTILLA!D23</f>
        <v>L. Calosso</v>
      </c>
      <c r="C12" s="287">
        <f>PLANTILLA!E23</f>
        <v>30</v>
      </c>
      <c r="D12" s="287">
        <f ca="1">PLANTILLA!F23</f>
        <v>68</v>
      </c>
      <c r="E12" s="163">
        <f>PLANTILLA!X23</f>
        <v>0</v>
      </c>
      <c r="F12" s="163">
        <f>PLANTILLA!Y23</f>
        <v>3.02</v>
      </c>
      <c r="G12" s="163">
        <f>PLANTILLA!Z23</f>
        <v>14.137609523809523</v>
      </c>
      <c r="H12" s="163">
        <f>PLANTILLA!AA23</f>
        <v>3.02</v>
      </c>
      <c r="I12" s="163">
        <f>PLANTILLA!AB23</f>
        <v>15.02</v>
      </c>
      <c r="J12" s="163">
        <f>PLANTILLA!AC23</f>
        <v>10</v>
      </c>
      <c r="K12" s="163">
        <f>PLANTILLA!AD23</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PLANTILLA!A24</f>
        <v>#15</v>
      </c>
      <c r="B13" s="670" t="str">
        <f>PLANTILLA!D24</f>
        <v>P .Trivadi</v>
      </c>
      <c r="C13" s="287">
        <f>PLANTILLA!E24</f>
        <v>27</v>
      </c>
      <c r="D13" s="287">
        <f ca="1">PLANTILLA!F24</f>
        <v>30</v>
      </c>
      <c r="E13" s="163">
        <f>PLANTILLA!X24</f>
        <v>0</v>
      </c>
      <c r="F13" s="163">
        <f>PLANTILLA!Y24</f>
        <v>4.0199999999999996</v>
      </c>
      <c r="G13" s="163">
        <f>PLANTILLA!Z24</f>
        <v>5.5538722222222203</v>
      </c>
      <c r="H13" s="163">
        <f>PLANTILLA!AA24</f>
        <v>5.4899999999999993</v>
      </c>
      <c r="I13" s="163">
        <f>PLANTILLA!AB24</f>
        <v>10.799999999999999</v>
      </c>
      <c r="J13" s="163">
        <f>PLANTILLA!AC24</f>
        <v>8.384500000000001</v>
      </c>
      <c r="K13" s="163">
        <f>PLANTILLA!AD24</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27</v>
      </c>
      <c r="E14" s="163">
        <f>PLANTILLA!X5</f>
        <v>16.666666666666668</v>
      </c>
      <c r="F14" s="163">
        <f>PLANTILLA!Y5</f>
        <v>12.080559440559444</v>
      </c>
      <c r="G14" s="163">
        <f>PLANTILLA!Z5</f>
        <v>2.0499999999999989</v>
      </c>
      <c r="H14" s="163">
        <f>PLANTILLA!AA5</f>
        <v>2.1399999999999992</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39</v>
      </c>
      <c r="E15" s="163">
        <f>PLANTILLA!X7</f>
        <v>0</v>
      </c>
      <c r="F15" s="163">
        <f>PLANTILLA!Y7</f>
        <v>14.300000000000004</v>
      </c>
      <c r="G15" s="163">
        <f>PLANTILLA!Z7</f>
        <v>9.3193333333333346</v>
      </c>
      <c r="H15" s="163">
        <f>PLANTILLA!AA7</f>
        <v>14.291666666666663</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84</v>
      </c>
      <c r="E16" s="163">
        <f>PLANTILLA!X8</f>
        <v>0</v>
      </c>
      <c r="F16" s="163">
        <f>PLANTILLA!Y8</f>
        <v>11.077333333333334</v>
      </c>
      <c r="G16" s="163">
        <f>PLANTILLA!Z8</f>
        <v>6.199444444444441</v>
      </c>
      <c r="H16" s="163">
        <f>PLANTILLA!AA8</f>
        <v>6.04</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38</v>
      </c>
      <c r="E17" s="163">
        <f>PLANTILLA!X9</f>
        <v>0</v>
      </c>
      <c r="F17" s="163">
        <f>PLANTILLA!Y9</f>
        <v>12.200000000000005</v>
      </c>
      <c r="G17" s="163">
        <f>PLANTILLA!Z9</f>
        <v>13.156555555555553</v>
      </c>
      <c r="H17" s="163">
        <f>PLANTILLA!AA9</f>
        <v>9.8200000000000056</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30</v>
      </c>
      <c r="D18" s="287">
        <f ca="1">PLANTILLA!F17</f>
        <v>99</v>
      </c>
      <c r="E18" s="163">
        <f>PLANTILLA!X17</f>
        <v>0</v>
      </c>
      <c r="F18" s="163">
        <f>PLANTILLA!Y17</f>
        <v>10.549999999999995</v>
      </c>
      <c r="G18" s="163">
        <f>PLANTILLA!Z17</f>
        <v>12.869777777777777</v>
      </c>
      <c r="H18" s="163">
        <f>PLANTILLA!AA17</f>
        <v>5.1299999999999981</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23</v>
      </c>
      <c r="E19" s="163">
        <f>PLANTILLA!X10</f>
        <v>0</v>
      </c>
      <c r="F19" s="163">
        <f>PLANTILLA!Y10</f>
        <v>11.999999999999996</v>
      </c>
      <c r="G19" s="163">
        <f>PLANTILLA!Z10</f>
        <v>7.0025000000000022</v>
      </c>
      <c r="H19" s="163">
        <f>PLANTILLA!AA10</f>
        <v>7.4300000000000015</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36</v>
      </c>
      <c r="E20" s="163">
        <f>PLANTILLA!X6</f>
        <v>10.3</v>
      </c>
      <c r="F20" s="163">
        <f>PLANTILLA!Y6</f>
        <v>10.814999999999998</v>
      </c>
      <c r="G20" s="163">
        <f>PLANTILLA!Z6</f>
        <v>4.6400000000000006</v>
      </c>
      <c r="H20" s="163">
        <f>PLANTILLA!AA6</f>
        <v>4.95</v>
      </c>
      <c r="I20" s="163">
        <f>PLANTILLA!AB6</f>
        <v>6.5444444444444434</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46</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24</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str">
        <f>PLANTILLA!A20</f>
        <v>#89</v>
      </c>
      <c r="B23" s="287" t="str">
        <f>PLANTILLA!D20</f>
        <v>M. Amico</v>
      </c>
      <c r="C23" s="287">
        <f>PLANTILLA!E20</f>
        <v>29</v>
      </c>
      <c r="D23" s="287">
        <f ca="1">PLANTILLA!F20</f>
        <v>31</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84</v>
      </c>
      <c r="E4" s="163">
        <f>PLANTILLA!X8</f>
        <v>0</v>
      </c>
      <c r="F4" s="163">
        <f>PLANTILLA!Y8</f>
        <v>11.077333333333334</v>
      </c>
      <c r="G4" s="163">
        <f>PLANTILLA!Z8</f>
        <v>6.199444444444441</v>
      </c>
      <c r="H4" s="163">
        <f>PLANTILLA!AA8</f>
        <v>6.04</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23</v>
      </c>
      <c r="E5" s="163">
        <f>PLANTILLA!X10</f>
        <v>0</v>
      </c>
      <c r="F5" s="163">
        <f>PLANTILLA!Y10</f>
        <v>11.999999999999996</v>
      </c>
      <c r="G5" s="163">
        <f>PLANTILLA!Z10</f>
        <v>7.0025000000000022</v>
      </c>
      <c r="H5" s="163">
        <f>PLANTILLA!AA10</f>
        <v>7.4300000000000015</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74</v>
      </c>
      <c r="E6" s="163">
        <f>PLANTILLA!X14</f>
        <v>0</v>
      </c>
      <c r="F6" s="163">
        <f>PLANTILLA!Y14</f>
        <v>8.3599999999999977</v>
      </c>
      <c r="G6" s="163">
        <f>PLANTILLA!Z14</f>
        <v>12.158412698412699</v>
      </c>
      <c r="H6" s="163">
        <f>PLANTILLA!AA14</f>
        <v>12.25</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38</v>
      </c>
      <c r="E7" s="163">
        <f>PLANTILLA!X9</f>
        <v>0</v>
      </c>
      <c r="F7" s="163">
        <f>PLANTILLA!Y9</f>
        <v>12.200000000000005</v>
      </c>
      <c r="G7" s="163">
        <f>PLANTILLA!Z9</f>
        <v>13.156555555555553</v>
      </c>
      <c r="H7" s="163">
        <f>PLANTILLA!AA9</f>
        <v>9.8200000000000056</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31</v>
      </c>
      <c r="D8" s="287">
        <f ca="1">PLANTILLA!F12</f>
        <v>0</v>
      </c>
      <c r="E8" s="163">
        <f>PLANTILLA!X12</f>
        <v>0</v>
      </c>
      <c r="F8" s="163">
        <f>PLANTILLA!Y12</f>
        <v>12.06111111111111</v>
      </c>
      <c r="G8" s="163">
        <f>PLANTILLA!Z12</f>
        <v>12.534111111111114</v>
      </c>
      <c r="H8" s="163">
        <f>PLANTILLA!AA12</f>
        <v>13.133333333333335</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59</v>
      </c>
      <c r="E9" s="163">
        <f>PLANTILLA!X13</f>
        <v>0</v>
      </c>
      <c r="F9" s="163">
        <f>PLANTILLA!Y13</f>
        <v>7.2503030303030309</v>
      </c>
      <c r="G9" s="163">
        <f>PLANTILLA!Z13</f>
        <v>10.500000000000004</v>
      </c>
      <c r="H9" s="163">
        <f>PLANTILLA!AA13</f>
        <v>13.388333333333334</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31</v>
      </c>
      <c r="D10" s="287">
        <f ca="1">PLANTILLA!F16</f>
        <v>105</v>
      </c>
      <c r="E10" s="163">
        <f>PLANTILLA!X16</f>
        <v>0</v>
      </c>
      <c r="F10" s="163">
        <f>PLANTILLA!Y16</f>
        <v>8.6275555555555581</v>
      </c>
      <c r="G10" s="163">
        <f>PLANTILLA!Z16</f>
        <v>14.238017460317453</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71</v>
      </c>
      <c r="E11" s="163">
        <f>PLANTILLA!X15</f>
        <v>0</v>
      </c>
      <c r="F11" s="163">
        <f>PLANTILLA!Y15</f>
        <v>9.3036666666666648</v>
      </c>
      <c r="G11" s="163">
        <f>PLANTILLA!Z15</f>
        <v>13.759999999999998</v>
      </c>
      <c r="H11" s="163">
        <f>PLANTILLA!AA15</f>
        <v>12.835000000000001</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PLANTILLA!A21</f>
        <v>#19</v>
      </c>
      <c r="B12" s="219" t="str">
        <f>PLANTILLA!D21</f>
        <v>G. Kerschl</v>
      </c>
      <c r="C12" s="287">
        <f>PLANTILLA!E21</f>
        <v>28</v>
      </c>
      <c r="D12" s="287">
        <f ca="1">PLANTILLA!F21</f>
        <v>101</v>
      </c>
      <c r="E12" s="163">
        <f>PLANTILLA!X21</f>
        <v>0</v>
      </c>
      <c r="F12" s="163">
        <f>PLANTILLA!Y21</f>
        <v>3</v>
      </c>
      <c r="G12" s="163">
        <f>PLANTILLA!Z21</f>
        <v>15</v>
      </c>
      <c r="H12" s="163">
        <f>PLANTILLA!AA21</f>
        <v>12.01</v>
      </c>
      <c r="I12" s="163">
        <f>PLANTILLA!AB21</f>
        <v>12</v>
      </c>
      <c r="J12" s="163">
        <f>PLANTILLA!AC21</f>
        <v>8</v>
      </c>
      <c r="K12" s="163">
        <f>PLANTILLA!AD21</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PLANTILLA!A23</f>
        <v>#18</v>
      </c>
      <c r="B13" s="219" t="str">
        <f>PLANTILLA!D23</f>
        <v>L. Calosso</v>
      </c>
      <c r="C13" s="287">
        <f>PLANTILLA!E23</f>
        <v>30</v>
      </c>
      <c r="D13" s="287">
        <f ca="1">PLANTILLA!F23</f>
        <v>68</v>
      </c>
      <c r="E13" s="163">
        <f>PLANTILLA!X23</f>
        <v>0</v>
      </c>
      <c r="F13" s="163">
        <f>PLANTILLA!Y23</f>
        <v>3.02</v>
      </c>
      <c r="G13" s="163">
        <f>PLANTILLA!Z23</f>
        <v>14.137609523809523</v>
      </c>
      <c r="H13" s="163">
        <f>PLANTILLA!AA23</f>
        <v>3.02</v>
      </c>
      <c r="I13" s="163">
        <f>PLANTILLA!AB23</f>
        <v>15.02</v>
      </c>
      <c r="J13" s="163">
        <f>PLANTILLA!AC23</f>
        <v>10</v>
      </c>
      <c r="K13" s="163">
        <f>PLANTILLA!AD23</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74</v>
      </c>
      <c r="E14" s="163">
        <f>PLANTILLA!X18</f>
        <v>0</v>
      </c>
      <c r="F14" s="163">
        <f>PLANTILLA!Y18</f>
        <v>5.4644444444444451</v>
      </c>
      <c r="G14" s="163">
        <f>PLANTILLA!Z18</f>
        <v>14.331408994708985</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39</v>
      </c>
      <c r="E15" s="163">
        <f>PLANTILLA!X7</f>
        <v>0</v>
      </c>
      <c r="F15" s="163">
        <f>PLANTILLA!Y7</f>
        <v>14.300000000000004</v>
      </c>
      <c r="G15" s="163">
        <f>PLANTILLA!Z7</f>
        <v>9.3193333333333346</v>
      </c>
      <c r="H15" s="163">
        <f>PLANTILLA!AA7</f>
        <v>14.291666666666663</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PLANTILLA!A22</f>
        <v>#9</v>
      </c>
      <c r="B16" s="219" t="str">
        <f>PLANTILLA!D22</f>
        <v>J. Limon</v>
      </c>
      <c r="C16" s="287">
        <f>PLANTILLA!E22</f>
        <v>29</v>
      </c>
      <c r="D16" s="287">
        <f ca="1">PLANTILLA!F22</f>
        <v>111</v>
      </c>
      <c r="E16" s="163">
        <f>PLANTILLA!X22</f>
        <v>0</v>
      </c>
      <c r="F16" s="163">
        <f>PLANTILLA!Y22</f>
        <v>6.8376190476190493</v>
      </c>
      <c r="G16" s="163">
        <f>PLANTILLA!Z22</f>
        <v>8.625</v>
      </c>
      <c r="H16" s="163">
        <f>PLANTILLA!AA22</f>
        <v>8.7299999999999969</v>
      </c>
      <c r="I16" s="163">
        <f>PLANTILLA!AB22</f>
        <v>9.6900000000000013</v>
      </c>
      <c r="J16" s="163">
        <f>PLANTILLA!AC22</f>
        <v>8.5625000000000018</v>
      </c>
      <c r="K16" s="163">
        <f>PLANTILLA!AD22</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PLANTILLA!A24</f>
        <v>#15</v>
      </c>
      <c r="B17" s="219" t="str">
        <f>PLANTILLA!D24</f>
        <v>P .Trivadi</v>
      </c>
      <c r="C17" s="287">
        <f>PLANTILLA!E24</f>
        <v>27</v>
      </c>
      <c r="D17" s="287">
        <f ca="1">PLANTILLA!F24</f>
        <v>30</v>
      </c>
      <c r="E17" s="163">
        <f>PLANTILLA!X24</f>
        <v>0</v>
      </c>
      <c r="F17" s="163">
        <f>PLANTILLA!Y24</f>
        <v>4.0199999999999996</v>
      </c>
      <c r="G17" s="163">
        <f>PLANTILLA!Z24</f>
        <v>5.5538722222222203</v>
      </c>
      <c r="H17" s="163">
        <f>PLANTILLA!AA24</f>
        <v>5.4899999999999993</v>
      </c>
      <c r="I17" s="163">
        <f>PLANTILLA!AB24</f>
        <v>10.799999999999999</v>
      </c>
      <c r="J17" s="163">
        <f>PLANTILLA!AC24</f>
        <v>8.384500000000001</v>
      </c>
      <c r="K17" s="163">
        <f>PLANTILLA!AD24</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27</v>
      </c>
      <c r="E18" s="163">
        <f>PLANTILLA!X5</f>
        <v>16.666666666666668</v>
      </c>
      <c r="F18" s="163">
        <f>PLANTILLA!Y5</f>
        <v>12.080559440559444</v>
      </c>
      <c r="G18" s="163">
        <f>PLANTILLA!Z5</f>
        <v>2.0499999999999989</v>
      </c>
      <c r="H18" s="163">
        <f>PLANTILLA!AA5</f>
        <v>2.1399999999999992</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30</v>
      </c>
      <c r="D19" s="287">
        <f ca="1">PLANTILLA!F17</f>
        <v>99</v>
      </c>
      <c r="E19" s="163">
        <f>PLANTILLA!X17</f>
        <v>0</v>
      </c>
      <c r="F19" s="163">
        <f>PLANTILLA!Y17</f>
        <v>10.549999999999995</v>
      </c>
      <c r="G19" s="163">
        <f>PLANTILLA!Z17</f>
        <v>12.869777777777777</v>
      </c>
      <c r="H19" s="163">
        <f>PLANTILLA!AA17</f>
        <v>5.1299999999999981</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36</v>
      </c>
      <c r="E20" s="163">
        <f>PLANTILLA!X6</f>
        <v>10.3</v>
      </c>
      <c r="F20" s="163">
        <f>PLANTILLA!Y6</f>
        <v>10.814999999999998</v>
      </c>
      <c r="G20" s="163">
        <f>PLANTILLA!Z6</f>
        <v>4.6400000000000006</v>
      </c>
      <c r="H20" s="163">
        <f>PLANTILLA!AA6</f>
        <v>4.95</v>
      </c>
      <c r="I20" s="163">
        <f>PLANTILLA!AB6</f>
        <v>6.5444444444444434</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46</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24</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str">
        <f>PLANTILLA!A20</f>
        <v>#89</v>
      </c>
      <c r="B23" s="287" t="str">
        <f>PLANTILLA!D20</f>
        <v>M. Amico</v>
      </c>
      <c r="C23" s="287">
        <f>PLANTILLA!E20</f>
        <v>29</v>
      </c>
      <c r="D23" s="287">
        <f ca="1">PLANTILLA!F20</f>
        <v>31</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Q3" sqref="Q3"/>
    </sheetView>
  </sheetViews>
  <sheetFormatPr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43073</v>
      </c>
      <c r="F2" s="291"/>
      <c r="G2" s="698" t="s">
        <v>444</v>
      </c>
      <c r="H2" s="698"/>
      <c r="J2" s="291"/>
      <c r="K2" s="291"/>
      <c r="L2" s="698" t="s">
        <v>865</v>
      </c>
      <c r="M2" s="698"/>
      <c r="N2" s="698"/>
      <c r="O2" s="630"/>
      <c r="P2" s="309"/>
      <c r="Q2" s="309"/>
      <c r="R2" s="698" t="s">
        <v>446</v>
      </c>
      <c r="S2" s="698"/>
      <c r="U2" s="4" t="s">
        <v>874</v>
      </c>
      <c r="V2" s="3" t="s">
        <v>176</v>
      </c>
      <c r="W2" s="291"/>
      <c r="X2" s="291"/>
    </row>
    <row r="3" spans="1:24" x14ac:dyDescent="0.25">
      <c r="F3">
        <v>1</v>
      </c>
      <c r="G3" s="3">
        <v>55</v>
      </c>
      <c r="H3" t="s">
        <v>783</v>
      </c>
      <c r="I3" t="s">
        <v>1</v>
      </c>
      <c r="K3" s="620">
        <v>1</v>
      </c>
      <c r="L3" s="3">
        <v>274</v>
      </c>
      <c r="M3" t="s">
        <v>460</v>
      </c>
      <c r="N3" t="s">
        <v>459</v>
      </c>
      <c r="O3" s="370">
        <f t="shared" ref="O3:O22" si="0">L3/$G$22</f>
        <v>0.88102893890675238</v>
      </c>
      <c r="Q3" s="620">
        <v>1</v>
      </c>
      <c r="R3" s="3">
        <v>189</v>
      </c>
      <c r="S3" t="s">
        <v>447</v>
      </c>
      <c r="T3" t="s">
        <v>212</v>
      </c>
      <c r="U3" s="159">
        <f>R3/L7</f>
        <v>0.86301369863013699</v>
      </c>
      <c r="V3" s="47">
        <f t="shared" ref="V3:V16" si="1">R3/$R$32</f>
        <v>0.18529411764705883</v>
      </c>
    </row>
    <row r="4" spans="1:24" s="291" customFormat="1" ht="18.75" x14ac:dyDescent="0.3">
      <c r="A4" s="291" t="s">
        <v>441</v>
      </c>
      <c r="F4">
        <v>2</v>
      </c>
      <c r="G4" s="3">
        <v>53</v>
      </c>
      <c r="H4" t="s">
        <v>206</v>
      </c>
      <c r="I4" s="290" t="s">
        <v>1</v>
      </c>
      <c r="J4"/>
      <c r="K4" s="620">
        <v>2</v>
      </c>
      <c r="L4" s="3">
        <v>270</v>
      </c>
      <c r="M4" t="s">
        <v>473</v>
      </c>
      <c r="N4" s="290" t="s">
        <v>439</v>
      </c>
      <c r="O4" s="370">
        <f t="shared" si="0"/>
        <v>0.86816720257234725</v>
      </c>
      <c r="P4"/>
      <c r="Q4" s="620">
        <v>2</v>
      </c>
      <c r="R4" s="3">
        <v>87</v>
      </c>
      <c r="S4" t="s">
        <v>547</v>
      </c>
      <c r="T4" t="s">
        <v>65</v>
      </c>
      <c r="U4" s="159">
        <f>R4/L13</f>
        <v>0.47802197802197804</v>
      </c>
      <c r="V4" s="47">
        <f t="shared" si="1"/>
        <v>8.5294117647058826E-2</v>
      </c>
      <c r="W4"/>
      <c r="X4"/>
    </row>
    <row r="5" spans="1:24" x14ac:dyDescent="0.25">
      <c r="A5" s="179" t="s">
        <v>442</v>
      </c>
      <c r="B5" s="492" t="s">
        <v>877</v>
      </c>
      <c r="C5" s="290">
        <v>43066</v>
      </c>
      <c r="D5" t="s">
        <v>878</v>
      </c>
      <c r="F5">
        <v>3</v>
      </c>
      <c r="G5" s="665">
        <v>46</v>
      </c>
      <c r="H5" s="663" t="s">
        <v>204</v>
      </c>
      <c r="I5" s="664" t="s">
        <v>1</v>
      </c>
      <c r="K5" s="632">
        <v>3</v>
      </c>
      <c r="L5" s="3">
        <v>242</v>
      </c>
      <c r="M5" t="s">
        <v>449</v>
      </c>
      <c r="N5" s="290" t="s">
        <v>64</v>
      </c>
      <c r="O5" s="370">
        <f t="shared" si="0"/>
        <v>0.77813504823151125</v>
      </c>
      <c r="Q5" s="620">
        <v>3</v>
      </c>
      <c r="R5" s="3">
        <v>79</v>
      </c>
      <c r="S5" t="s">
        <v>449</v>
      </c>
      <c r="T5" t="s">
        <v>64</v>
      </c>
      <c r="U5" s="159">
        <f>R5/L5</f>
        <v>0.32644628099173556</v>
      </c>
      <c r="V5" s="47">
        <f t="shared" si="1"/>
        <v>7.7450980392156865E-2</v>
      </c>
    </row>
    <row r="6" spans="1:24" ht="18.75" x14ac:dyDescent="0.3">
      <c r="A6" s="179" t="s">
        <v>863</v>
      </c>
      <c r="B6" s="366" t="s">
        <v>870</v>
      </c>
      <c r="C6" s="290">
        <v>43055</v>
      </c>
      <c r="D6" t="s">
        <v>871</v>
      </c>
      <c r="F6">
        <v>4</v>
      </c>
      <c r="G6" s="665">
        <v>2</v>
      </c>
      <c r="H6" s="663" t="s">
        <v>200</v>
      </c>
      <c r="I6" s="663" t="s">
        <v>1</v>
      </c>
      <c r="J6" s="291"/>
      <c r="K6" s="632">
        <v>4</v>
      </c>
      <c r="L6" s="342">
        <v>226</v>
      </c>
      <c r="M6" t="s">
        <v>498</v>
      </c>
      <c r="N6" s="290" t="s">
        <v>64</v>
      </c>
      <c r="O6" s="370">
        <f t="shared" si="0"/>
        <v>0.72668810289389063</v>
      </c>
      <c r="P6" s="291"/>
      <c r="Q6" s="620">
        <v>4</v>
      </c>
      <c r="R6" s="321">
        <v>72</v>
      </c>
      <c r="S6" t="s">
        <v>460</v>
      </c>
      <c r="T6" t="s">
        <v>459</v>
      </c>
      <c r="U6" s="159">
        <f>R6/L3</f>
        <v>0.26277372262773724</v>
      </c>
      <c r="V6" s="47">
        <f t="shared" si="1"/>
        <v>7.0588235294117646E-2</v>
      </c>
      <c r="X6" s="291"/>
    </row>
    <row r="7" spans="1:24" ht="18.75" x14ac:dyDescent="0.3">
      <c r="F7">
        <v>5</v>
      </c>
      <c r="G7" s="3">
        <v>1</v>
      </c>
      <c r="H7" t="s">
        <v>448</v>
      </c>
      <c r="I7" t="s">
        <v>2</v>
      </c>
      <c r="K7" s="632">
        <v>5</v>
      </c>
      <c r="L7" s="342">
        <v>219</v>
      </c>
      <c r="M7" t="s">
        <v>496</v>
      </c>
      <c r="N7" s="290" t="s">
        <v>212</v>
      </c>
      <c r="O7" s="370">
        <f t="shared" si="0"/>
        <v>0.70418006430868163</v>
      </c>
      <c r="Q7" s="620">
        <v>5</v>
      </c>
      <c r="R7" s="380">
        <v>62</v>
      </c>
      <c r="S7" t="s">
        <v>497</v>
      </c>
      <c r="T7" s="290" t="s">
        <v>65</v>
      </c>
      <c r="U7" s="159">
        <f>R7/L10</f>
        <v>0.29665071770334928</v>
      </c>
      <c r="V7" s="47">
        <f t="shared" si="1"/>
        <v>6.0784313725490195E-2</v>
      </c>
      <c r="W7" s="291"/>
    </row>
    <row r="8" spans="1:24" s="291" customFormat="1" ht="18.75" x14ac:dyDescent="0.3">
      <c r="A8" s="698" t="s">
        <v>864</v>
      </c>
      <c r="B8" s="698"/>
      <c r="F8">
        <v>5</v>
      </c>
      <c r="G8" s="665">
        <v>1</v>
      </c>
      <c r="H8" s="663" t="s">
        <v>462</v>
      </c>
      <c r="I8" s="663" t="s">
        <v>439</v>
      </c>
      <c r="J8"/>
      <c r="K8" s="632">
        <v>6</v>
      </c>
      <c r="L8" s="317">
        <v>215</v>
      </c>
      <c r="M8" t="s">
        <v>457</v>
      </c>
      <c r="N8" s="290" t="s">
        <v>64</v>
      </c>
      <c r="O8" s="370">
        <f t="shared" si="0"/>
        <v>0.6913183279742765</v>
      </c>
      <c r="P8"/>
      <c r="Q8" s="620">
        <v>6</v>
      </c>
      <c r="R8" s="321">
        <v>58</v>
      </c>
      <c r="S8" t="s">
        <v>473</v>
      </c>
      <c r="T8" s="290" t="s">
        <v>439</v>
      </c>
      <c r="U8" s="159">
        <f>R8/L4</f>
        <v>0.21481481481481482</v>
      </c>
      <c r="V8" s="47">
        <f t="shared" si="1"/>
        <v>5.6862745098039215E-2</v>
      </c>
      <c r="W8"/>
      <c r="X8"/>
    </row>
    <row r="9" spans="1:24" ht="18.75" x14ac:dyDescent="0.3">
      <c r="A9" s="660" t="s">
        <v>867</v>
      </c>
      <c r="B9" t="s">
        <v>861</v>
      </c>
      <c r="C9" s="290" t="s">
        <v>66</v>
      </c>
      <c r="K9" s="632">
        <v>6</v>
      </c>
      <c r="L9" s="317">
        <v>215</v>
      </c>
      <c r="M9" t="s">
        <v>461</v>
      </c>
      <c r="N9" s="290" t="s">
        <v>439</v>
      </c>
      <c r="O9" s="370">
        <f t="shared" si="0"/>
        <v>0.6913183279742765</v>
      </c>
      <c r="Q9" s="620">
        <v>7</v>
      </c>
      <c r="R9" s="317">
        <v>53</v>
      </c>
      <c r="S9" t="s">
        <v>498</v>
      </c>
      <c r="T9" s="290" t="s">
        <v>64</v>
      </c>
      <c r="U9" s="159">
        <f>R9/L6</f>
        <v>0.23451327433628319</v>
      </c>
      <c r="V9" s="47">
        <f t="shared" si="1"/>
        <v>5.1960784313725493E-2</v>
      </c>
      <c r="W9" s="291"/>
    </row>
    <row r="10" spans="1:24" ht="18.75" x14ac:dyDescent="0.3">
      <c r="A10" s="568" t="s">
        <v>868</v>
      </c>
      <c r="B10" t="s">
        <v>783</v>
      </c>
      <c r="C10" t="s">
        <v>1</v>
      </c>
      <c r="F10" s="291"/>
      <c r="G10" s="698" t="s">
        <v>445</v>
      </c>
      <c r="H10" s="698"/>
      <c r="J10" s="291"/>
      <c r="K10" s="632">
        <v>8</v>
      </c>
      <c r="L10" s="342">
        <v>209</v>
      </c>
      <c r="M10" t="s">
        <v>497</v>
      </c>
      <c r="N10" s="290" t="s">
        <v>65</v>
      </c>
      <c r="O10" s="370">
        <f t="shared" si="0"/>
        <v>0.67202572347266876</v>
      </c>
      <c r="P10" s="291"/>
      <c r="Q10" s="620">
        <v>7</v>
      </c>
      <c r="R10" s="360">
        <v>53</v>
      </c>
      <c r="S10" t="s">
        <v>476</v>
      </c>
      <c r="T10" s="290" t="s">
        <v>64</v>
      </c>
      <c r="U10" s="159">
        <f>R10/L11</f>
        <v>0.28342245989304815</v>
      </c>
      <c r="V10" s="47">
        <f t="shared" si="1"/>
        <v>5.1960784313725493E-2</v>
      </c>
      <c r="X10" s="291"/>
    </row>
    <row r="11" spans="1:24" x14ac:dyDescent="0.25">
      <c r="A11" s="382" t="s">
        <v>791</v>
      </c>
      <c r="B11" t="s">
        <v>460</v>
      </c>
      <c r="C11" t="s">
        <v>459</v>
      </c>
      <c r="F11">
        <v>1</v>
      </c>
      <c r="G11" s="444">
        <v>108</v>
      </c>
      <c r="H11" t="s">
        <v>783</v>
      </c>
      <c r="I11" t="s">
        <v>1</v>
      </c>
      <c r="K11" s="632">
        <v>9</v>
      </c>
      <c r="L11" s="317">
        <v>187</v>
      </c>
      <c r="M11" t="s">
        <v>476</v>
      </c>
      <c r="N11" s="290" t="s">
        <v>64</v>
      </c>
      <c r="O11" s="370">
        <f t="shared" si="0"/>
        <v>0.6012861736334405</v>
      </c>
      <c r="Q11" s="620">
        <v>9</v>
      </c>
      <c r="R11" s="381">
        <v>50</v>
      </c>
      <c r="S11" t="s">
        <v>550</v>
      </c>
      <c r="T11" s="290" t="s">
        <v>212</v>
      </c>
      <c r="U11" s="159">
        <f>R11/L17</f>
        <v>0.47169811320754718</v>
      </c>
      <c r="V11" s="47">
        <f t="shared" si="1"/>
        <v>4.9019607843137254E-2</v>
      </c>
    </row>
    <row r="12" spans="1:24" s="291" customFormat="1" ht="18.75" x14ac:dyDescent="0.3">
      <c r="A12" s="382" t="s">
        <v>791</v>
      </c>
      <c r="B12" t="s">
        <v>498</v>
      </c>
      <c r="C12" s="290" t="s">
        <v>64</v>
      </c>
      <c r="F12">
        <v>2</v>
      </c>
      <c r="G12" s="665">
        <v>88</v>
      </c>
      <c r="H12" s="663" t="s">
        <v>204</v>
      </c>
      <c r="I12" s="664" t="s">
        <v>1</v>
      </c>
      <c r="J12"/>
      <c r="K12" s="632">
        <v>10</v>
      </c>
      <c r="L12" s="321">
        <v>184</v>
      </c>
      <c r="M12" t="s">
        <v>206</v>
      </c>
      <c r="N12" s="290" t="s">
        <v>1</v>
      </c>
      <c r="O12" s="370">
        <f t="shared" si="0"/>
        <v>0.59163987138263663</v>
      </c>
      <c r="P12"/>
      <c r="Q12" s="620">
        <v>10</v>
      </c>
      <c r="R12" s="321">
        <v>49</v>
      </c>
      <c r="S12" t="s">
        <v>461</v>
      </c>
      <c r="T12" s="290" t="s">
        <v>439</v>
      </c>
      <c r="U12" s="159">
        <f>R12/L9</f>
        <v>0.22790697674418606</v>
      </c>
      <c r="V12" s="47">
        <f t="shared" si="1"/>
        <v>4.8039215686274513E-2</v>
      </c>
      <c r="W12"/>
      <c r="X12"/>
    </row>
    <row r="13" spans="1:24" x14ac:dyDescent="0.25">
      <c r="A13" s="656" t="s">
        <v>791</v>
      </c>
      <c r="B13" t="s">
        <v>858</v>
      </c>
      <c r="C13" t="s">
        <v>2</v>
      </c>
      <c r="F13">
        <v>3</v>
      </c>
      <c r="G13" s="317">
        <v>68</v>
      </c>
      <c r="H13" t="s">
        <v>473</v>
      </c>
      <c r="I13" s="290" t="s">
        <v>439</v>
      </c>
      <c r="K13" s="632">
        <v>11</v>
      </c>
      <c r="L13" s="444">
        <v>182</v>
      </c>
      <c r="M13" t="s">
        <v>547</v>
      </c>
      <c r="N13" t="s">
        <v>65</v>
      </c>
      <c r="O13" s="370">
        <f t="shared" si="0"/>
        <v>0.58520900321543412</v>
      </c>
      <c r="Q13" s="620">
        <v>11</v>
      </c>
      <c r="R13" s="317">
        <v>47</v>
      </c>
      <c r="S13" t="s">
        <v>448</v>
      </c>
      <c r="T13" t="s">
        <v>2</v>
      </c>
      <c r="U13" s="159">
        <f>R13/L14</f>
        <v>0.28834355828220859</v>
      </c>
      <c r="V13" s="47">
        <f t="shared" si="1"/>
        <v>4.6078431372549022E-2</v>
      </c>
    </row>
    <row r="14" spans="1:24" x14ac:dyDescent="0.25">
      <c r="A14" s="382" t="s">
        <v>791</v>
      </c>
      <c r="B14" t="s">
        <v>449</v>
      </c>
      <c r="C14" s="290" t="s">
        <v>64</v>
      </c>
      <c r="F14">
        <v>4</v>
      </c>
      <c r="G14" s="662">
        <v>21</v>
      </c>
      <c r="H14" s="663" t="s">
        <v>190</v>
      </c>
      <c r="I14" s="663" t="s">
        <v>65</v>
      </c>
      <c r="K14" s="632">
        <v>12</v>
      </c>
      <c r="L14" s="317">
        <v>163</v>
      </c>
      <c r="M14" t="s">
        <v>448</v>
      </c>
      <c r="N14" s="290" t="s">
        <v>439</v>
      </c>
      <c r="O14" s="370">
        <f t="shared" si="0"/>
        <v>0.52411575562700963</v>
      </c>
      <c r="Q14" s="620">
        <v>12</v>
      </c>
      <c r="R14" s="321">
        <v>36</v>
      </c>
      <c r="S14" t="s">
        <v>457</v>
      </c>
      <c r="T14" t="s">
        <v>64</v>
      </c>
      <c r="U14" s="159">
        <f>R14/L8</f>
        <v>0.16744186046511628</v>
      </c>
      <c r="V14" s="47">
        <f t="shared" si="1"/>
        <v>3.5294117647058823E-2</v>
      </c>
    </row>
    <row r="15" spans="1:24" x14ac:dyDescent="0.25">
      <c r="A15" s="382" t="s">
        <v>820</v>
      </c>
      <c r="B15" t="s">
        <v>497</v>
      </c>
      <c r="C15" s="290" t="s">
        <v>65</v>
      </c>
      <c r="F15">
        <v>5</v>
      </c>
      <c r="G15" s="444">
        <v>7</v>
      </c>
      <c r="H15" t="s">
        <v>449</v>
      </c>
      <c r="I15" s="290" t="s">
        <v>64</v>
      </c>
      <c r="K15" s="632">
        <v>13</v>
      </c>
      <c r="L15" s="662">
        <v>146</v>
      </c>
      <c r="M15" s="663" t="s">
        <v>204</v>
      </c>
      <c r="N15" s="664" t="s">
        <v>1</v>
      </c>
      <c r="O15" s="666">
        <f t="shared" si="0"/>
        <v>0.46945337620578781</v>
      </c>
      <c r="Q15" s="620">
        <v>13</v>
      </c>
      <c r="R15" s="444">
        <v>27</v>
      </c>
      <c r="S15" s="246" t="s">
        <v>861</v>
      </c>
      <c r="T15" s="246" t="s">
        <v>66</v>
      </c>
      <c r="U15" s="159">
        <f>R15/L23</f>
        <v>0.6428571428571429</v>
      </c>
      <c r="V15" s="47">
        <f t="shared" si="1"/>
        <v>2.6470588235294117E-2</v>
      </c>
      <c r="W15">
        <v>103</v>
      </c>
    </row>
    <row r="16" spans="1:24" x14ac:dyDescent="0.25">
      <c r="A16" s="380" t="s">
        <v>820</v>
      </c>
      <c r="B16" t="s">
        <v>473</v>
      </c>
      <c r="C16" s="290" t="s">
        <v>439</v>
      </c>
      <c r="F16">
        <v>6</v>
      </c>
      <c r="G16" s="662">
        <v>6</v>
      </c>
      <c r="H16" s="663" t="s">
        <v>194</v>
      </c>
      <c r="I16" s="664" t="s">
        <v>64</v>
      </c>
      <c r="K16" s="632">
        <v>14</v>
      </c>
      <c r="L16" s="444">
        <v>120</v>
      </c>
      <c r="M16" t="s">
        <v>783</v>
      </c>
      <c r="N16" t="s">
        <v>1</v>
      </c>
      <c r="O16" s="370">
        <f t="shared" si="0"/>
        <v>0.38585209003215432</v>
      </c>
      <c r="Q16" s="620">
        <v>14</v>
      </c>
      <c r="R16" s="317">
        <v>20</v>
      </c>
      <c r="S16" t="s">
        <v>513</v>
      </c>
      <c r="T16" t="s">
        <v>64</v>
      </c>
      <c r="U16" s="159">
        <f>R16/L18</f>
        <v>0.20833333333333334</v>
      </c>
      <c r="V16" s="47">
        <f t="shared" si="1"/>
        <v>1.9607843137254902E-2</v>
      </c>
    </row>
    <row r="17" spans="1:23" x14ac:dyDescent="0.25">
      <c r="A17" s="382" t="s">
        <v>820</v>
      </c>
      <c r="B17" t="s">
        <v>476</v>
      </c>
      <c r="C17" s="290" t="s">
        <v>64</v>
      </c>
      <c r="F17">
        <v>7</v>
      </c>
      <c r="G17" s="665">
        <v>5</v>
      </c>
      <c r="H17" s="663" t="s">
        <v>193</v>
      </c>
      <c r="I17" s="664" t="s">
        <v>64</v>
      </c>
      <c r="K17" s="632">
        <v>15</v>
      </c>
      <c r="L17" s="444">
        <v>106</v>
      </c>
      <c r="M17" s="246" t="s">
        <v>627</v>
      </c>
      <c r="N17" s="453" t="s">
        <v>212</v>
      </c>
      <c r="O17" s="370">
        <f t="shared" si="0"/>
        <v>0.34083601286173631</v>
      </c>
      <c r="Q17" s="620">
        <v>15</v>
      </c>
      <c r="R17" s="662">
        <v>19</v>
      </c>
      <c r="S17" s="663" t="s">
        <v>205</v>
      </c>
      <c r="T17" s="664" t="s">
        <v>451</v>
      </c>
      <c r="U17" s="159"/>
      <c r="V17" s="47"/>
    </row>
    <row r="18" spans="1:23" x14ac:dyDescent="0.25">
      <c r="A18" s="380" t="s">
        <v>792</v>
      </c>
      <c r="B18" t="s">
        <v>547</v>
      </c>
      <c r="C18" s="290" t="s">
        <v>65</v>
      </c>
      <c r="F18">
        <v>8</v>
      </c>
      <c r="G18" s="662">
        <v>4</v>
      </c>
      <c r="H18" s="663" t="s">
        <v>387</v>
      </c>
      <c r="I18" s="664" t="s">
        <v>212</v>
      </c>
      <c r="K18" s="632">
        <v>16</v>
      </c>
      <c r="L18" s="444">
        <v>96</v>
      </c>
      <c r="M18" t="s">
        <v>513</v>
      </c>
      <c r="N18" t="s">
        <v>64</v>
      </c>
      <c r="O18" s="370">
        <f t="shared" si="0"/>
        <v>0.3086816720257235</v>
      </c>
      <c r="Q18" s="620">
        <v>16</v>
      </c>
      <c r="R18" s="662">
        <v>15</v>
      </c>
      <c r="S18" s="663" t="s">
        <v>193</v>
      </c>
      <c r="T18" s="664" t="s">
        <v>64</v>
      </c>
      <c r="U18" s="159"/>
      <c r="V18" s="47"/>
    </row>
    <row r="19" spans="1:23" x14ac:dyDescent="0.25">
      <c r="A19" s="380" t="s">
        <v>792</v>
      </c>
      <c r="B19" t="s">
        <v>496</v>
      </c>
      <c r="C19" s="290" t="s">
        <v>212</v>
      </c>
      <c r="F19">
        <v>9</v>
      </c>
      <c r="G19" s="605">
        <v>2</v>
      </c>
      <c r="H19" t="s">
        <v>206</v>
      </c>
      <c r="I19" s="290" t="s">
        <v>1</v>
      </c>
      <c r="K19" s="632">
        <v>17</v>
      </c>
      <c r="L19" s="662">
        <v>89</v>
      </c>
      <c r="M19" s="663" t="s">
        <v>462</v>
      </c>
      <c r="N19" s="664" t="s">
        <v>439</v>
      </c>
      <c r="O19" s="666">
        <f t="shared" si="0"/>
        <v>0.2861736334405145</v>
      </c>
      <c r="Q19" s="620">
        <v>17</v>
      </c>
      <c r="R19" s="317">
        <v>12</v>
      </c>
      <c r="S19" t="s">
        <v>533</v>
      </c>
      <c r="T19" t="s">
        <v>212</v>
      </c>
      <c r="U19" s="159">
        <f>R19/L25</f>
        <v>0.375</v>
      </c>
      <c r="V19" s="47">
        <f>R19/$R$32</f>
        <v>1.1764705882352941E-2</v>
      </c>
    </row>
    <row r="20" spans="1:23" x14ac:dyDescent="0.25">
      <c r="A20" s="382" t="s">
        <v>792</v>
      </c>
      <c r="B20" t="s">
        <v>457</v>
      </c>
      <c r="C20" s="290" t="s">
        <v>64</v>
      </c>
      <c r="F20">
        <v>10</v>
      </c>
      <c r="G20" s="665">
        <v>1</v>
      </c>
      <c r="H20" s="663" t="s">
        <v>205</v>
      </c>
      <c r="I20" s="664" t="s">
        <v>451</v>
      </c>
      <c r="K20" s="632">
        <v>18</v>
      </c>
      <c r="L20" s="444">
        <v>71</v>
      </c>
      <c r="M20" t="s">
        <v>858</v>
      </c>
      <c r="N20" t="s">
        <v>2</v>
      </c>
      <c r="O20" s="370">
        <f t="shared" si="0"/>
        <v>0.22829581993569131</v>
      </c>
      <c r="Q20" s="620">
        <v>18</v>
      </c>
      <c r="R20" s="321">
        <v>11</v>
      </c>
      <c r="S20" t="s">
        <v>206</v>
      </c>
      <c r="T20" s="290" t="s">
        <v>1</v>
      </c>
      <c r="U20" s="159">
        <f>R20/L12</f>
        <v>5.9782608695652176E-2</v>
      </c>
      <c r="V20" s="47">
        <f>R20/$R$32</f>
        <v>1.0784313725490196E-2</v>
      </c>
    </row>
    <row r="21" spans="1:23" x14ac:dyDescent="0.25">
      <c r="A21" s="382" t="s">
        <v>713</v>
      </c>
      <c r="B21" t="s">
        <v>550</v>
      </c>
      <c r="C21" s="290" t="s">
        <v>212</v>
      </c>
      <c r="F21">
        <v>10</v>
      </c>
      <c r="G21" s="3">
        <v>1</v>
      </c>
      <c r="H21" t="s">
        <v>448</v>
      </c>
      <c r="I21" t="s">
        <v>2</v>
      </c>
      <c r="K21" s="632">
        <v>19</v>
      </c>
      <c r="L21" s="605">
        <v>63</v>
      </c>
      <c r="M21" t="s">
        <v>630</v>
      </c>
      <c r="N21" t="s">
        <v>439</v>
      </c>
      <c r="O21" s="370">
        <f t="shared" si="0"/>
        <v>0.20257234726688103</v>
      </c>
      <c r="Q21" s="620">
        <v>18</v>
      </c>
      <c r="R21" s="317">
        <v>11</v>
      </c>
      <c r="S21" t="s">
        <v>630</v>
      </c>
      <c r="T21" t="s">
        <v>2</v>
      </c>
      <c r="U21" s="159">
        <f>R21/L21</f>
        <v>0.17460317460317459</v>
      </c>
      <c r="V21" s="47">
        <f>R21/$R$32</f>
        <v>1.0784313725490196E-2</v>
      </c>
    </row>
    <row r="22" spans="1:23" x14ac:dyDescent="0.25">
      <c r="A22" s="326" t="s">
        <v>869</v>
      </c>
      <c r="B22" t="s">
        <v>461</v>
      </c>
      <c r="C22" s="290" t="s">
        <v>439</v>
      </c>
      <c r="G22" s="667">
        <f>SUM(G11:G21)</f>
        <v>311</v>
      </c>
      <c r="K22" s="632">
        <v>20</v>
      </c>
      <c r="L22" s="662">
        <v>55</v>
      </c>
      <c r="M22" s="663" t="s">
        <v>205</v>
      </c>
      <c r="N22" s="664" t="s">
        <v>451</v>
      </c>
      <c r="O22" s="666">
        <f t="shared" si="0"/>
        <v>0.17684887459807075</v>
      </c>
      <c r="Q22" s="620">
        <v>20</v>
      </c>
      <c r="R22" s="594">
        <v>11</v>
      </c>
      <c r="S22" t="s">
        <v>858</v>
      </c>
      <c r="T22" t="s">
        <v>2</v>
      </c>
      <c r="U22" s="159">
        <f>R22/L23</f>
        <v>0.26190476190476192</v>
      </c>
      <c r="V22" s="47">
        <f>R22/$R$32</f>
        <v>1.0784313725490196E-2</v>
      </c>
      <c r="W22">
        <v>57</v>
      </c>
    </row>
    <row r="23" spans="1:23" x14ac:dyDescent="0.25">
      <c r="A23" s="382" t="s">
        <v>574</v>
      </c>
      <c r="B23" t="s">
        <v>206</v>
      </c>
      <c r="C23" s="290" t="s">
        <v>1</v>
      </c>
      <c r="K23" s="632">
        <v>21</v>
      </c>
      <c r="L23" s="444">
        <v>42</v>
      </c>
      <c r="M23" t="s">
        <v>861</v>
      </c>
      <c r="N23" t="s">
        <v>66</v>
      </c>
      <c r="O23" s="370">
        <f t="shared" ref="O23" si="2">L23/$G$22</f>
        <v>0.13504823151125403</v>
      </c>
      <c r="Q23" s="620">
        <v>20</v>
      </c>
      <c r="R23" s="662">
        <v>10</v>
      </c>
      <c r="S23" s="663" t="s">
        <v>462</v>
      </c>
      <c r="T23" s="664" t="s">
        <v>439</v>
      </c>
      <c r="U23" s="159"/>
      <c r="V23" s="47"/>
    </row>
    <row r="24" spans="1:23" x14ac:dyDescent="0.25">
      <c r="A24" s="662" t="s">
        <v>574</v>
      </c>
      <c r="B24" s="663" t="s">
        <v>204</v>
      </c>
      <c r="C24" s="664" t="s">
        <v>1</v>
      </c>
      <c r="K24" s="632"/>
      <c r="L24" s="605" t="s">
        <v>794</v>
      </c>
      <c r="M24" t="s">
        <v>794</v>
      </c>
      <c r="N24" t="s">
        <v>794</v>
      </c>
      <c r="O24" s="629" t="s">
        <v>794</v>
      </c>
      <c r="Q24" s="620">
        <v>20</v>
      </c>
      <c r="R24" s="662">
        <v>10</v>
      </c>
      <c r="S24" s="663" t="s">
        <v>548</v>
      </c>
      <c r="T24" s="664" t="s">
        <v>212</v>
      </c>
      <c r="U24" s="503"/>
      <c r="V24" s="47"/>
    </row>
    <row r="25" spans="1:23" x14ac:dyDescent="0.25">
      <c r="A25" s="380" t="s">
        <v>574</v>
      </c>
      <c r="B25" t="s">
        <v>513</v>
      </c>
      <c r="C25" t="s">
        <v>64</v>
      </c>
      <c r="K25" s="632"/>
      <c r="L25" s="605">
        <v>32</v>
      </c>
      <c r="M25" t="s">
        <v>533</v>
      </c>
      <c r="N25" t="s">
        <v>212</v>
      </c>
      <c r="O25" s="370">
        <f>L25/$G$22</f>
        <v>0.10289389067524116</v>
      </c>
      <c r="Q25" s="620">
        <v>23</v>
      </c>
      <c r="R25" s="662">
        <v>9</v>
      </c>
      <c r="S25" s="663" t="s">
        <v>464</v>
      </c>
      <c r="T25" s="663" t="s">
        <v>212</v>
      </c>
      <c r="U25" s="159"/>
      <c r="V25" s="47"/>
    </row>
    <row r="26" spans="1:23" x14ac:dyDescent="0.25">
      <c r="A26" s="662" t="s">
        <v>458</v>
      </c>
      <c r="B26" s="663" t="s">
        <v>387</v>
      </c>
      <c r="C26" s="664" t="s">
        <v>212</v>
      </c>
      <c r="L26" s="673">
        <v>1</v>
      </c>
      <c r="M26" s="246" t="s">
        <v>879</v>
      </c>
      <c r="N26" s="246" t="s">
        <v>66</v>
      </c>
      <c r="O26" s="370">
        <f>L26/$G$22</f>
        <v>3.2154340836012861E-3</v>
      </c>
      <c r="Q26" s="620">
        <v>23</v>
      </c>
      <c r="R26" s="662">
        <v>9</v>
      </c>
      <c r="S26" s="663" t="s">
        <v>463</v>
      </c>
      <c r="T26" s="663" t="s">
        <v>212</v>
      </c>
      <c r="U26" s="159"/>
      <c r="V26" s="47"/>
    </row>
    <row r="27" spans="1:23" x14ac:dyDescent="0.25">
      <c r="A27" s="380" t="s">
        <v>458</v>
      </c>
      <c r="B27" t="s">
        <v>448</v>
      </c>
      <c r="C27" s="290" t="s">
        <v>2</v>
      </c>
      <c r="Q27" s="620">
        <v>25</v>
      </c>
      <c r="R27" s="662">
        <v>8</v>
      </c>
      <c r="S27" s="663" t="s">
        <v>199</v>
      </c>
      <c r="T27" s="663" t="s">
        <v>439</v>
      </c>
      <c r="U27" s="159"/>
      <c r="V27" s="47"/>
    </row>
    <row r="28" spans="1:23" x14ac:dyDescent="0.25">
      <c r="A28" s="455" t="s">
        <v>458</v>
      </c>
      <c r="B28" t="s">
        <v>630</v>
      </c>
      <c r="C28" t="s">
        <v>439</v>
      </c>
      <c r="Q28" s="620">
        <v>26</v>
      </c>
      <c r="R28" s="662">
        <v>6</v>
      </c>
      <c r="S28" s="663" t="s">
        <v>204</v>
      </c>
      <c r="T28" s="664" t="s">
        <v>1</v>
      </c>
      <c r="U28" s="159"/>
      <c r="V28" s="47"/>
    </row>
    <row r="29" spans="1:23" x14ac:dyDescent="0.25">
      <c r="A29" s="662" t="s">
        <v>860</v>
      </c>
      <c r="B29" s="663" t="s">
        <v>795</v>
      </c>
      <c r="C29" s="663" t="s">
        <v>66</v>
      </c>
      <c r="Q29" s="634">
        <v>27</v>
      </c>
      <c r="R29" s="662">
        <v>3</v>
      </c>
      <c r="S29" s="663" t="s">
        <v>795</v>
      </c>
      <c r="T29" s="663" t="s">
        <v>66</v>
      </c>
      <c r="U29" s="159"/>
      <c r="V29" s="47"/>
    </row>
    <row r="30" spans="1:23" x14ac:dyDescent="0.25">
      <c r="A30" s="680" t="s">
        <v>860</v>
      </c>
      <c r="B30" s="246" t="s">
        <v>879</v>
      </c>
      <c r="C30" s="246" t="s">
        <v>66</v>
      </c>
      <c r="Q30" s="660">
        <v>27</v>
      </c>
      <c r="R30" s="662">
        <v>3</v>
      </c>
      <c r="S30" s="663" t="s">
        <v>638</v>
      </c>
      <c r="T30" s="663" t="s">
        <v>64</v>
      </c>
      <c r="U30" s="159"/>
      <c r="V30" s="47"/>
    </row>
    <row r="31" spans="1:23" x14ac:dyDescent="0.25">
      <c r="A31" s="662" t="s">
        <v>512</v>
      </c>
      <c r="B31" s="663" t="s">
        <v>548</v>
      </c>
      <c r="C31" s="664" t="s">
        <v>212</v>
      </c>
      <c r="Q31" s="673">
        <v>29</v>
      </c>
      <c r="R31" s="444">
        <v>1</v>
      </c>
      <c r="S31" s="246" t="s">
        <v>879</v>
      </c>
      <c r="T31" s="246" t="s">
        <v>66</v>
      </c>
      <c r="U31" s="676"/>
      <c r="V31" s="677"/>
      <c r="W31" s="246">
        <v>58</v>
      </c>
    </row>
    <row r="32" spans="1:23" x14ac:dyDescent="0.25">
      <c r="A32" s="393" t="s">
        <v>512</v>
      </c>
      <c r="B32" t="s">
        <v>533</v>
      </c>
      <c r="C32" t="s">
        <v>212</v>
      </c>
      <c r="R32" s="668">
        <f>SUM(R3:R31)</f>
        <v>1020</v>
      </c>
    </row>
    <row r="33" spans="1:3" x14ac:dyDescent="0.25">
      <c r="A33" s="320"/>
      <c r="B33" s="318"/>
      <c r="C33" s="319"/>
    </row>
    <row r="34" spans="1:3" x14ac:dyDescent="0.25">
      <c r="A34" s="320"/>
      <c r="B34" s="318"/>
      <c r="C34" s="319"/>
    </row>
    <row r="35" spans="1:3" x14ac:dyDescent="0.25">
      <c r="A35" s="320"/>
      <c r="B35" s="318"/>
      <c r="C35" s="319"/>
    </row>
    <row r="36" spans="1:3" x14ac:dyDescent="0.25">
      <c r="A36" s="320"/>
      <c r="B36" s="318"/>
      <c r="C36" s="318"/>
    </row>
    <row r="37" spans="1:3"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99" t="s">
        <v>11</v>
      </c>
      <c r="E2" s="699"/>
      <c r="F2" s="700" t="s">
        <v>12</v>
      </c>
      <c r="G2" s="700"/>
      <c r="H2" s="701" t="s">
        <v>13</v>
      </c>
      <c r="I2" s="701"/>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3" t="s">
        <v>230</v>
      </c>
      <c r="C59" s="195" t="s">
        <v>177</v>
      </c>
      <c r="D59" s="684" t="s">
        <v>231</v>
      </c>
      <c r="E59" s="684" t="s">
        <v>231</v>
      </c>
      <c r="F59" s="196" t="s">
        <v>232</v>
      </c>
      <c r="H59" s="274" t="s">
        <v>233</v>
      </c>
    </row>
    <row r="60" spans="1:24" ht="23.25" x14ac:dyDescent="0.25">
      <c r="A60" s="197">
        <v>18</v>
      </c>
      <c r="B60" s="683"/>
      <c r="C60" s="195" t="s">
        <v>234</v>
      </c>
      <c r="D60" s="684"/>
      <c r="E60" s="684"/>
      <c r="F60" s="196" t="s">
        <v>235</v>
      </c>
      <c r="H60" s="273" t="s">
        <v>236</v>
      </c>
    </row>
    <row r="61" spans="1:24" x14ac:dyDescent="0.25">
      <c r="A61" s="194">
        <v>19</v>
      </c>
      <c r="B61" s="683"/>
      <c r="C61" s="198"/>
      <c r="D61" s="684"/>
      <c r="E61" s="684"/>
      <c r="F61" s="199"/>
      <c r="H61" s="273" t="s">
        <v>237</v>
      </c>
      <c r="I61" s="158"/>
    </row>
    <row r="62" spans="1:24" ht="23.25" x14ac:dyDescent="0.25">
      <c r="A62" s="197">
        <v>20</v>
      </c>
      <c r="B62" s="683"/>
      <c r="C62" s="196" t="s">
        <v>231</v>
      </c>
      <c r="D62" s="685" t="s">
        <v>232</v>
      </c>
      <c r="E62" s="196" t="s">
        <v>232</v>
      </c>
      <c r="F62" s="199"/>
      <c r="H62" s="273" t="s">
        <v>238</v>
      </c>
    </row>
    <row r="63" spans="1:24" ht="23.25" x14ac:dyDescent="0.25">
      <c r="A63" s="194">
        <v>21</v>
      </c>
      <c r="B63" s="686" t="s">
        <v>177</v>
      </c>
      <c r="C63" s="196" t="s">
        <v>239</v>
      </c>
      <c r="D63" s="685"/>
      <c r="E63" s="196" t="s">
        <v>235</v>
      </c>
      <c r="F63" s="199"/>
      <c r="H63" s="273" t="s">
        <v>240</v>
      </c>
    </row>
    <row r="64" spans="1:24" x14ac:dyDescent="0.25">
      <c r="A64" s="197">
        <v>22</v>
      </c>
      <c r="B64" s="686"/>
      <c r="C64" s="199"/>
      <c r="D64" s="685"/>
      <c r="E64" s="199"/>
      <c r="F64" s="199"/>
      <c r="H64" s="273" t="s">
        <v>241</v>
      </c>
    </row>
    <row r="65" spans="1:8" x14ac:dyDescent="0.25">
      <c r="A65" s="194">
        <v>23</v>
      </c>
      <c r="B65" s="686"/>
      <c r="C65" s="199"/>
      <c r="D65" s="685"/>
      <c r="E65" s="199"/>
      <c r="F65" s="199"/>
    </row>
    <row r="66" spans="1:8" x14ac:dyDescent="0.25">
      <c r="A66" s="197">
        <v>24</v>
      </c>
      <c r="B66" s="686"/>
      <c r="C66" s="199"/>
      <c r="D66" s="685"/>
      <c r="E66" s="199"/>
      <c r="F66" s="199"/>
      <c r="H66" s="273" t="s">
        <v>242</v>
      </c>
    </row>
    <row r="67" spans="1:8" x14ac:dyDescent="0.25">
      <c r="A67" s="194">
        <v>25</v>
      </c>
      <c r="B67" s="686"/>
      <c r="C67" s="199"/>
      <c r="D67" s="684" t="s">
        <v>231</v>
      </c>
      <c r="E67" s="199"/>
      <c r="F67" s="199"/>
      <c r="H67" s="273" t="s">
        <v>243</v>
      </c>
    </row>
    <row r="68" spans="1:8" x14ac:dyDescent="0.25">
      <c r="A68" s="197">
        <v>26</v>
      </c>
      <c r="B68" s="686"/>
      <c r="C68" s="684" t="s">
        <v>231</v>
      </c>
      <c r="D68" s="684"/>
      <c r="E68" s="199"/>
      <c r="F68" s="199"/>
    </row>
    <row r="69" spans="1:8" x14ac:dyDescent="0.25">
      <c r="A69" s="194">
        <v>27</v>
      </c>
      <c r="B69" s="683" t="s">
        <v>230</v>
      </c>
      <c r="C69" s="684"/>
      <c r="D69" s="684"/>
      <c r="E69" s="199"/>
      <c r="F69" s="199"/>
    </row>
    <row r="70" spans="1:8" x14ac:dyDescent="0.25">
      <c r="A70" s="197">
        <v>28</v>
      </c>
      <c r="B70" s="683"/>
      <c r="C70" s="686" t="s">
        <v>177</v>
      </c>
      <c r="D70" s="684"/>
      <c r="E70" s="199"/>
      <c r="F70" s="199"/>
      <c r="H70" s="273" t="s">
        <v>244</v>
      </c>
    </row>
    <row r="71" spans="1:8" x14ac:dyDescent="0.25">
      <c r="A71" s="194">
        <v>29</v>
      </c>
      <c r="B71" s="683"/>
      <c r="C71" s="686"/>
      <c r="D71" s="684"/>
      <c r="E71" s="199"/>
      <c r="F71" s="199"/>
    </row>
    <row r="72" spans="1:8" x14ac:dyDescent="0.25">
      <c r="A72" s="197">
        <v>30</v>
      </c>
      <c r="B72" s="683"/>
      <c r="C72" s="686"/>
      <c r="D72" s="686" t="s">
        <v>177</v>
      </c>
      <c r="E72" s="199"/>
      <c r="F72" s="199"/>
      <c r="H72" s="273" t="s">
        <v>245</v>
      </c>
    </row>
    <row r="73" spans="1:8" x14ac:dyDescent="0.25">
      <c r="A73" s="194">
        <v>31</v>
      </c>
      <c r="B73" s="683"/>
      <c r="C73" s="686"/>
      <c r="D73" s="686"/>
      <c r="E73" s="196" t="s">
        <v>231</v>
      </c>
      <c r="F73" s="199"/>
    </row>
    <row r="74" spans="1:8" ht="23.25" x14ac:dyDescent="0.25">
      <c r="A74" s="197">
        <v>32</v>
      </c>
      <c r="B74" s="683"/>
      <c r="C74" s="686"/>
      <c r="D74" s="686"/>
      <c r="E74" s="196" t="s">
        <v>239</v>
      </c>
      <c r="F74" s="199"/>
      <c r="H74" s="273" t="s">
        <v>246</v>
      </c>
    </row>
    <row r="75" spans="1:8" ht="23.25" x14ac:dyDescent="0.25">
      <c r="A75" s="194">
        <v>33</v>
      </c>
      <c r="B75" s="683"/>
      <c r="C75" s="683" t="s">
        <v>230</v>
      </c>
      <c r="D75" s="686"/>
      <c r="E75" s="195" t="s">
        <v>177</v>
      </c>
      <c r="F75" s="195" t="s">
        <v>177</v>
      </c>
    </row>
    <row r="76" spans="1:8" x14ac:dyDescent="0.25">
      <c r="A76" s="197">
        <v>34</v>
      </c>
      <c r="B76" s="687" t="s">
        <v>247</v>
      </c>
      <c r="C76" s="683"/>
      <c r="D76" s="686"/>
      <c r="E76" s="195" t="s">
        <v>234</v>
      </c>
      <c r="F76" s="195" t="s">
        <v>234</v>
      </c>
      <c r="H76" s="273" t="s">
        <v>248</v>
      </c>
    </row>
    <row r="77" spans="1:8" x14ac:dyDescent="0.25">
      <c r="A77" s="194">
        <v>35</v>
      </c>
      <c r="B77" s="687"/>
      <c r="C77" s="687" t="s">
        <v>247</v>
      </c>
      <c r="D77" s="683" t="s">
        <v>230</v>
      </c>
      <c r="E77" s="683" t="s">
        <v>230</v>
      </c>
      <c r="F77" s="198"/>
    </row>
    <row r="78" spans="1:8" ht="23.25" x14ac:dyDescent="0.25">
      <c r="A78" s="197">
        <v>36</v>
      </c>
      <c r="B78" s="687"/>
      <c r="C78" s="687"/>
      <c r="D78" s="683"/>
      <c r="E78" s="683"/>
      <c r="F78" s="200" t="s">
        <v>230</v>
      </c>
      <c r="H78" s="273" t="s">
        <v>249</v>
      </c>
    </row>
    <row r="79" spans="1:8" x14ac:dyDescent="0.25">
      <c r="A79" s="682" t="s">
        <v>250</v>
      </c>
      <c r="B79" s="682"/>
      <c r="C79" s="682"/>
      <c r="D79" s="682"/>
      <c r="E79" s="682"/>
      <c r="F79" s="682"/>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5"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6"/>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07">
        <f>C13</f>
        <v>1504841</v>
      </c>
      <c r="AA14" s="708"/>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ht="30"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09" t="s">
        <v>93</v>
      </c>
      <c r="B26" s="709"/>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0" t="s">
        <v>94</v>
      </c>
      <c r="B27" s="710"/>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1" t="s">
        <v>95</v>
      </c>
      <c r="B28" s="711"/>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09" t="s">
        <v>96</v>
      </c>
      <c r="B29" s="709"/>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0" t="s">
        <v>97</v>
      </c>
      <c r="B30" s="710"/>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1" t="s">
        <v>98</v>
      </c>
      <c r="B31" s="711"/>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2"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2">
        <f>C23</f>
        <v>1482625</v>
      </c>
      <c r="AA33" s="703"/>
    </row>
    <row r="34" spans="1:27" x14ac:dyDescent="0.25">
      <c r="A34" s="57"/>
      <c r="B34" s="712"/>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2"/>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2"/>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2"/>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2"/>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4"/>
      <c r="I40" s="704"/>
      <c r="J40" s="704"/>
      <c r="K40" s="704"/>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3"/>
      <c r="I49" s="713"/>
      <c r="J49" s="713"/>
      <c r="K49" s="713"/>
    </row>
    <row r="50" spans="8:11" x14ac:dyDescent="0.25">
      <c r="H50" s="103"/>
      <c r="I50" s="103"/>
      <c r="J50" s="103"/>
      <c r="K50" s="103"/>
    </row>
    <row r="51" spans="8:11" x14ac:dyDescent="0.25">
      <c r="H51" s="713"/>
      <c r="I51" s="713"/>
      <c r="J51" s="713"/>
      <c r="K51" s="713"/>
    </row>
    <row r="52" spans="8:11" ht="15" customHeight="1" x14ac:dyDescent="0.25">
      <c r="H52" s="713"/>
      <c r="I52" s="713"/>
      <c r="J52" s="713"/>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208</v>
      </c>
      <c r="C2" s="715"/>
      <c r="D2" s="715"/>
      <c r="E2" s="715"/>
      <c r="F2" s="715"/>
      <c r="G2" s="716"/>
      <c r="I2" s="717" t="s">
        <v>101</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5"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6"/>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07">
        <f>C13</f>
        <v>2257672</v>
      </c>
      <c r="Z14" s="708"/>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ht="30"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09" t="s">
        <v>93</v>
      </c>
      <c r="B26" s="709"/>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0" t="s">
        <v>94</v>
      </c>
      <c r="B27" s="710"/>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1" t="s">
        <v>95</v>
      </c>
      <c r="B28" s="711"/>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09" t="s">
        <v>96</v>
      </c>
      <c r="B29" s="709"/>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0" t="s">
        <v>97</v>
      </c>
      <c r="B30" s="710"/>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1" t="s">
        <v>98</v>
      </c>
      <c r="B31" s="711"/>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2" t="s">
        <v>259</v>
      </c>
      <c r="C33" s="173" t="s">
        <v>181</v>
      </c>
      <c r="D33" s="174"/>
      <c r="E33" s="174"/>
      <c r="F33" s="174"/>
      <c r="G33" s="174"/>
      <c r="H33" s="174"/>
      <c r="I33" s="174"/>
      <c r="J33" s="174"/>
      <c r="K33" s="174"/>
      <c r="L33" s="174"/>
      <c r="M33" s="174"/>
      <c r="N33" s="174"/>
      <c r="O33" s="174"/>
      <c r="P33" s="174"/>
      <c r="Q33" s="174"/>
      <c r="R33" s="174"/>
      <c r="S33" s="174">
        <v>49820</v>
      </c>
      <c r="Y33" s="702">
        <f>C23</f>
        <v>2470257</v>
      </c>
      <c r="Z33" s="703"/>
    </row>
    <row r="34" spans="1:26" x14ac:dyDescent="0.25">
      <c r="A34" s="57"/>
      <c r="B34" s="712"/>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2"/>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2"/>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2"/>
      <c r="C37" s="173" t="s">
        <v>211</v>
      </c>
      <c r="D37" s="176"/>
      <c r="E37" s="176"/>
      <c r="F37" s="176"/>
      <c r="G37" s="176"/>
      <c r="H37" s="176"/>
      <c r="I37" s="176"/>
      <c r="J37" s="176"/>
      <c r="K37" s="176"/>
      <c r="L37" s="176"/>
      <c r="M37" s="176"/>
      <c r="N37" s="176"/>
      <c r="O37" s="176"/>
      <c r="P37" s="176"/>
      <c r="Q37" s="176"/>
      <c r="R37" s="176"/>
      <c r="S37" s="176" t="s">
        <v>393</v>
      </c>
    </row>
    <row r="38" spans="1:26" x14ac:dyDescent="0.25">
      <c r="B38" s="712"/>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4"/>
      <c r="H40" s="704"/>
      <c r="I40" s="704"/>
      <c r="J40" s="704"/>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3"/>
      <c r="H49" s="713"/>
      <c r="I49" s="713"/>
      <c r="J49" s="713"/>
    </row>
    <row r="50" spans="7:10" x14ac:dyDescent="0.25">
      <c r="G50" s="216"/>
      <c r="H50" s="216"/>
      <c r="I50" s="216"/>
      <c r="J50" s="216"/>
    </row>
    <row r="51" spans="7:10" x14ac:dyDescent="0.25">
      <c r="G51" s="713"/>
      <c r="H51" s="713"/>
      <c r="I51" s="713"/>
      <c r="J51" s="713"/>
    </row>
    <row r="52" spans="7:10" ht="15" customHeight="1" x14ac:dyDescent="0.25">
      <c r="G52" s="713"/>
      <c r="H52" s="713"/>
      <c r="I52" s="713"/>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289</v>
      </c>
      <c r="C2" s="715"/>
      <c r="D2" s="715"/>
      <c r="E2" s="715"/>
      <c r="F2" s="715"/>
      <c r="G2" s="716"/>
      <c r="I2" s="717" t="s">
        <v>101</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5"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6"/>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07">
        <f>C13</f>
        <v>3165941</v>
      </c>
      <c r="Z14" s="708"/>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ht="30"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09" t="s">
        <v>93</v>
      </c>
      <c r="B26" s="709"/>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0" t="s">
        <v>94</v>
      </c>
      <c r="B27" s="710"/>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1" t="s">
        <v>95</v>
      </c>
      <c r="B28" s="711"/>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09" t="s">
        <v>96</v>
      </c>
      <c r="B29" s="709"/>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0" t="s">
        <v>97</v>
      </c>
      <c r="B30" s="710"/>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1" t="s">
        <v>98</v>
      </c>
      <c r="B31" s="711"/>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2" t="s">
        <v>259</v>
      </c>
      <c r="C33" s="173" t="s">
        <v>181</v>
      </c>
      <c r="D33" s="174"/>
      <c r="E33" s="174"/>
      <c r="F33" s="174"/>
      <c r="G33" s="174"/>
      <c r="H33" s="174"/>
      <c r="I33" s="174"/>
      <c r="J33" s="174"/>
      <c r="K33" s="174"/>
      <c r="L33" s="174"/>
      <c r="M33" s="174"/>
      <c r="N33" s="174"/>
      <c r="O33" s="174"/>
      <c r="P33" s="174"/>
      <c r="Q33" s="174"/>
      <c r="R33" s="174"/>
      <c r="S33" s="174"/>
      <c r="Y33" s="702">
        <f>C23</f>
        <v>1505104</v>
      </c>
      <c r="Z33" s="703"/>
    </row>
    <row r="34" spans="1:26" x14ac:dyDescent="0.25">
      <c r="A34" s="57"/>
      <c r="B34" s="712"/>
      <c r="C34" s="173" t="s">
        <v>104</v>
      </c>
      <c r="D34" s="174"/>
      <c r="E34" s="174"/>
      <c r="F34" s="174"/>
      <c r="G34" s="174"/>
      <c r="H34" s="174"/>
      <c r="I34" s="174"/>
      <c r="J34" s="174"/>
      <c r="K34" s="174"/>
      <c r="L34" s="174"/>
      <c r="M34" s="174"/>
      <c r="N34" s="174"/>
      <c r="O34" s="174"/>
      <c r="P34" s="174"/>
      <c r="Q34" s="174"/>
      <c r="R34" s="174"/>
      <c r="S34" s="174"/>
    </row>
    <row r="35" spans="1:26" x14ac:dyDescent="0.25">
      <c r="A35" s="57"/>
      <c r="B35" s="712"/>
      <c r="C35" s="173" t="s">
        <v>61</v>
      </c>
      <c r="D35" s="175"/>
      <c r="E35" s="175"/>
      <c r="F35" s="175"/>
      <c r="G35" s="175"/>
      <c r="H35" s="175"/>
      <c r="I35" s="175"/>
      <c r="J35" s="175"/>
      <c r="K35" s="175"/>
      <c r="L35" s="175"/>
      <c r="M35" s="175"/>
      <c r="N35" s="175"/>
      <c r="O35" s="175"/>
      <c r="P35" s="175"/>
      <c r="Q35" s="175"/>
      <c r="R35" s="175"/>
      <c r="S35" s="175"/>
    </row>
    <row r="36" spans="1:26" x14ac:dyDescent="0.25">
      <c r="A36" s="57"/>
      <c r="B36" s="712"/>
      <c r="C36" s="173" t="s">
        <v>210</v>
      </c>
      <c r="D36" s="176"/>
      <c r="E36" s="176"/>
      <c r="F36" s="176"/>
      <c r="G36" s="176"/>
      <c r="H36" s="176"/>
      <c r="I36" s="176"/>
      <c r="J36" s="176"/>
      <c r="K36" s="176"/>
      <c r="L36" s="176"/>
      <c r="M36" s="176"/>
      <c r="N36" s="176"/>
      <c r="O36" s="176"/>
      <c r="P36" s="176"/>
      <c r="Q36" s="176"/>
      <c r="R36" s="176"/>
      <c r="S36" s="176"/>
    </row>
    <row r="37" spans="1:26" x14ac:dyDescent="0.25">
      <c r="B37" s="712"/>
      <c r="C37" s="173" t="s">
        <v>211</v>
      </c>
      <c r="D37" s="176"/>
      <c r="E37" s="176"/>
      <c r="F37" s="176"/>
      <c r="G37" s="176"/>
      <c r="H37" s="176"/>
      <c r="I37" s="176"/>
      <c r="J37" s="176"/>
      <c r="K37" s="176"/>
      <c r="L37" s="176"/>
      <c r="M37" s="176"/>
      <c r="N37" s="176"/>
      <c r="O37" s="176"/>
      <c r="P37" s="176"/>
      <c r="Q37" s="176"/>
      <c r="R37" s="176"/>
      <c r="S37" s="176"/>
    </row>
    <row r="38" spans="1:26" x14ac:dyDescent="0.25">
      <c r="B38" s="712"/>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4"/>
      <c r="H40" s="704"/>
      <c r="I40" s="704"/>
      <c r="J40" s="704"/>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3"/>
      <c r="H49" s="713"/>
      <c r="I49" s="713"/>
      <c r="J49" s="713"/>
    </row>
    <row r="50" spans="7:10" x14ac:dyDescent="0.25">
      <c r="G50" s="243"/>
      <c r="H50" s="243"/>
      <c r="I50" s="243"/>
      <c r="J50" s="243"/>
    </row>
    <row r="51" spans="7:10" x14ac:dyDescent="0.25">
      <c r="G51" s="713"/>
      <c r="H51" s="713"/>
      <c r="I51" s="713"/>
      <c r="J51" s="713"/>
    </row>
    <row r="52" spans="7:10" ht="15" customHeight="1" x14ac:dyDescent="0.25">
      <c r="G52" s="713"/>
      <c r="H52" s="713"/>
      <c r="I52" s="713"/>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389</v>
      </c>
      <c r="C2" s="715"/>
      <c r="D2" s="715"/>
      <c r="E2" s="715"/>
      <c r="F2" s="715"/>
      <c r="G2" s="716"/>
      <c r="I2" s="717" t="s">
        <v>390</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5"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6"/>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07">
        <f>C13</f>
        <v>3470401</v>
      </c>
      <c r="Z14" s="708"/>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ht="30"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09" t="s">
        <v>93</v>
      </c>
      <c r="B26" s="709"/>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0" t="s">
        <v>94</v>
      </c>
      <c r="B27" s="710"/>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1" t="s">
        <v>95</v>
      </c>
      <c r="B28" s="711"/>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09" t="s">
        <v>96</v>
      </c>
      <c r="B29" s="709"/>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0" t="s">
        <v>97</v>
      </c>
      <c r="B30" s="710"/>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1" t="s">
        <v>98</v>
      </c>
      <c r="B31" s="711"/>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2"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2">
        <f>C23</f>
        <v>4347517</v>
      </c>
      <c r="Z33" s="703"/>
    </row>
    <row r="34" spans="1:26" x14ac:dyDescent="0.25">
      <c r="A34" s="57"/>
      <c r="B34" s="712"/>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2"/>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2"/>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2"/>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2"/>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4"/>
      <c r="H40" s="704"/>
      <c r="I40" s="704"/>
      <c r="J40" s="704"/>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3"/>
      <c r="H49" s="713"/>
      <c r="I49" s="713"/>
      <c r="J49" s="713"/>
    </row>
    <row r="50" spans="7:10" x14ac:dyDescent="0.25">
      <c r="G50" s="258"/>
      <c r="H50" s="258"/>
      <c r="I50" s="258"/>
      <c r="J50" s="258"/>
    </row>
    <row r="51" spans="7:10" x14ac:dyDescent="0.25">
      <c r="G51" s="713"/>
      <c r="H51" s="713"/>
      <c r="I51" s="713"/>
      <c r="J51" s="713"/>
    </row>
    <row r="52" spans="7:10" ht="15" customHeight="1" x14ac:dyDescent="0.25">
      <c r="G52" s="713"/>
      <c r="H52" s="713"/>
      <c r="I52" s="713"/>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424</v>
      </c>
      <c r="C2" s="715"/>
      <c r="D2" s="715"/>
      <c r="E2" s="715"/>
      <c r="F2" s="715"/>
      <c r="G2" s="716"/>
      <c r="I2" s="724" t="s">
        <v>425</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5"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6"/>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07">
        <f>C13</f>
        <v>3901063</v>
      </c>
      <c r="Z14" s="708"/>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ht="30"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09" t="s">
        <v>93</v>
      </c>
      <c r="B26" s="709"/>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0" t="s">
        <v>94</v>
      </c>
      <c r="B27" s="710"/>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1" t="s">
        <v>95</v>
      </c>
      <c r="B28" s="711"/>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09" t="s">
        <v>96</v>
      </c>
      <c r="B29" s="709"/>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0" t="s">
        <v>97</v>
      </c>
      <c r="B30" s="710"/>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1" t="s">
        <v>98</v>
      </c>
      <c r="B31" s="711"/>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2"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2">
        <f>C23</f>
        <v>2535782</v>
      </c>
      <c r="Z34" s="703"/>
    </row>
    <row r="35" spans="1:26" x14ac:dyDescent="0.25">
      <c r="A35" s="57"/>
      <c r="B35" s="712"/>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2"/>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2"/>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2"/>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2"/>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4"/>
      <c r="H41" s="704"/>
      <c r="I41" s="704"/>
      <c r="J41" s="704"/>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3"/>
      <c r="H46" s="713"/>
      <c r="I46" s="713"/>
      <c r="J46" s="713"/>
    </row>
    <row r="47" spans="1:26" x14ac:dyDescent="0.25">
      <c r="G47" s="329"/>
      <c r="H47" s="329"/>
      <c r="I47" s="329"/>
      <c r="J47" s="329"/>
    </row>
    <row r="48" spans="1:26" x14ac:dyDescent="0.25">
      <c r="G48" s="713"/>
      <c r="H48" s="713"/>
      <c r="I48" s="713"/>
      <c r="J48" s="713"/>
    </row>
    <row r="49" spans="7:10" ht="15" customHeight="1" x14ac:dyDescent="0.25">
      <c r="G49" s="713"/>
      <c r="H49" s="713"/>
      <c r="I49" s="713"/>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493</v>
      </c>
      <c r="C2" s="715"/>
      <c r="D2" s="715"/>
      <c r="E2" s="715"/>
      <c r="F2" s="715"/>
      <c r="G2" s="716"/>
      <c r="I2" s="724" t="s">
        <v>494</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17.371969263057565</v>
      </c>
      <c r="C2" s="159">
        <f>PLANTILLA!AB7+1.5+PLANTILLA!J7</f>
        <v>12.491969263057557</v>
      </c>
      <c r="D2" s="357">
        <f t="shared" ref="D2:D20" si="0">(C2*2+B2)/8</f>
        <v>5.2944884736465845</v>
      </c>
      <c r="E2" s="159">
        <f>D2*PLANTILLA!R7</f>
        <v>4.9017438469161041</v>
      </c>
      <c r="F2" s="159">
        <f>E2*PLANTILLA!S7</f>
        <v>4.8982413499723316</v>
      </c>
      <c r="H2" t="str">
        <f>A2</f>
        <v>B. Pinczehelyi</v>
      </c>
      <c r="I2" s="159">
        <f>D2</f>
        <v>5.2944884736465845</v>
      </c>
      <c r="J2" s="159">
        <f t="shared" ref="J2:K2" si="1">E2</f>
        <v>4.9017438469161041</v>
      </c>
      <c r="K2" s="159">
        <f t="shared" si="1"/>
        <v>4.8982413499723316</v>
      </c>
      <c r="M2" t="str">
        <f>A2</f>
        <v>B. Pinczehelyi</v>
      </c>
      <c r="N2" s="159">
        <f>D2</f>
        <v>5.2944884736465845</v>
      </c>
      <c r="O2" s="159">
        <f t="shared" ref="O2:P2" si="2">E2</f>
        <v>4.9017438469161041</v>
      </c>
      <c r="P2" s="159">
        <f t="shared" si="2"/>
        <v>4.8982413499723316</v>
      </c>
    </row>
    <row r="3" spans="1:16" x14ac:dyDescent="0.25">
      <c r="A3" t="str">
        <f>PLANTILLA!D16</f>
        <v>C. Rojas</v>
      </c>
      <c r="B3" s="159">
        <f>PLANTILLA!Y16+1.5+PLANTILLA!J16</f>
        <v>11.566463883619058</v>
      </c>
      <c r="C3" s="159">
        <f>PLANTILLA!AB16+1.5+PLANTILLA!J16</f>
        <v>13.028908328063499</v>
      </c>
      <c r="D3" s="357">
        <f t="shared" si="0"/>
        <v>4.7030350674682566</v>
      </c>
      <c r="E3" s="159">
        <f>D3*PLANTILLA!R16</f>
        <v>3.9747900974082131</v>
      </c>
      <c r="F3" s="159">
        <f>E3*PLANTILLA!S16</f>
        <v>3.6768726685972415</v>
      </c>
      <c r="H3" s="159" t="str">
        <f>A7</f>
        <v>E. Toney</v>
      </c>
      <c r="I3" s="159">
        <f>D7</f>
        <v>5.0477869656029251</v>
      </c>
      <c r="J3" s="159">
        <f t="shared" ref="J3:K3" si="3">E7</f>
        <v>4.26615863094246</v>
      </c>
      <c r="K3" s="159">
        <f t="shared" si="3"/>
        <v>3.9464026239374985</v>
      </c>
      <c r="M3" t="str">
        <f>A7</f>
        <v>E. Toney</v>
      </c>
      <c r="N3" s="159">
        <f>D7</f>
        <v>5.0477869656029251</v>
      </c>
      <c r="O3" s="159">
        <f t="shared" ref="O3:P3" si="4">E7</f>
        <v>4.26615863094246</v>
      </c>
      <c r="P3" s="159">
        <f t="shared" si="4"/>
        <v>3.9464026239374985</v>
      </c>
    </row>
    <row r="4" spans="1:16" x14ac:dyDescent="0.25">
      <c r="A4" t="str">
        <f>PLANTILLA!D12</f>
        <v>E. Romweber</v>
      </c>
      <c r="B4" s="159">
        <f>PLANTILLA!Y12+1.5+PLANTILLA!J12</f>
        <v>15.05957996573389</v>
      </c>
      <c r="C4" s="159">
        <f>PLANTILLA!AB12+1.5+PLANTILLA!J12</f>
        <v>13.908468854622781</v>
      </c>
      <c r="D4" s="357">
        <f t="shared" si="0"/>
        <v>5.3595647093724317</v>
      </c>
      <c r="E4" s="159">
        <f>D4*PLANTILLA!R12</f>
        <v>4.0514501018736064</v>
      </c>
      <c r="F4" s="159">
        <f>E4*PLANTILLA!S12</f>
        <v>3.4206744773630029</v>
      </c>
      <c r="H4" t="str">
        <f t="shared" ref="H4:H6" si="5">A4</f>
        <v>E. Romweber</v>
      </c>
      <c r="I4" s="159">
        <f t="shared" ref="I4:I6" si="6">D4</f>
        <v>5.3595647093724317</v>
      </c>
      <c r="J4" s="159">
        <f t="shared" ref="J4" si="7">E4</f>
        <v>4.0514501018736064</v>
      </c>
      <c r="K4" s="159">
        <f t="shared" ref="K4" si="8">F4</f>
        <v>3.4206744773630029</v>
      </c>
      <c r="M4" t="str">
        <f t="shared" ref="M4" si="9">A4</f>
        <v>E. Romweber</v>
      </c>
      <c r="N4" s="159">
        <f t="shared" ref="N4" si="10">D4</f>
        <v>5.3595647093724317</v>
      </c>
      <c r="O4" s="159">
        <f t="shared" ref="O4" si="11">E4</f>
        <v>4.0514501018736064</v>
      </c>
      <c r="P4" s="159">
        <f t="shared" ref="P4" si="12">F4</f>
        <v>3.4206744773630029</v>
      </c>
    </row>
    <row r="5" spans="1:16" x14ac:dyDescent="0.25">
      <c r="A5" t="str">
        <f>PLANTILLA!D8</f>
        <v>D. Toh</v>
      </c>
      <c r="B5" s="159">
        <f>PLANTILLA!Y8+1.5+PLANTILLA!J8</f>
        <v>13.816558567619058</v>
      </c>
      <c r="C5" s="159">
        <f>PLANTILLA!AB8+1.5+PLANTILLA!J8</f>
        <v>10.462003012063503</v>
      </c>
      <c r="D5" s="357">
        <f t="shared" si="0"/>
        <v>4.3425705739682581</v>
      </c>
      <c r="E5" s="159">
        <f>D5*PLANTILLA!R8</f>
        <v>4.0204391220606386</v>
      </c>
      <c r="F5" s="159">
        <f>E5*PLANTILLA!S8</f>
        <v>4.0175663534751278</v>
      </c>
      <c r="H5" s="159" t="str">
        <f>A12</f>
        <v>B. Bartolache</v>
      </c>
      <c r="I5" s="159">
        <f>D12</f>
        <v>4.8239186123525855</v>
      </c>
      <c r="J5" s="159">
        <f t="shared" ref="J5:K5" si="13">E12</f>
        <v>4.8239186123525855</v>
      </c>
      <c r="K5" s="159">
        <f t="shared" si="13"/>
        <v>4.8239186123525855</v>
      </c>
      <c r="M5" s="159" t="str">
        <f>H5</f>
        <v>B. Bartolache</v>
      </c>
      <c r="N5" s="159">
        <f t="shared" ref="N5:P5" si="14">I5</f>
        <v>4.8239186123525855</v>
      </c>
      <c r="O5" s="159">
        <f t="shared" si="14"/>
        <v>4.8239186123525855</v>
      </c>
      <c r="P5" s="159">
        <f t="shared" si="14"/>
        <v>4.8239186123525855</v>
      </c>
    </row>
    <row r="6" spans="1:16" x14ac:dyDescent="0.25">
      <c r="A6" t="str">
        <f>PLANTILLA!D17</f>
        <v>E. Gross</v>
      </c>
      <c r="B6" s="159">
        <f>PLANTILLA!Y17+1.5+PLANTILLA!J17</f>
        <v>13.389095165043519</v>
      </c>
      <c r="C6" s="159">
        <f>PLANTILLA!AB17+1.5+PLANTILLA!J17</f>
        <v>12.079095165043524</v>
      </c>
      <c r="D6" s="357">
        <f t="shared" si="0"/>
        <v>4.6934106868913208</v>
      </c>
      <c r="E6" s="159">
        <f>D6*PLANTILLA!R17</f>
        <v>4.6934106868913208</v>
      </c>
      <c r="F6" s="159">
        <f>E6*PLANTILLA!S17</f>
        <v>4.6934106868913208</v>
      </c>
      <c r="H6" t="str">
        <f t="shared" si="5"/>
        <v>E. Gross</v>
      </c>
      <c r="I6" s="159">
        <f t="shared" si="6"/>
        <v>4.6934106868913208</v>
      </c>
      <c r="J6" s="159">
        <f t="shared" ref="J6" si="15">E6</f>
        <v>4.6934106868913208</v>
      </c>
      <c r="K6" s="159">
        <f t="shared" ref="K6" si="16">F6</f>
        <v>4.6934106868913208</v>
      </c>
      <c r="N6" s="406"/>
      <c r="O6" s="406"/>
      <c r="P6" s="406"/>
    </row>
    <row r="7" spans="1:16" x14ac:dyDescent="0.25">
      <c r="A7" t="str">
        <f>PLANTILLA!D9</f>
        <v>E. Toney</v>
      </c>
      <c r="B7" s="159">
        <f>PLANTILLA!Y9+1.5+PLANTILLA!J9</f>
        <v>15.194098574941137</v>
      </c>
      <c r="C7" s="159">
        <f>PLANTILLA!AB9+1.5+PLANTILLA!J9</f>
        <v>12.594098574941132</v>
      </c>
      <c r="D7" s="357">
        <f t="shared" si="0"/>
        <v>5.0477869656029251</v>
      </c>
      <c r="E7" s="159">
        <f>D7*PLANTILLA!R9</f>
        <v>4.26615863094246</v>
      </c>
      <c r="F7" s="159">
        <f>E7*PLANTILLA!S9</f>
        <v>3.9464026239374985</v>
      </c>
      <c r="I7" s="423">
        <f>SUM(I2:I6)</f>
        <v>25.219169447865845</v>
      </c>
      <c r="J7" s="423">
        <f t="shared" ref="J7:K7" si="17">SUM(J2:J6)</f>
        <v>22.736681878976079</v>
      </c>
      <c r="K7" s="423">
        <f t="shared" si="17"/>
        <v>21.782647750516738</v>
      </c>
      <c r="L7" s="423"/>
      <c r="M7" s="423"/>
      <c r="N7" s="423">
        <f>SUM(N2:N6)</f>
        <v>20.525758760974526</v>
      </c>
      <c r="O7" s="423">
        <f t="shared" ref="O7:P7" si="18">SUM(O2:O6)</f>
        <v>18.043271192084756</v>
      </c>
      <c r="P7" s="423">
        <f t="shared" si="18"/>
        <v>17.089237063625419</v>
      </c>
    </row>
    <row r="8" spans="1:16" x14ac:dyDescent="0.25">
      <c r="A8" t="str">
        <f>PLANTILLA!D24</f>
        <v>P .Trivadi</v>
      </c>
      <c r="B8" s="159">
        <f>PLANTILLA!Y24+1.5+PLANTILLA!J24</f>
        <v>6.5857873992714415</v>
      </c>
      <c r="C8" s="159">
        <f>PLANTILLA!AB24+1.5+PLANTILLA!J24</f>
        <v>13.365787399271442</v>
      </c>
      <c r="D8" s="357">
        <f t="shared" si="0"/>
        <v>4.1646702747267907</v>
      </c>
      <c r="E8" s="159">
        <f>D8*PLANTILLA!R24</f>
        <v>3.8557354492673364</v>
      </c>
      <c r="F8" s="159">
        <f>E8*PLANTILLA!S24</f>
        <v>3.8529803682086738</v>
      </c>
    </row>
    <row r="9" spans="1:16" x14ac:dyDescent="0.25">
      <c r="A9" t="str">
        <f>PLANTILLA!D13</f>
        <v>K. Helms</v>
      </c>
      <c r="B9" s="159">
        <f>PLANTILLA!Y13+1.5+PLANTILLA!J13</f>
        <v>10.154407621614256</v>
      </c>
      <c r="C9" s="159">
        <f>PLANTILLA!AB13+1.5+PLANTILLA!J13</f>
        <v>13.264104591311224</v>
      </c>
      <c r="D9" s="357">
        <f t="shared" si="0"/>
        <v>4.5853271005295877</v>
      </c>
      <c r="E9" s="159">
        <f>D9*PLANTILLA!R13</f>
        <v>4.2451879937020864</v>
      </c>
      <c r="F9" s="159">
        <f>E9*PLANTILLA!S13</f>
        <v>4.2421546328333752</v>
      </c>
    </row>
    <row r="10" spans="1:16" x14ac:dyDescent="0.25">
      <c r="A10" t="str">
        <f>PLANTILLA!D22</f>
        <v>J. Limon</v>
      </c>
      <c r="B10" s="159">
        <f>PLANTILLA!Y22+1.5+PLANTILLA!J22</f>
        <v>9.7261426278300167</v>
      </c>
      <c r="C10" s="159">
        <f>PLANTILLA!AB22+1.5+PLANTILLA!J22</f>
        <v>12.578523580210968</v>
      </c>
      <c r="D10" s="357">
        <f t="shared" si="0"/>
        <v>4.3603987235314943</v>
      </c>
      <c r="E10" s="159">
        <f>D10*PLANTILLA!R22</f>
        <v>4.3603987235314943</v>
      </c>
      <c r="F10" s="159">
        <f>E10*PLANTILLA!S22</f>
        <v>4.3603987235314943</v>
      </c>
      <c r="H10" s="159"/>
    </row>
    <row r="11" spans="1:16" x14ac:dyDescent="0.25">
      <c r="A11" t="str">
        <f>PLANTILLA!D23</f>
        <v>L. Calosso</v>
      </c>
      <c r="B11" s="159">
        <f>PLANTILLA!Y23+1.5+PLANTILLA!J23</f>
        <v>5.9189573635602413</v>
      </c>
      <c r="C11" s="159">
        <f>PLANTILLA!AB23+1.5+PLANTILLA!J23</f>
        <v>17.918957363560242</v>
      </c>
      <c r="D11" s="357">
        <f t="shared" si="0"/>
        <v>5.2196090113350904</v>
      </c>
      <c r="E11" s="159">
        <f>D11*PLANTILLA!R23</f>
        <v>4.4113747639491576</v>
      </c>
      <c r="F11" s="159">
        <f>E11*PLANTILLA!S23</f>
        <v>4.0807345552864946</v>
      </c>
    </row>
    <row r="12" spans="1:16" x14ac:dyDescent="0.25">
      <c r="A12" t="str">
        <f>PLANTILLA!D10</f>
        <v>B. Bartolache</v>
      </c>
      <c r="B12" s="159">
        <f>PLANTILLA!Y10+1.5+PLANTILLA!J10</f>
        <v>14.850449632940226</v>
      </c>
      <c r="C12" s="159">
        <f>PLANTILLA!AB10+1.5+PLANTILLA!J10</f>
        <v>11.870449632940227</v>
      </c>
      <c r="D12" s="357">
        <f t="shared" si="0"/>
        <v>4.8239186123525855</v>
      </c>
      <c r="E12" s="159">
        <f>D12*PLANTILLA!R10</f>
        <v>4.8239186123525855</v>
      </c>
      <c r="F12" s="159">
        <f>E12*PLANTILLA!S10</f>
        <v>4.8239186123525855</v>
      </c>
    </row>
    <row r="13" spans="1:16" x14ac:dyDescent="0.25">
      <c r="A13" t="str">
        <f>PLANTILLA!D14</f>
        <v>S. Zobbe</v>
      </c>
      <c r="B13" s="159">
        <f>PLANTILLA!Y14+1.5+PLANTILLA!J14</f>
        <v>11.175695645688323</v>
      </c>
      <c r="C13" s="159">
        <f>PLANTILLA!AB14+1.5+PLANTILLA!J14</f>
        <v>13.055695645688326</v>
      </c>
      <c r="D13" s="357">
        <f t="shared" si="0"/>
        <v>4.6608858671331221</v>
      </c>
      <c r="E13" s="159">
        <f>D13*PLANTILLA!R14</f>
        <v>3.5232985410542508</v>
      </c>
      <c r="F13" s="159">
        <f>E13*PLANTILLA!S14</f>
        <v>2.9747515315420192</v>
      </c>
    </row>
    <row r="14" spans="1:16" x14ac:dyDescent="0.25">
      <c r="A14" t="str">
        <f>PLANTILLA!D15</f>
        <v>S. Buschelman</v>
      </c>
      <c r="B14" s="159">
        <f>PLANTILLA!Y15+1.5+PLANTILLA!J15</f>
        <v>12.212873135115295</v>
      </c>
      <c r="C14" s="159">
        <f>PLANTILLA!AB15+1.5+PLANTILLA!J15</f>
        <v>12.582539801781966</v>
      </c>
      <c r="D14" s="357">
        <f t="shared" si="0"/>
        <v>4.6722440923349033</v>
      </c>
      <c r="E14" s="159">
        <f>D14*PLANTILLA!R15</f>
        <v>3.9487669737670195</v>
      </c>
      <c r="F14" s="159">
        <f>E14*PLANTILLA!S15</f>
        <v>3.65280002331964</v>
      </c>
    </row>
    <row r="15" spans="1:16" x14ac:dyDescent="0.25">
      <c r="A15" t="str">
        <f>PLANTILLA!D6</f>
        <v>T. Hammond</v>
      </c>
      <c r="B15" s="159">
        <f>PLANTILLA!Y6+1.5+PLANTILLA!J6</f>
        <v>13.574310229533555</v>
      </c>
      <c r="C15" s="159">
        <f>PLANTILLA!AB6+1.5+PLANTILLA!J6</f>
        <v>9.3037546739780019</v>
      </c>
      <c r="D15" s="357">
        <f t="shared" si="0"/>
        <v>4.0227274471861953</v>
      </c>
      <c r="E15" s="159">
        <f>D15*PLANTILLA!R6</f>
        <v>3.7243219265117045</v>
      </c>
      <c r="F15" s="159">
        <f>E15*PLANTILLA!S6</f>
        <v>3.7216607458028355</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4.0405961684842016</v>
      </c>
      <c r="F16" s="159">
        <f>E16*PLANTILLA!S11</f>
        <v>4.0377089968626088</v>
      </c>
    </row>
    <row r="17" spans="1:6" x14ac:dyDescent="0.25">
      <c r="A17" t="str">
        <f>PLANTILLA!D18</f>
        <v>L. Bauman</v>
      </c>
      <c r="B17" s="159">
        <f>PLANTILLA!Y18+1.5+PLANTILLA!J18</f>
        <v>8.24316630087257</v>
      </c>
      <c r="C17" s="159">
        <f>PLANTILLA!AB18+1.5+PLANTILLA!J18</f>
        <v>11.918721856428128</v>
      </c>
      <c r="D17" s="357">
        <f t="shared" si="0"/>
        <v>4.0100762517161037</v>
      </c>
      <c r="E17" s="159">
        <f>D17*PLANTILLA!R18</f>
        <v>3.3891330059236471</v>
      </c>
      <c r="F17" s="159">
        <f>E17*PLANTILLA!S18</f>
        <v>3.1351115944077179</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3.3257632229034964</v>
      </c>
      <c r="F18" s="159">
        <f>E18*PLANTILLA!S19</f>
        <v>3.0764914868066495</v>
      </c>
    </row>
    <row r="19" spans="1:6" x14ac:dyDescent="0.25">
      <c r="A19" t="str">
        <f>PLANTILLA!D20</f>
        <v>M. Amico</v>
      </c>
      <c r="B19" s="159">
        <f>PLANTILLA!Y20+1.5+PLANTILLA!J20</f>
        <v>4.4526746855407184</v>
      </c>
      <c r="C19" s="159">
        <f>PLANTILLA!AB20+1.5+PLANTILLA!J20</f>
        <v>9.2215635744296076</v>
      </c>
      <c r="D19" s="357">
        <f t="shared" si="0"/>
        <v>2.8619752292999916</v>
      </c>
      <c r="E19" s="159">
        <f>D19*PLANTILLA!R20</f>
        <v>2.4188105419705099</v>
      </c>
      <c r="F19" s="159">
        <f>E19*PLANTILLA!S20</f>
        <v>2.2375164862379564</v>
      </c>
    </row>
    <row r="20" spans="1:6" x14ac:dyDescent="0.25">
      <c r="A20" t="str">
        <f>PLANTILLA!D5</f>
        <v>D. Gehmacher</v>
      </c>
      <c r="B20" s="159">
        <f>PLANTILLA!Y5+1.5+PLANTILLA!J5</f>
        <v>15.288603930223081</v>
      </c>
      <c r="C20" s="159">
        <f>PLANTILLA!AB5+1.5+PLANTILLA!J5</f>
        <v>4.2480444896636369</v>
      </c>
      <c r="D20" s="357">
        <f t="shared" si="0"/>
        <v>2.9730866136937943</v>
      </c>
      <c r="E20" s="159">
        <f>D20*PLANTILLA!R5</f>
        <v>2.9730866136937943</v>
      </c>
      <c r="F20" s="159">
        <f>E20*PLANTILLA!S5</f>
        <v>2.9730866136937943</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5"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6"/>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07">
        <f>C13</f>
        <v>5218072</v>
      </c>
      <c r="Z14" s="708"/>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ht="30"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09" t="s">
        <v>93</v>
      </c>
      <c r="B26" s="709"/>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0" t="s">
        <v>94</v>
      </c>
      <c r="B27" s="710"/>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1" t="s">
        <v>95</v>
      </c>
      <c r="B28" s="711"/>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09" t="s">
        <v>96</v>
      </c>
      <c r="B29" s="709"/>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0" t="s">
        <v>97</v>
      </c>
      <c r="B30" s="710"/>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1" t="s">
        <v>98</v>
      </c>
      <c r="B31" s="711"/>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2"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2">
        <f>C23</f>
        <v>4415274</v>
      </c>
      <c r="Z34" s="703"/>
    </row>
    <row r="35" spans="1:26" x14ac:dyDescent="0.25">
      <c r="A35" s="57"/>
      <c r="B35" s="712"/>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2"/>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2"/>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2"/>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2"/>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4"/>
      <c r="H41" s="704"/>
      <c r="I41" s="704"/>
      <c r="J41" s="704"/>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3"/>
      <c r="H46" s="713"/>
      <c r="I46" s="713"/>
      <c r="J46" s="713"/>
    </row>
    <row r="47" spans="1:26" x14ac:dyDescent="0.25">
      <c r="G47" s="363"/>
      <c r="H47" s="363"/>
      <c r="I47" s="363"/>
      <c r="J47" s="363"/>
    </row>
    <row r="48" spans="1:26" x14ac:dyDescent="0.25">
      <c r="G48" s="713"/>
      <c r="H48" s="713"/>
      <c r="I48" s="713"/>
      <c r="J48" s="713"/>
      <c r="P48" s="383"/>
    </row>
    <row r="49" spans="7:10" ht="15" customHeight="1" x14ac:dyDescent="0.25">
      <c r="G49" s="713"/>
      <c r="H49" s="713"/>
      <c r="I49" s="713"/>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559</v>
      </c>
      <c r="C2" s="715"/>
      <c r="D2" s="715"/>
      <c r="E2" s="715"/>
      <c r="F2" s="715"/>
      <c r="G2" s="716"/>
      <c r="I2" s="724" t="s">
        <v>494</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5"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6"/>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07">
        <f>C13</f>
        <v>6564204.3711659508</v>
      </c>
      <c r="Z14" s="708"/>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ht="30"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09" t="s">
        <v>93</v>
      </c>
      <c r="B26" s="709"/>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0" t="s">
        <v>94</v>
      </c>
      <c r="B27" s="710"/>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1" t="s">
        <v>95</v>
      </c>
      <c r="B28" s="711"/>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09" t="s">
        <v>96</v>
      </c>
      <c r="B29" s="709"/>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0" t="s">
        <v>97</v>
      </c>
      <c r="B30" s="710"/>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1" t="s">
        <v>98</v>
      </c>
      <c r="B31" s="711"/>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2"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2">
        <f>C23</f>
        <v>4502296</v>
      </c>
      <c r="Z34" s="703"/>
    </row>
    <row r="35" spans="1:26" x14ac:dyDescent="0.25">
      <c r="A35" s="57"/>
      <c r="B35" s="712"/>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2"/>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2"/>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2"/>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2"/>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4"/>
      <c r="H41" s="704"/>
      <c r="I41" s="704"/>
      <c r="J41" s="704"/>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3"/>
      <c r="H46" s="713"/>
      <c r="I46" s="713"/>
      <c r="J46" s="713"/>
    </row>
    <row r="47" spans="1:26" x14ac:dyDescent="0.25">
      <c r="G47" s="392"/>
      <c r="H47" s="392"/>
      <c r="I47" s="392"/>
      <c r="J47" s="392"/>
    </row>
    <row r="48" spans="1:26" x14ac:dyDescent="0.25">
      <c r="G48" s="713"/>
      <c r="H48" s="713"/>
      <c r="I48" s="713"/>
      <c r="J48" s="713"/>
      <c r="P48" s="383"/>
    </row>
    <row r="49" spans="7:10" ht="15" customHeight="1" x14ac:dyDescent="0.25">
      <c r="G49" s="713"/>
      <c r="H49" s="713"/>
      <c r="I49" s="71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4" t="s">
        <v>561</v>
      </c>
      <c r="C2" s="715"/>
      <c r="D2" s="715"/>
      <c r="E2" s="715"/>
      <c r="F2" s="715"/>
      <c r="G2" s="716"/>
      <c r="I2" s="724" t="s">
        <v>494</v>
      </c>
      <c r="J2" s="724"/>
      <c r="K2" s="724"/>
      <c r="L2" s="724"/>
      <c r="M2" s="724"/>
      <c r="N2" s="724"/>
      <c r="O2" s="724"/>
      <c r="P2" s="724"/>
      <c r="Q2" s="724"/>
      <c r="R2" s="724"/>
      <c r="S2" s="724"/>
      <c r="T2" s="724"/>
    </row>
    <row r="3" spans="2:21"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1" t="s">
        <v>113</v>
      </c>
      <c r="C4" s="722"/>
      <c r="D4" s="109"/>
      <c r="E4" s="723" t="s">
        <v>114</v>
      </c>
      <c r="F4" s="722"/>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5"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6"/>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07">
        <f>C13</f>
        <v>6907309.643589247</v>
      </c>
      <c r="Z14" s="708"/>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09" t="s">
        <v>93</v>
      </c>
      <c r="B26" s="709"/>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0" t="s">
        <v>94</v>
      </c>
      <c r="B27" s="710"/>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1" t="s">
        <v>95</v>
      </c>
      <c r="B28" s="711"/>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09" t="s">
        <v>96</v>
      </c>
      <c r="B29" s="709"/>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0" t="s">
        <v>97</v>
      </c>
      <c r="B30" s="710"/>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1" t="s">
        <v>98</v>
      </c>
      <c r="B31" s="711"/>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2"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2">
        <f>C23</f>
        <v>4106107</v>
      </c>
      <c r="Z34" s="703"/>
    </row>
    <row r="35" spans="1:26" x14ac:dyDescent="0.25">
      <c r="A35" s="57"/>
      <c r="B35" s="712"/>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2"/>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2"/>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2"/>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2"/>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4"/>
      <c r="H41" s="704"/>
      <c r="I41" s="704"/>
      <c r="J41" s="704"/>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3"/>
      <c r="H46" s="713"/>
      <c r="I46" s="713"/>
      <c r="J46" s="713"/>
      <c r="M46" s="383"/>
    </row>
    <row r="47" spans="1:26" x14ac:dyDescent="0.25">
      <c r="E47" s="106"/>
      <c r="G47" s="451"/>
      <c r="H47" s="451"/>
      <c r="I47" s="451"/>
      <c r="J47" s="451"/>
    </row>
    <row r="48" spans="1:26" x14ac:dyDescent="0.25">
      <c r="G48" s="713"/>
      <c r="H48" s="713"/>
      <c r="I48" s="713"/>
      <c r="J48" s="713"/>
      <c r="P48" s="383"/>
    </row>
    <row r="49" spans="7:10" ht="15" customHeight="1" x14ac:dyDescent="0.25">
      <c r="G49" s="713"/>
      <c r="H49" s="713"/>
      <c r="I49" s="713"/>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620</v>
      </c>
      <c r="C2" s="715"/>
      <c r="D2" s="715"/>
      <c r="E2" s="715"/>
      <c r="F2" s="715"/>
      <c r="G2" s="716"/>
      <c r="I2" s="724" t="s">
        <v>621</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5"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6"/>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07">
        <f>C13</f>
        <v>7216225</v>
      </c>
      <c r="Z14" s="708"/>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09" t="s">
        <v>93</v>
      </c>
      <c r="B26" s="709"/>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0" t="s">
        <v>94</v>
      </c>
      <c r="B27" s="710"/>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1" t="s">
        <v>95</v>
      </c>
      <c r="B28" s="711"/>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09" t="s">
        <v>96</v>
      </c>
      <c r="B29" s="709"/>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0" t="s">
        <v>97</v>
      </c>
      <c r="B30" s="710"/>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1" t="s">
        <v>98</v>
      </c>
      <c r="B31" s="711"/>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2"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2">
        <f>C23</f>
        <v>5755973</v>
      </c>
      <c r="Z34" s="703"/>
    </row>
    <row r="35" spans="1:26" x14ac:dyDescent="0.25">
      <c r="A35" s="57"/>
      <c r="B35" s="712"/>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2"/>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2"/>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2"/>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2"/>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2"/>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2"/>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4"/>
      <c r="H43" s="704"/>
      <c r="I43" s="704"/>
      <c r="J43" s="704"/>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3"/>
      <c r="H48" s="713"/>
      <c r="I48" s="713"/>
      <c r="J48" s="713"/>
      <c r="M48" s="383"/>
    </row>
    <row r="49" spans="5:16" x14ac:dyDescent="0.25">
      <c r="E49" s="106"/>
      <c r="G49" s="466"/>
      <c r="H49" s="466"/>
      <c r="I49" s="466"/>
      <c r="J49" s="466"/>
    </row>
    <row r="50" spans="5:16" x14ac:dyDescent="0.25">
      <c r="G50" s="713"/>
      <c r="H50" s="713"/>
      <c r="I50" s="713"/>
      <c r="J50" s="713"/>
      <c r="P50" s="383"/>
    </row>
    <row r="51" spans="5:16" ht="15" customHeight="1" x14ac:dyDescent="0.25">
      <c r="G51" s="713"/>
      <c r="H51" s="713"/>
      <c r="I51" s="713"/>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654</v>
      </c>
      <c r="C2" s="715"/>
      <c r="D2" s="715"/>
      <c r="E2" s="715"/>
      <c r="F2" s="715"/>
      <c r="G2" s="716"/>
      <c r="I2" s="725" t="s">
        <v>655</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5"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6"/>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07">
        <f>C13</f>
        <v>9688435</v>
      </c>
      <c r="Z14" s="708"/>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09" t="s">
        <v>93</v>
      </c>
      <c r="B26" s="709"/>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0" t="s">
        <v>94</v>
      </c>
      <c r="B27" s="710"/>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1" t="s">
        <v>95</v>
      </c>
      <c r="B28" s="711"/>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09" t="s">
        <v>96</v>
      </c>
      <c r="B29" s="709"/>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0" t="s">
        <v>97</v>
      </c>
      <c r="B30" s="710"/>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1" t="s">
        <v>98</v>
      </c>
      <c r="B31" s="711"/>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2"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2">
        <f>C23</f>
        <v>16032490</v>
      </c>
      <c r="Z34" s="703"/>
    </row>
    <row r="35" spans="1:26" x14ac:dyDescent="0.25">
      <c r="A35" s="57"/>
      <c r="B35" s="712"/>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2"/>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2"/>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2"/>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2"/>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2"/>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2"/>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4"/>
      <c r="H43" s="704"/>
      <c r="I43" s="704"/>
      <c r="J43" s="704"/>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3"/>
      <c r="H46" s="713"/>
      <c r="I46" s="713"/>
      <c r="J46" s="713"/>
      <c r="M46" s="383"/>
    </row>
    <row r="47" spans="1:26" x14ac:dyDescent="0.25">
      <c r="E47" s="106"/>
      <c r="G47" s="561"/>
      <c r="H47" s="561"/>
      <c r="I47" s="561"/>
      <c r="J47" s="561"/>
    </row>
    <row r="48" spans="1:26" x14ac:dyDescent="0.25">
      <c r="G48" s="713"/>
      <c r="H48" s="713"/>
      <c r="I48" s="713"/>
      <c r="J48" s="713"/>
      <c r="P48" s="383"/>
    </row>
    <row r="49" spans="7:10" ht="15" customHeight="1" x14ac:dyDescent="0.25">
      <c r="G49" s="713"/>
      <c r="H49" s="713"/>
      <c r="I49" s="713"/>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770</v>
      </c>
      <c r="C2" s="715"/>
      <c r="D2" s="715"/>
      <c r="E2" s="715"/>
      <c r="F2" s="715"/>
      <c r="G2" s="716"/>
      <c r="I2" s="725" t="s">
        <v>771</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PLANTILLA!D22</f>
        <v>J. Limon</v>
      </c>
      <c r="B2" s="159">
        <f>PLANTILLA!J22</f>
        <v>1.3885235802109668</v>
      </c>
      <c r="C2" s="265">
        <f>PLANTILLA!AC22</f>
        <v>8.5625000000000018</v>
      </c>
      <c r="D2" s="265">
        <f>PLANTILLA!AD22</f>
        <v>18.639999999999993</v>
      </c>
      <c r="E2" s="159">
        <f>PLANTILLA!AI22</f>
        <v>23.249387112266234</v>
      </c>
      <c r="F2" s="159">
        <f>PLANTILLA!AJ22</f>
        <v>18.505273580210961</v>
      </c>
      <c r="G2" s="159">
        <f>PLANTILLA!AK22</f>
        <v>1.2184068864168771</v>
      </c>
      <c r="H2" s="159">
        <f>PLANTILLA!AL22</f>
        <v>1.0349014125195297</v>
      </c>
      <c r="K2" t="str">
        <f>A4</f>
        <v>L. Calosso</v>
      </c>
      <c r="L2" s="406">
        <f>B2</f>
        <v>1.3885235802109668</v>
      </c>
      <c r="M2" s="406">
        <f t="shared" ref="M2:N2" si="0">C2</f>
        <v>8.5625000000000018</v>
      </c>
      <c r="N2" s="406">
        <f t="shared" si="0"/>
        <v>18.639999999999993</v>
      </c>
      <c r="O2" s="406"/>
    </row>
    <row r="3" spans="1:15" x14ac:dyDescent="0.25">
      <c r="A3" t="str">
        <f>PLANTILLA!D12</f>
        <v>E. Romweber</v>
      </c>
      <c r="B3" s="159">
        <f>PLANTILLA!J12</f>
        <v>1.4984688546227811</v>
      </c>
      <c r="C3" s="265">
        <f>PLANTILLA!AC12</f>
        <v>7.7700000000000005</v>
      </c>
      <c r="D3" s="265">
        <f>PLANTILLA!AD12</f>
        <v>17.13</v>
      </c>
      <c r="E3" s="159">
        <f>PLANTILLA!AI12</f>
        <v>16.136298282794442</v>
      </c>
      <c r="F3" s="159">
        <f>PLANTILLA!AJ12</f>
        <v>13.093043765820465</v>
      </c>
      <c r="G3" s="159">
        <f>PLANTILLA!AK12</f>
        <v>1.1422775083698222</v>
      </c>
      <c r="H3" s="159">
        <f>PLANTILLA!AL12</f>
        <v>1.206237264268039</v>
      </c>
      <c r="K3" t="str">
        <f>A5</f>
        <v>L. Bauman</v>
      </c>
      <c r="L3" s="406">
        <f t="shared" ref="L3:L11" si="1">B3</f>
        <v>1.4984688546227811</v>
      </c>
      <c r="M3" s="406">
        <f t="shared" ref="M3:M11" si="2">C3</f>
        <v>7.7700000000000005</v>
      </c>
      <c r="N3" s="406">
        <f t="shared" ref="N3:N11" si="3">D3</f>
        <v>17.13</v>
      </c>
      <c r="O3" s="406"/>
    </row>
    <row r="4" spans="1:15" x14ac:dyDescent="0.25">
      <c r="A4" t="str">
        <f>PLANTILLA!D23</f>
        <v>L. Calosso</v>
      </c>
      <c r="B4" s="159">
        <f>PLANTILLA!J23</f>
        <v>1.3989573635602419</v>
      </c>
      <c r="C4" s="265">
        <f>PLANTILLA!AC23</f>
        <v>10</v>
      </c>
      <c r="D4" s="265">
        <f>PLANTILLA!AD23</f>
        <v>9.3000000000000007</v>
      </c>
      <c r="E4" s="159">
        <f ca="1">PLANTILLA!AI23</f>
        <v>16.032135573480012</v>
      </c>
      <c r="F4" s="159">
        <f ca="1">PLANTILLA!AJ23</f>
        <v>9.8938799796568819</v>
      </c>
      <c r="G4" s="159">
        <f ca="1">PLANTILLA!AK23</f>
        <v>0.95472773318499393</v>
      </c>
      <c r="H4" s="159">
        <f ca="1">PLANTILLA!AL23</f>
        <v>0.55356176653686961</v>
      </c>
      <c r="K4" t="str">
        <f>A6</f>
        <v>P .Trivadi</v>
      </c>
      <c r="L4" s="406">
        <f t="shared" si="1"/>
        <v>1.3989573635602419</v>
      </c>
      <c r="M4" s="406">
        <f t="shared" si="2"/>
        <v>10</v>
      </c>
      <c r="N4" s="406">
        <f t="shared" si="3"/>
        <v>9.3000000000000007</v>
      </c>
      <c r="O4" s="406"/>
    </row>
    <row r="5" spans="1:15" x14ac:dyDescent="0.25">
      <c r="A5" t="str">
        <f>PLANTILLA!D18</f>
        <v>L. Bauman</v>
      </c>
      <c r="B5" s="159">
        <f>PLANTILLA!J18</f>
        <v>1.2787218564281246</v>
      </c>
      <c r="C5" s="265">
        <f>PLANTILLA!AC18</f>
        <v>7.4318888888888894</v>
      </c>
      <c r="D5" s="265">
        <f>PLANTILLA!AD18</f>
        <v>16.07</v>
      </c>
      <c r="E5" s="159">
        <f>PLANTILLA!AI18</f>
        <v>16.663408524835408</v>
      </c>
      <c r="F5" s="159">
        <f>PLANTILLA!AJ18</f>
        <v>13.739916565642643</v>
      </c>
      <c r="G5" s="159">
        <f>PLANTILLA!AK18</f>
        <v>1.0759921929586944</v>
      </c>
      <c r="H5" s="159">
        <f>PLANTILLA!AL18</f>
        <v>0.89518830772774649</v>
      </c>
      <c r="K5" t="str">
        <f>A14</f>
        <v>D. Toh</v>
      </c>
      <c r="L5" s="406">
        <f t="shared" si="1"/>
        <v>1.2787218564281246</v>
      </c>
      <c r="M5" s="406">
        <f t="shared" si="2"/>
        <v>7.4318888888888894</v>
      </c>
      <c r="N5" s="406">
        <f t="shared" si="3"/>
        <v>16.07</v>
      </c>
      <c r="O5" s="406"/>
    </row>
    <row r="6" spans="1:15" x14ac:dyDescent="0.25">
      <c r="A6" t="str">
        <f>PLANTILLA!D24</f>
        <v>P .Trivadi</v>
      </c>
      <c r="B6" s="159">
        <f>PLANTILLA!J24</f>
        <v>1.0657873992714422</v>
      </c>
      <c r="C6" s="265">
        <f>PLANTILLA!AC24</f>
        <v>8.384500000000001</v>
      </c>
      <c r="D6" s="265">
        <f>PLANTILLA!AD24</f>
        <v>13.566666666666668</v>
      </c>
      <c r="E6" s="159">
        <f>PLANTILLA!AI24</f>
        <v>18.007503516227672</v>
      </c>
      <c r="F6" s="159">
        <f>PLANTILLA!AJ24</f>
        <v>13.496424014791529</v>
      </c>
      <c r="G6" s="159">
        <f>PLANTILLA!AK24</f>
        <v>1.0314879919417155</v>
      </c>
      <c r="H6" s="159">
        <f>PLANTILLA!AL24</f>
        <v>0.747405117949001</v>
      </c>
      <c r="K6" t="str">
        <f>A18</f>
        <v>D. Gehmacher</v>
      </c>
      <c r="L6" s="406">
        <f t="shared" si="1"/>
        <v>1.0657873992714422</v>
      </c>
      <c r="M6" s="406">
        <f t="shared" si="2"/>
        <v>8.384500000000001</v>
      </c>
      <c r="N6" s="406">
        <f t="shared" si="3"/>
        <v>13.566666666666668</v>
      </c>
      <c r="O6" s="406"/>
    </row>
    <row r="7" spans="1:15" x14ac:dyDescent="0.25">
      <c r="A7" t="str">
        <f>PLANTILLA!D14</f>
        <v>S. Zobbe</v>
      </c>
      <c r="B7" s="159">
        <f>PLANTILLA!J14</f>
        <v>1.3156956456883264</v>
      </c>
      <c r="C7" s="265">
        <f>PLANTILLA!AC14</f>
        <v>7.4766666666666666</v>
      </c>
      <c r="D7" s="265">
        <f>PLANTILLA!AD14</f>
        <v>15.270000000000001</v>
      </c>
      <c r="E7" s="159">
        <f>PLANTILLA!AI14</f>
        <v>14.689554503759226</v>
      </c>
      <c r="F7" s="159">
        <f>PLANTILLA!AJ14</f>
        <v>11.904138971664581</v>
      </c>
      <c r="G7" s="159">
        <f>PLANTILLA!AK14</f>
        <v>1.0571889849883995</v>
      </c>
      <c r="H7" s="159">
        <f>PLANTILLA!AL14</f>
        <v>0.98959869519818289</v>
      </c>
      <c r="K7" t="str">
        <f>A13</f>
        <v>E. Toney</v>
      </c>
      <c r="L7" s="406">
        <f t="shared" si="1"/>
        <v>1.3156956456883264</v>
      </c>
      <c r="M7" s="406">
        <f t="shared" si="2"/>
        <v>7.4766666666666666</v>
      </c>
      <c r="N7" s="406">
        <f t="shared" si="3"/>
        <v>15.270000000000001</v>
      </c>
      <c r="O7" s="406"/>
    </row>
    <row r="8" spans="1:15" x14ac:dyDescent="0.25">
      <c r="A8" t="str">
        <f>PLANTILLA!D13</f>
        <v>K. Helms</v>
      </c>
      <c r="B8" s="159">
        <f>PLANTILLA!J13</f>
        <v>1.4041045913112262</v>
      </c>
      <c r="C8" s="265">
        <f>PLANTILLA!AC13</f>
        <v>5.4050000000000002</v>
      </c>
      <c r="D8" s="265">
        <f>PLANTILLA!AD13</f>
        <v>17.300000000000004</v>
      </c>
      <c r="E8" s="159">
        <f>PLANTILLA!AI13</f>
        <v>16.021660441729381</v>
      </c>
      <c r="F8" s="159">
        <f>PLANTILLA!AJ13</f>
        <v>15.401577102504476</v>
      </c>
      <c r="G8" s="159">
        <f>PLANTILLA!AK13</f>
        <v>1.0215783673048981</v>
      </c>
      <c r="H8" s="159">
        <f>PLANTILLA!AL13</f>
        <v>1.0122994426039071</v>
      </c>
      <c r="K8" t="str">
        <f>A14</f>
        <v>D. Toh</v>
      </c>
      <c r="L8" s="406">
        <f t="shared" si="1"/>
        <v>1.4041045913112262</v>
      </c>
      <c r="M8" s="406">
        <f t="shared" si="2"/>
        <v>5.4050000000000002</v>
      </c>
      <c r="N8" s="406">
        <f t="shared" si="3"/>
        <v>17.300000000000004</v>
      </c>
      <c r="O8" s="406"/>
    </row>
    <row r="9" spans="1:15" x14ac:dyDescent="0.25">
      <c r="A9" t="str">
        <f>PLANTILLA!D15</f>
        <v>S. Buschelman</v>
      </c>
      <c r="B9" s="159">
        <f>PLANTILLA!J15</f>
        <v>1.4092064684486303</v>
      </c>
      <c r="C9" s="265">
        <f>PLANTILLA!AC15</f>
        <v>5.0296666666666656</v>
      </c>
      <c r="D9" s="265">
        <f>PLANTILLA!AD15</f>
        <v>15.2</v>
      </c>
      <c r="E9" s="159">
        <f>PLANTILLA!AI15</f>
        <v>13.132507954276599</v>
      </c>
      <c r="F9" s="159">
        <f>PLANTILLA!AJ15</f>
        <v>12.726422749964355</v>
      </c>
      <c r="G9" s="159">
        <f>PLANTILLA!AK15</f>
        <v>0.94021985080922366</v>
      </c>
      <c r="H9" s="159">
        <f>PLANTILLA!AL15</f>
        <v>1.0317911194580707</v>
      </c>
      <c r="K9" t="str">
        <f>A9</f>
        <v>S. Buschelman</v>
      </c>
      <c r="L9" s="406">
        <f t="shared" si="1"/>
        <v>1.4092064684486303</v>
      </c>
      <c r="M9" s="406">
        <f t="shared" si="2"/>
        <v>5.0296666666666656</v>
      </c>
      <c r="N9" s="406">
        <f t="shared" si="3"/>
        <v>15.2</v>
      </c>
      <c r="O9" s="406"/>
    </row>
    <row r="10" spans="1:15" x14ac:dyDescent="0.25">
      <c r="A10" t="str">
        <f>PLANTILLA!D16</f>
        <v>C. Rojas</v>
      </c>
      <c r="B10" s="159">
        <f>PLANTILLA!J16</f>
        <v>1.4389083280634998</v>
      </c>
      <c r="C10" s="265">
        <f>PLANTILLA!AC16</f>
        <v>4.3999999999999995</v>
      </c>
      <c r="D10" s="265">
        <f>PLANTILLA!AD16</f>
        <v>16.544444444444441</v>
      </c>
      <c r="E10" s="159">
        <f>PLANTILLA!AI16</f>
        <v>12.929534768249406</v>
      </c>
      <c r="F10" s="159">
        <f>PLANTILLA!AJ16</f>
        <v>13.38725982400083</v>
      </c>
      <c r="G10" s="159">
        <f>PLANTILLA!AK16</f>
        <v>0.95144599957841314</v>
      </c>
      <c r="H10" s="159">
        <f>PLANTILLA!AL16</f>
        <v>1.0471591385200005</v>
      </c>
      <c r="K10" t="str">
        <f>A11</f>
        <v>B. Bartolache</v>
      </c>
      <c r="L10" s="406">
        <f t="shared" si="1"/>
        <v>1.4389083280634998</v>
      </c>
      <c r="M10" s="406">
        <f t="shared" si="2"/>
        <v>4.3999999999999995</v>
      </c>
      <c r="N10" s="406">
        <f t="shared" si="3"/>
        <v>16.544444444444441</v>
      </c>
      <c r="O10" s="406"/>
    </row>
    <row r="11" spans="1:15" x14ac:dyDescent="0.25">
      <c r="A11" t="str">
        <f>PLANTILLA!D10</f>
        <v>B. Bartolache</v>
      </c>
      <c r="B11" s="159">
        <f>PLANTILLA!J10</f>
        <v>1.3504496329402296</v>
      </c>
      <c r="C11" s="265">
        <f>PLANTILLA!AC10</f>
        <v>4.6199999999999966</v>
      </c>
      <c r="D11" s="265">
        <f>PLANTILLA!AD10</f>
        <v>15.6</v>
      </c>
      <c r="E11" s="159">
        <f>PLANTILLA!AI10</f>
        <v>14.948693688797904</v>
      </c>
      <c r="F11" s="159">
        <f>PLANTILLA!AJ10</f>
        <v>15.156449632940229</v>
      </c>
      <c r="G11" s="159">
        <f>PLANTILLA!AK10</f>
        <v>0.92703597063521814</v>
      </c>
      <c r="H11" s="159">
        <f>PLANTILLA!AL10</f>
        <v>1.147531474305816</v>
      </c>
      <c r="K11" t="str">
        <f>A12</f>
        <v>T. Hammond</v>
      </c>
      <c r="L11" s="406">
        <f t="shared" si="1"/>
        <v>1.3504496329402296</v>
      </c>
      <c r="M11" s="406">
        <f t="shared" si="2"/>
        <v>4.6199999999999966</v>
      </c>
      <c r="N11" s="406">
        <f t="shared" si="3"/>
        <v>15.6</v>
      </c>
      <c r="O11" s="406"/>
    </row>
    <row r="12" spans="1:15" x14ac:dyDescent="0.25">
      <c r="A12" t="str">
        <f>PLANTILLA!D6</f>
        <v>T. Hammond</v>
      </c>
      <c r="B12" s="159">
        <f>PLANTILLA!J6</f>
        <v>1.2593102295335583</v>
      </c>
      <c r="C12" s="265">
        <f>PLANTILLA!AC6</f>
        <v>3.99</v>
      </c>
      <c r="D12" s="265">
        <f>PLANTILLA!AD6</f>
        <v>15.778888888888888</v>
      </c>
      <c r="E12" s="159">
        <f>PLANTILLA!AI6</f>
        <v>12.776191924680738</v>
      </c>
      <c r="F12" s="159">
        <f>PLANTILLA!AJ6</f>
        <v>13.888720271225703</v>
      </c>
      <c r="G12" s="159">
        <f>PLANTILLA!AK6</f>
        <v>0.89361148502935117</v>
      </c>
      <c r="H12" s="159">
        <f>PLANTILLA!AL6</f>
        <v>1.0991183827340154</v>
      </c>
      <c r="M12" s="587">
        <f>AVERAGE(M2:M11)</f>
        <v>6.9080222222222218</v>
      </c>
      <c r="N12" s="587">
        <f>AVERAGE(N2:N11)</f>
        <v>15.46211111111111</v>
      </c>
      <c r="O12" s="588">
        <f>1.66*(M12+1.5)+0.55*(N12+1.5)-7.6</f>
        <v>15.686477999999999</v>
      </c>
    </row>
    <row r="13" spans="1:15" x14ac:dyDescent="0.25">
      <c r="A13" t="str">
        <f>PLANTILLA!D9</f>
        <v>E. Toney</v>
      </c>
      <c r="B13" s="159">
        <f>PLANTILLA!J9</f>
        <v>1.4940985749411331</v>
      </c>
      <c r="C13" s="265">
        <f>PLANTILLA!AC9</f>
        <v>3.6816666666666658</v>
      </c>
      <c r="D13" s="265">
        <f>PLANTILLA!AD9</f>
        <v>16.627777777777773</v>
      </c>
      <c r="E13" s="159">
        <f>PLANTILLA!AI9</f>
        <v>12.063564740827296</v>
      </c>
      <c r="F13" s="159">
        <f>PLANTILLA!AJ9</f>
        <v>13.301074018934147</v>
      </c>
      <c r="G13" s="159">
        <f>PLANTILLA!AK9</f>
        <v>0.92244455266195724</v>
      </c>
      <c r="H13" s="159">
        <f>PLANTILLA!AL9</f>
        <v>1.1964202335792127</v>
      </c>
    </row>
    <row r="14" spans="1:15" x14ac:dyDescent="0.25">
      <c r="A14" t="str">
        <f>PLANTILLA!D8</f>
        <v>D. Toh</v>
      </c>
      <c r="B14" s="159">
        <f>PLANTILLA!J8</f>
        <v>1.2392252342857237</v>
      </c>
      <c r="C14" s="265">
        <f>PLANTILLA!AC8</f>
        <v>4.383333333333332</v>
      </c>
      <c r="D14" s="265">
        <f>PLANTILLA!AD8</f>
        <v>15.349999999999998</v>
      </c>
      <c r="E14" s="159">
        <f>PLANTILLA!AI8</f>
        <v>13.121204899853417</v>
      </c>
      <c r="F14" s="159">
        <f>PLANTILLA!AJ8</f>
        <v>13.701420182962865</v>
      </c>
      <c r="G14" s="159">
        <f>PLANTILLA!AK8</f>
        <v>0.89880468540952452</v>
      </c>
      <c r="H14" s="159">
        <f>PLANTILLA!AL8</f>
        <v>1.0953390997333341</v>
      </c>
    </row>
    <row r="15" spans="1:15" x14ac:dyDescent="0.25">
      <c r="A15" t="str">
        <f>PLANTILLA!D17</f>
        <v>E. Gross</v>
      </c>
      <c r="B15" s="159">
        <f>PLANTILLA!J17</f>
        <v>1.3390951650435234</v>
      </c>
      <c r="C15" s="265">
        <f>PLANTILLA!AC17</f>
        <v>2.98</v>
      </c>
      <c r="D15" s="265">
        <f>PLANTILLA!AD17</f>
        <v>16.959999999999997</v>
      </c>
      <c r="E15" s="159">
        <f>PLANTILLA!AI17</f>
        <v>12.949200314746188</v>
      </c>
      <c r="F15" s="159">
        <f>PLANTILLA!AJ17</f>
        <v>15.605095165043521</v>
      </c>
      <c r="G15" s="159">
        <f>PLANTILLA!AK17</f>
        <v>0.88492761320348179</v>
      </c>
      <c r="H15" s="159">
        <f>PLANTILLA!AL17</f>
        <v>1.1295366615530464</v>
      </c>
    </row>
    <row r="16" spans="1:15" x14ac:dyDescent="0.25">
      <c r="A16" t="str">
        <f>PLANTILLA!D11</f>
        <v>F. Lasprilla</v>
      </c>
      <c r="B16" s="159">
        <f>PLANTILLA!J11</f>
        <v>1.0278026821895256</v>
      </c>
      <c r="C16" s="265">
        <f>PLANTILLA!AC11</f>
        <v>3.2566666666666673</v>
      </c>
      <c r="D16" s="265">
        <f>PLANTILLA!AD11</f>
        <v>13.238888888888889</v>
      </c>
      <c r="E16" s="159">
        <f>PLANTILLA!AI11</f>
        <v>9.8821106844932327</v>
      </c>
      <c r="F16" s="159">
        <f>PLANTILLA!AJ11</f>
        <v>11.824597371299996</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8.8753728050518816</v>
      </c>
      <c r="F17" s="159">
        <f>PLANTILLA!AJ19</f>
        <v>10.318905243632264</v>
      </c>
      <c r="G17" s="159">
        <f>PLANTILLA!AK19</f>
        <v>0.74514568935139747</v>
      </c>
      <c r="H17" s="159">
        <f>PLANTILLA!AL19</f>
        <v>0.76979942262691714</v>
      </c>
    </row>
    <row r="18" spans="1:8" x14ac:dyDescent="0.25">
      <c r="A18" t="str">
        <f>PLANTILLA!D5</f>
        <v>D. Gehmacher</v>
      </c>
      <c r="B18" s="159">
        <f>PLANTILLA!J5</f>
        <v>1.7080444896636369</v>
      </c>
      <c r="C18" s="265">
        <f>PLANTILLA!AC5</f>
        <v>0.14055555555555557</v>
      </c>
      <c r="D18" s="265">
        <f>PLANTILLA!AD5</f>
        <v>17.849999999999998</v>
      </c>
      <c r="E18" s="159">
        <f ca="1">PLANTILLA!AI5</f>
        <v>8.4356005443788593</v>
      </c>
      <c r="F18" s="159">
        <f ca="1">PLANTILLA!AJ5</f>
        <v>15.245211156330301</v>
      </c>
      <c r="G18" s="159">
        <f ca="1">PLANTILLA!AK5</f>
        <v>0.75917133695086869</v>
      </c>
      <c r="H18" s="159">
        <f ca="1">PLANTILLA!AL5</f>
        <v>1.2082854918988324</v>
      </c>
    </row>
    <row r="19" spans="1:8" x14ac:dyDescent="0.25">
      <c r="A19" t="str">
        <f>PLANTILLA!D20</f>
        <v>M. Amico</v>
      </c>
      <c r="B19" s="159">
        <f>PLANTILLA!J20</f>
        <v>0.45656357442960838</v>
      </c>
      <c r="C19" s="265">
        <f>PLANTILLA!AC20</f>
        <v>4.3299999999999983</v>
      </c>
      <c r="D19" s="265">
        <f>PLANTILLA!AD20</f>
        <v>9.5</v>
      </c>
      <c r="E19" s="159">
        <f>PLANTILLA!AI20</f>
        <v>7.7220100425204024</v>
      </c>
      <c r="F19" s="159">
        <f>PLANTILLA!AJ20</f>
        <v>8.3717292004129948</v>
      </c>
      <c r="G19" s="159">
        <f>PLANTILLA!AK20</f>
        <v>0.65802508595436859</v>
      </c>
      <c r="H19" s="159">
        <f>PLANTILLA!AL20</f>
        <v>0.52180389465451693</v>
      </c>
    </row>
    <row r="20" spans="1:8" x14ac:dyDescent="0.25">
      <c r="A20" t="str">
        <f>PLANTILLA!D7</f>
        <v>B. Pinczehelyi</v>
      </c>
      <c r="B20" s="159">
        <f>PLANTILLA!J7</f>
        <v>1.5719692630575592</v>
      </c>
      <c r="C20" s="265">
        <f>PLANTILLA!AC7</f>
        <v>1.1428571428571428</v>
      </c>
      <c r="D20" s="265">
        <f>PLANTILLA!AD7</f>
        <v>9.4</v>
      </c>
      <c r="E20" s="159">
        <f ca="1">PLANTILLA!AI7</f>
        <v>4.7690798026517891</v>
      </c>
      <c r="F20" s="159">
        <f ca="1">PLANTILLA!AJ7</f>
        <v>8.7905011304470033</v>
      </c>
      <c r="G20" s="159">
        <f ca="1">PLANTILLA!AK7</f>
        <v>0.54490039818746183</v>
      </c>
      <c r="H20" s="159">
        <f ca="1">PLANTILLA!AL7</f>
        <v>1.0340378484140296</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5"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6"/>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07">
        <f>C13</f>
        <v>10943703</v>
      </c>
      <c r="Z14" s="708"/>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09" t="s">
        <v>93</v>
      </c>
      <c r="B26" s="709"/>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0" t="s">
        <v>94</v>
      </c>
      <c r="B27" s="710"/>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1" t="s">
        <v>95</v>
      </c>
      <c r="B28" s="711"/>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09" t="s">
        <v>96</v>
      </c>
      <c r="B29" s="709"/>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0" t="s">
        <v>97</v>
      </c>
      <c r="B30" s="710"/>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1" t="s">
        <v>98</v>
      </c>
      <c r="B31" s="711"/>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2"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2">
        <f>C23</f>
        <v>7143175</v>
      </c>
      <c r="Z34" s="703"/>
    </row>
    <row r="35" spans="1:26" x14ac:dyDescent="0.25">
      <c r="A35" s="57"/>
      <c r="B35" s="712"/>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2"/>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2"/>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2"/>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2"/>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2"/>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2"/>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4"/>
      <c r="H43" s="704"/>
      <c r="I43" s="704"/>
      <c r="J43" s="704"/>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3"/>
      <c r="H46" s="713"/>
      <c r="I46" s="713"/>
      <c r="J46" s="713"/>
      <c r="M46" s="383"/>
    </row>
    <row r="47" spans="1:26" x14ac:dyDescent="0.25">
      <c r="E47" s="106"/>
      <c r="G47" s="590"/>
      <c r="H47" s="590"/>
      <c r="I47" s="590"/>
      <c r="J47" s="590"/>
    </row>
    <row r="48" spans="1:26" x14ac:dyDescent="0.25">
      <c r="G48" s="713"/>
      <c r="H48" s="713"/>
      <c r="I48" s="713"/>
      <c r="J48" s="713"/>
      <c r="P48" s="383"/>
    </row>
    <row r="49" spans="7:10" ht="15" customHeight="1" x14ac:dyDescent="0.25">
      <c r="G49" s="713"/>
      <c r="H49" s="713"/>
      <c r="I49" s="713"/>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796</v>
      </c>
      <c r="C2" s="715"/>
      <c r="D2" s="715"/>
      <c r="E2" s="715"/>
      <c r="F2" s="715"/>
      <c r="G2" s="716"/>
      <c r="I2" s="725" t="s">
        <v>797</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2" t="s">
        <v>147</v>
      </c>
      <c r="B6" s="150" t="s">
        <v>148</v>
      </c>
      <c r="C6" s="150" t="s">
        <v>149</v>
      </c>
      <c r="D6" s="2">
        <v>0</v>
      </c>
      <c r="E6" s="2">
        <v>22</v>
      </c>
      <c r="F6" s="2">
        <v>0</v>
      </c>
      <c r="G6" s="2">
        <v>0</v>
      </c>
      <c r="H6" s="155">
        <f>H4*2</f>
        <v>8.8000000000000007</v>
      </c>
      <c r="I6" s="2">
        <f t="shared" si="0"/>
        <v>35.200000000000003</v>
      </c>
    </row>
    <row r="7" spans="1:9" ht="21" x14ac:dyDescent="0.25">
      <c r="A7" s="732"/>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8" t="s">
        <v>326</v>
      </c>
      <c r="B30" s="688"/>
      <c r="C30" s="688"/>
      <c r="D30" s="688"/>
      <c r="F30" s="240" t="s">
        <v>337</v>
      </c>
      <c r="G30" s="235"/>
      <c r="H30" s="228">
        <v>4210500</v>
      </c>
      <c r="I30" s="234"/>
      <c r="J30" s="106"/>
    </row>
    <row r="31" spans="1:14" x14ac:dyDescent="0.25">
      <c r="A31" s="689" t="s">
        <v>257</v>
      </c>
      <c r="B31" s="690" t="s">
        <v>327</v>
      </c>
      <c r="C31" s="690" t="s">
        <v>328</v>
      </c>
      <c r="D31" s="690" t="s">
        <v>329</v>
      </c>
      <c r="F31" s="241" t="s">
        <v>341</v>
      </c>
      <c r="G31" s="236"/>
      <c r="H31" s="228">
        <v>3750000</v>
      </c>
      <c r="I31" s="234"/>
      <c r="J31" s="106"/>
    </row>
    <row r="32" spans="1:14" x14ac:dyDescent="0.25">
      <c r="A32" s="689"/>
      <c r="B32" s="690"/>
      <c r="C32" s="690"/>
      <c r="D32" s="690"/>
      <c r="F32" s="240" t="s">
        <v>345</v>
      </c>
      <c r="G32" s="235"/>
      <c r="H32" s="228">
        <v>3356600</v>
      </c>
      <c r="I32" s="234"/>
      <c r="J32" s="106"/>
    </row>
    <row r="33" spans="1:10" ht="21" x14ac:dyDescent="0.25">
      <c r="A33" s="229" t="s">
        <v>327</v>
      </c>
      <c r="B33" s="230" t="s">
        <v>330</v>
      </c>
      <c r="C33" s="230" t="s">
        <v>331</v>
      </c>
      <c r="D33" s="230" t="s">
        <v>331</v>
      </c>
      <c r="F33" s="241" t="s">
        <v>349</v>
      </c>
      <c r="G33" s="237">
        <f>I35-H33</f>
        <v>-62800</v>
      </c>
      <c r="H33" s="228">
        <v>3057300</v>
      </c>
      <c r="I33" s="234">
        <f>H33+G33</f>
        <v>2994500</v>
      </c>
      <c r="J33" s="106"/>
    </row>
    <row r="34" spans="1:10" ht="21" x14ac:dyDescent="0.25">
      <c r="A34" s="231" t="s">
        <v>328</v>
      </c>
      <c r="B34" s="232" t="s">
        <v>332</v>
      </c>
      <c r="C34" s="232" t="s">
        <v>333</v>
      </c>
      <c r="D34" s="232" t="s">
        <v>331</v>
      </c>
      <c r="F34" s="240" t="s">
        <v>353</v>
      </c>
      <c r="G34" s="239">
        <f>I35-H34</f>
        <v>187500</v>
      </c>
      <c r="H34" s="228">
        <v>2807000</v>
      </c>
      <c r="I34" s="234">
        <f>H34+G34</f>
        <v>2994500</v>
      </c>
      <c r="J34" s="106"/>
    </row>
    <row r="35" spans="1:10" ht="21" x14ac:dyDescent="0.25">
      <c r="A35" s="229" t="s">
        <v>329</v>
      </c>
      <c r="B35" s="230" t="s">
        <v>334</v>
      </c>
      <c r="C35" s="230" t="s">
        <v>335</v>
      </c>
      <c r="D35" s="230" t="s">
        <v>336</v>
      </c>
      <c r="F35" s="241" t="s">
        <v>357</v>
      </c>
      <c r="G35" s="238">
        <v>400000</v>
      </c>
      <c r="H35" s="228">
        <v>2594500</v>
      </c>
      <c r="I35" s="234">
        <f>H35+G35</f>
        <v>2994500</v>
      </c>
      <c r="J35" s="106"/>
    </row>
    <row r="36" spans="1:10" ht="21" x14ac:dyDescent="0.25">
      <c r="A36" s="231" t="s">
        <v>337</v>
      </c>
      <c r="B36" s="232" t="s">
        <v>338</v>
      </c>
      <c r="C36" s="232" t="s">
        <v>339</v>
      </c>
      <c r="D36" s="232" t="s">
        <v>340</v>
      </c>
      <c r="F36" s="240" t="s">
        <v>361</v>
      </c>
      <c r="G36" s="238">
        <v>594500</v>
      </c>
      <c r="H36" s="228">
        <v>2400000</v>
      </c>
      <c r="I36" s="234">
        <f t="shared" ref="I36:I38" si="12">H36+G36</f>
        <v>2994500</v>
      </c>
      <c r="J36" s="106"/>
    </row>
    <row r="37" spans="1:10" ht="21" x14ac:dyDescent="0.25">
      <c r="A37" s="229" t="s">
        <v>341</v>
      </c>
      <c r="B37" s="230" t="s">
        <v>342</v>
      </c>
      <c r="C37" s="230" t="s">
        <v>343</v>
      </c>
      <c r="D37" s="230" t="s">
        <v>344</v>
      </c>
      <c r="F37" s="241" t="s">
        <v>365</v>
      </c>
      <c r="G37" s="238">
        <v>752210</v>
      </c>
      <c r="H37" s="228">
        <v>2242290</v>
      </c>
      <c r="I37" s="234">
        <f t="shared" si="12"/>
        <v>2994500</v>
      </c>
      <c r="J37" s="106"/>
    </row>
    <row r="38" spans="1:10" ht="21" x14ac:dyDescent="0.25">
      <c r="A38" s="231" t="s">
        <v>345</v>
      </c>
      <c r="B38" s="232" t="s">
        <v>346</v>
      </c>
      <c r="C38" s="232" t="s">
        <v>347</v>
      </c>
      <c r="D38" s="232" t="s">
        <v>348</v>
      </c>
      <c r="F38" s="240" t="s">
        <v>369</v>
      </c>
      <c r="G38" s="238">
        <v>889300</v>
      </c>
      <c r="H38" s="228">
        <v>2105200</v>
      </c>
      <c r="I38" s="234">
        <f t="shared" si="12"/>
        <v>2994500</v>
      </c>
      <c r="J38" s="106"/>
    </row>
    <row r="39" spans="1:10" ht="21" x14ac:dyDescent="0.25">
      <c r="A39" s="229" t="s">
        <v>349</v>
      </c>
      <c r="B39" s="230" t="s">
        <v>350</v>
      </c>
      <c r="C39" s="230" t="s">
        <v>351</v>
      </c>
      <c r="D39" s="230" t="s">
        <v>352</v>
      </c>
    </row>
    <row r="40" spans="1:10" ht="21" x14ac:dyDescent="0.25">
      <c r="A40" s="231" t="s">
        <v>353</v>
      </c>
      <c r="B40" s="232" t="s">
        <v>354</v>
      </c>
      <c r="C40" s="232" t="s">
        <v>355</v>
      </c>
      <c r="D40" s="232" t="s">
        <v>356</v>
      </c>
    </row>
    <row r="41" spans="1:10" ht="21" x14ac:dyDescent="0.25">
      <c r="A41" s="229" t="s">
        <v>357</v>
      </c>
      <c r="B41" s="230" t="s">
        <v>358</v>
      </c>
      <c r="C41" s="230" t="s">
        <v>359</v>
      </c>
      <c r="D41" s="230" t="s">
        <v>360</v>
      </c>
    </row>
    <row r="42" spans="1:10" ht="21" x14ac:dyDescent="0.25">
      <c r="A42" s="231" t="s">
        <v>361</v>
      </c>
      <c r="B42" s="232" t="s">
        <v>362</v>
      </c>
      <c r="C42" s="232" t="s">
        <v>363</v>
      </c>
      <c r="D42" s="232" t="s">
        <v>364</v>
      </c>
    </row>
    <row r="43" spans="1:10" ht="21" x14ac:dyDescent="0.25">
      <c r="A43" s="229" t="s">
        <v>365</v>
      </c>
      <c r="B43" s="230" t="s">
        <v>366</v>
      </c>
      <c r="C43" s="230" t="s">
        <v>367</v>
      </c>
      <c r="D43" s="230" t="s">
        <v>368</v>
      </c>
    </row>
    <row r="44" spans="1:10" ht="21" x14ac:dyDescent="0.25">
      <c r="A44" s="231" t="s">
        <v>369</v>
      </c>
      <c r="B44" s="232" t="s">
        <v>370</v>
      </c>
      <c r="C44" s="232" t="s">
        <v>371</v>
      </c>
      <c r="D44" s="232" t="s">
        <v>372</v>
      </c>
    </row>
    <row r="45" spans="1:10" ht="21" x14ac:dyDescent="0.25">
      <c r="A45" s="229" t="s">
        <v>373</v>
      </c>
      <c r="B45" s="230" t="s">
        <v>374</v>
      </c>
      <c r="C45" s="230" t="s">
        <v>375</v>
      </c>
      <c r="D45" s="230" t="s">
        <v>376</v>
      </c>
    </row>
    <row r="46" spans="1:10" ht="21" x14ac:dyDescent="0.25">
      <c r="A46" s="231" t="s">
        <v>377</v>
      </c>
      <c r="B46" s="232" t="s">
        <v>378</v>
      </c>
      <c r="C46" s="232" t="s">
        <v>379</v>
      </c>
      <c r="D46" s="232" t="s">
        <v>380</v>
      </c>
    </row>
    <row r="47" spans="1:10" ht="21"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18.100000000000001</v>
      </c>
      <c r="E3" s="354">
        <f>D3</f>
        <v>18.100000000000001</v>
      </c>
      <c r="F3" s="354">
        <f>E3+0.1</f>
        <v>18.200000000000003</v>
      </c>
      <c r="G3" s="354">
        <f>C3</f>
        <v>6</v>
      </c>
      <c r="H3" s="354">
        <f t="shared" ref="H3" si="0">G3+0.99</f>
        <v>6.99</v>
      </c>
      <c r="I3" s="358">
        <f t="shared" ref="I3:J3" si="1">G3*G3*E3</f>
        <v>651.6</v>
      </c>
      <c r="J3" s="358">
        <f t="shared" si="1"/>
        <v>889.25382000000013</v>
      </c>
      <c r="K3" s="355"/>
      <c r="N3" s="4" t="s">
        <v>519</v>
      </c>
      <c r="O3" t="str">
        <f>A3</f>
        <v>D. Gehmacher</v>
      </c>
      <c r="P3" s="356">
        <f>E3</f>
        <v>18.100000000000001</v>
      </c>
      <c r="Q3" s="356">
        <f t="shared" ref="Q3:S3" si="2">F3</f>
        <v>18.200000000000003</v>
      </c>
      <c r="R3" s="356">
        <f t="shared" si="2"/>
        <v>6</v>
      </c>
      <c r="S3" s="356">
        <f t="shared" si="2"/>
        <v>6.99</v>
      </c>
      <c r="U3" s="4" t="s">
        <v>519</v>
      </c>
      <c r="V3" s="179" t="str">
        <f>O3</f>
        <v>D. Gehmacher</v>
      </c>
      <c r="W3" s="356">
        <f>P3</f>
        <v>18.100000000000001</v>
      </c>
      <c r="X3" s="356">
        <f t="shared" ref="X3:Z3" si="3">Q3</f>
        <v>18.200000000000003</v>
      </c>
      <c r="Y3" s="356">
        <f t="shared" si="3"/>
        <v>6</v>
      </c>
      <c r="Z3" s="356">
        <f t="shared" si="3"/>
        <v>6.99</v>
      </c>
    </row>
    <row r="4" spans="1:26" x14ac:dyDescent="0.25">
      <c r="A4" s="359" t="str">
        <f>PLANTILLA!D6</f>
        <v>T. Hammond</v>
      </c>
      <c r="B4" s="165">
        <f>PLANTILLA!E6</f>
        <v>34</v>
      </c>
      <c r="C4" s="165">
        <f>PLANTILLA!H6</f>
        <v>3</v>
      </c>
      <c r="D4" s="361">
        <f>PLANTILLA!I6</f>
        <v>7.8</v>
      </c>
      <c r="E4" s="354">
        <f t="shared" ref="E4:E22" si="4">D4</f>
        <v>7.8</v>
      </c>
      <c r="F4" s="354">
        <f t="shared" ref="F4:F22" si="5">E4+0.1</f>
        <v>7.8999999999999995</v>
      </c>
      <c r="G4" s="354">
        <f t="shared" ref="G4:G22" si="6">C4</f>
        <v>3</v>
      </c>
      <c r="H4" s="354">
        <f t="shared" ref="H4:H22" si="7">G4+0.99</f>
        <v>3.99</v>
      </c>
      <c r="I4" s="358">
        <f t="shared" ref="I4:I22" si="8">G4*G4*E4</f>
        <v>70.2</v>
      </c>
      <c r="J4" s="358">
        <f t="shared" ref="J4:J22" si="9">H4*H4*F4</f>
        <v>125.76879000000001</v>
      </c>
      <c r="K4" s="355"/>
      <c r="O4" t="str">
        <f>A7</f>
        <v>E. Toney</v>
      </c>
      <c r="P4" s="356">
        <f>E7</f>
        <v>12.2</v>
      </c>
      <c r="Q4" s="356">
        <f t="shared" ref="Q4:S4" si="10">F7</f>
        <v>12.299999999999999</v>
      </c>
      <c r="R4" s="356">
        <f t="shared" si="10"/>
        <v>4</v>
      </c>
      <c r="S4" s="356">
        <f t="shared" si="10"/>
        <v>4.99</v>
      </c>
      <c r="V4" s="179" t="str">
        <f t="shared" ref="V4:V13" si="11">O4</f>
        <v>E. Toney</v>
      </c>
      <c r="W4" s="356">
        <f t="shared" ref="W4:W13" si="12">P4</f>
        <v>12.2</v>
      </c>
      <c r="X4" s="356">
        <f t="shared" ref="X4:X13" si="13">Q4</f>
        <v>12.299999999999999</v>
      </c>
      <c r="Y4" s="356">
        <f t="shared" ref="Y4:Y13" si="14">R4</f>
        <v>4</v>
      </c>
      <c r="Z4" s="356">
        <f t="shared" ref="Z4:Z13" si="15">S4</f>
        <v>4.99</v>
      </c>
    </row>
    <row r="5" spans="1:26" x14ac:dyDescent="0.25">
      <c r="A5" s="359" t="str">
        <f>PLANTILLA!D7</f>
        <v>B. Pinczehelyi</v>
      </c>
      <c r="B5" s="165">
        <f>PLANTILLA!E7</f>
        <v>30</v>
      </c>
      <c r="C5" s="165">
        <f>PLANTILLA!H7</f>
        <v>2</v>
      </c>
      <c r="D5" s="361">
        <f>PLANTILLA!I7</f>
        <v>14.1</v>
      </c>
      <c r="E5" s="354">
        <f t="shared" si="4"/>
        <v>14.1</v>
      </c>
      <c r="F5" s="354">
        <f t="shared" si="5"/>
        <v>14.2</v>
      </c>
      <c r="G5" s="354">
        <f t="shared" si="6"/>
        <v>2</v>
      </c>
      <c r="H5" s="354">
        <f t="shared" si="7"/>
        <v>2.99</v>
      </c>
      <c r="I5" s="358">
        <f t="shared" si="8"/>
        <v>56.4</v>
      </c>
      <c r="J5" s="358">
        <f t="shared" si="9"/>
        <v>126.94942</v>
      </c>
      <c r="K5" s="355"/>
      <c r="L5" s="178"/>
      <c r="O5" t="str">
        <f>A15</f>
        <v>E. Gross</v>
      </c>
      <c r="P5" s="356">
        <f>E15</f>
        <v>9.1</v>
      </c>
      <c r="Q5" s="356">
        <f t="shared" ref="Q5:S5" si="16">F15</f>
        <v>9.1999999999999993</v>
      </c>
      <c r="R5" s="356">
        <f t="shared" si="16"/>
        <v>3</v>
      </c>
      <c r="S5" s="356">
        <f t="shared" si="16"/>
        <v>3.99</v>
      </c>
      <c r="V5" s="179" t="str">
        <f t="shared" si="11"/>
        <v>E. Gross</v>
      </c>
      <c r="W5" s="356">
        <f t="shared" si="12"/>
        <v>9.1</v>
      </c>
      <c r="X5" s="356">
        <f t="shared" si="13"/>
        <v>9.1999999999999993</v>
      </c>
      <c r="Y5" s="356">
        <f t="shared" si="14"/>
        <v>3</v>
      </c>
      <c r="Z5" s="356">
        <f t="shared" si="15"/>
        <v>3.99</v>
      </c>
    </row>
    <row r="6" spans="1:26" x14ac:dyDescent="0.25">
      <c r="A6" s="359" t="str">
        <f>PLANTILLA!D8</f>
        <v>D. Toh</v>
      </c>
      <c r="B6" s="165">
        <f>PLANTILLA!E8</f>
        <v>31</v>
      </c>
      <c r="C6" s="165">
        <f>PLANTILLA!H8</f>
        <v>4</v>
      </c>
      <c r="D6" s="361">
        <f>PLANTILLA!I8</f>
        <v>7.5</v>
      </c>
      <c r="E6" s="354">
        <f t="shared" si="4"/>
        <v>7.5</v>
      </c>
      <c r="F6" s="354">
        <f t="shared" si="5"/>
        <v>7.6</v>
      </c>
      <c r="G6" s="354">
        <f t="shared" si="6"/>
        <v>4</v>
      </c>
      <c r="H6" s="354">
        <f t="shared" si="7"/>
        <v>4.99</v>
      </c>
      <c r="I6" s="358">
        <f t="shared" si="8"/>
        <v>120</v>
      </c>
      <c r="J6" s="358">
        <f t="shared" si="9"/>
        <v>189.24075999999999</v>
      </c>
      <c r="K6" s="355"/>
      <c r="O6" t="str">
        <f>A5</f>
        <v>B. Pinczehelyi</v>
      </c>
      <c r="P6" s="356">
        <f>E5</f>
        <v>14.1</v>
      </c>
      <c r="Q6" s="356">
        <f t="shared" ref="Q6:S6" si="17">F5</f>
        <v>14.2</v>
      </c>
      <c r="R6" s="356">
        <f t="shared" si="17"/>
        <v>2</v>
      </c>
      <c r="S6" s="356">
        <f t="shared" si="17"/>
        <v>2.99</v>
      </c>
      <c r="V6" s="179" t="str">
        <f t="shared" si="11"/>
        <v>B. Pinczehelyi</v>
      </c>
      <c r="W6" s="356">
        <f t="shared" si="12"/>
        <v>14.1</v>
      </c>
      <c r="X6" s="356">
        <f t="shared" si="13"/>
        <v>14.2</v>
      </c>
      <c r="Y6" s="356">
        <f t="shared" si="14"/>
        <v>2</v>
      </c>
      <c r="Z6" s="356">
        <f t="shared" si="15"/>
        <v>2.99</v>
      </c>
    </row>
    <row r="7" spans="1:26" x14ac:dyDescent="0.25">
      <c r="A7" s="359" t="str">
        <f>PLANTILLA!D9</f>
        <v>E. Toney</v>
      </c>
      <c r="B7" s="165">
        <f>PLANTILLA!E9</f>
        <v>31</v>
      </c>
      <c r="C7" s="165">
        <f>PLANTILLA!H9</f>
        <v>4</v>
      </c>
      <c r="D7" s="361">
        <f>PLANTILLA!I9</f>
        <v>12.2</v>
      </c>
      <c r="E7" s="354">
        <f t="shared" si="4"/>
        <v>12.2</v>
      </c>
      <c r="F7" s="354">
        <f t="shared" si="5"/>
        <v>12.299999999999999</v>
      </c>
      <c r="G7" s="354">
        <f t="shared" si="6"/>
        <v>4</v>
      </c>
      <c r="H7" s="354">
        <f t="shared" si="7"/>
        <v>4.99</v>
      </c>
      <c r="I7" s="358">
        <f t="shared" si="8"/>
        <v>195.2</v>
      </c>
      <c r="J7" s="358">
        <f t="shared" si="9"/>
        <v>306.27123</v>
      </c>
      <c r="K7" s="355"/>
      <c r="O7" t="str">
        <f>A10</f>
        <v>E. Romweber</v>
      </c>
      <c r="P7" s="356">
        <f>E10</f>
        <v>12.3</v>
      </c>
      <c r="Q7" s="356">
        <f t="shared" ref="Q7:S7" si="18">F10</f>
        <v>12.4</v>
      </c>
      <c r="R7" s="356">
        <f t="shared" si="18"/>
        <v>0</v>
      </c>
      <c r="S7" s="356">
        <f t="shared" si="18"/>
        <v>0.99</v>
      </c>
      <c r="V7" s="179" t="str">
        <f t="shared" si="11"/>
        <v>E. Romweber</v>
      </c>
      <c r="W7" s="356">
        <f t="shared" si="12"/>
        <v>12.3</v>
      </c>
      <c r="X7" s="356">
        <f t="shared" si="13"/>
        <v>12.4</v>
      </c>
      <c r="Y7" s="356">
        <f t="shared" si="14"/>
        <v>0</v>
      </c>
      <c r="Z7" s="356">
        <f t="shared" si="15"/>
        <v>0.99</v>
      </c>
    </row>
    <row r="8" spans="1:26" x14ac:dyDescent="0.25">
      <c r="A8" s="359" t="str">
        <f>PLANTILLA!D10</f>
        <v>B. Bartolache</v>
      </c>
      <c r="B8" s="165">
        <f>PLANTILLA!E10</f>
        <v>31</v>
      </c>
      <c r="C8" s="165">
        <f>PLANTILLA!H10</f>
        <v>3</v>
      </c>
      <c r="D8" s="361">
        <f>PLANTILLA!I10</f>
        <v>9.3000000000000007</v>
      </c>
      <c r="E8" s="354">
        <f t="shared" si="4"/>
        <v>9.3000000000000007</v>
      </c>
      <c r="F8" s="354">
        <f t="shared" si="5"/>
        <v>9.4</v>
      </c>
      <c r="G8" s="354">
        <f t="shared" si="6"/>
        <v>3</v>
      </c>
      <c r="H8" s="354">
        <f t="shared" si="7"/>
        <v>3.99</v>
      </c>
      <c r="I8" s="358">
        <f t="shared" si="8"/>
        <v>83.7</v>
      </c>
      <c r="J8" s="358">
        <f t="shared" si="9"/>
        <v>149.64894000000001</v>
      </c>
      <c r="K8" s="355"/>
      <c r="O8" t="str">
        <f>A13</f>
        <v>S. Buschelman</v>
      </c>
      <c r="P8" s="356">
        <f>E13</f>
        <v>10.4</v>
      </c>
      <c r="Q8" s="356">
        <f t="shared" ref="Q8:S8" si="19">F13</f>
        <v>10.5</v>
      </c>
      <c r="R8" s="356">
        <f t="shared" si="19"/>
        <v>3</v>
      </c>
      <c r="S8" s="356">
        <f t="shared" si="19"/>
        <v>3.99</v>
      </c>
      <c r="V8" s="179" t="str">
        <f t="shared" si="11"/>
        <v>S. Buschelman</v>
      </c>
      <c r="W8" s="356">
        <f t="shared" si="12"/>
        <v>10.4</v>
      </c>
      <c r="X8" s="356">
        <f t="shared" si="13"/>
        <v>10.5</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v>
      </c>
      <c r="Q9" s="356">
        <f t="shared" ref="Q9:S9" si="20">F16</f>
        <v>8.1999999999999993</v>
      </c>
      <c r="R9" s="356">
        <f t="shared" si="20"/>
        <v>0</v>
      </c>
      <c r="S9" s="356">
        <f t="shared" si="20"/>
        <v>0.99</v>
      </c>
      <c r="V9" s="179" t="str">
        <f t="shared" si="11"/>
        <v>L. Bauman</v>
      </c>
      <c r="W9" s="356">
        <f t="shared" si="12"/>
        <v>8.1</v>
      </c>
      <c r="X9" s="356">
        <f t="shared" si="13"/>
        <v>8.1999999999999993</v>
      </c>
      <c r="Y9" s="356">
        <f t="shared" si="14"/>
        <v>0</v>
      </c>
      <c r="Z9" s="356">
        <f t="shared" si="15"/>
        <v>0.99</v>
      </c>
    </row>
    <row r="10" spans="1:26" x14ac:dyDescent="0.25">
      <c r="A10" s="359" t="str">
        <f>PLANTILLA!D12</f>
        <v>E. Romweber</v>
      </c>
      <c r="B10" s="165">
        <f>PLANTILLA!E12</f>
        <v>31</v>
      </c>
      <c r="C10" s="165">
        <f>PLANTILLA!H12</f>
        <v>0</v>
      </c>
      <c r="D10" s="361">
        <f>PLANTILLA!I12</f>
        <v>12.3</v>
      </c>
      <c r="E10" s="354">
        <f t="shared" si="4"/>
        <v>12.3</v>
      </c>
      <c r="F10" s="354">
        <f t="shared" si="5"/>
        <v>12.4</v>
      </c>
      <c r="G10" s="354">
        <f t="shared" si="6"/>
        <v>0</v>
      </c>
      <c r="H10" s="354">
        <f t="shared" si="7"/>
        <v>0.99</v>
      </c>
      <c r="I10" s="358">
        <f t="shared" si="8"/>
        <v>0</v>
      </c>
      <c r="J10" s="358">
        <f t="shared" si="9"/>
        <v>12.15324</v>
      </c>
      <c r="K10" s="355"/>
      <c r="O10" t="str">
        <f>A14</f>
        <v>C. Rojas</v>
      </c>
      <c r="P10" s="356">
        <f>E14</f>
        <v>11</v>
      </c>
      <c r="Q10" s="356">
        <f t="shared" ref="Q10:S10" si="21">F14</f>
        <v>11.1</v>
      </c>
      <c r="R10" s="356">
        <f t="shared" si="21"/>
        <v>4</v>
      </c>
      <c r="S10" s="356">
        <f t="shared" si="21"/>
        <v>4.99</v>
      </c>
      <c r="V10" s="179" t="str">
        <f t="shared" si="11"/>
        <v>C. Rojas</v>
      </c>
      <c r="W10" s="356">
        <f t="shared" si="12"/>
        <v>11</v>
      </c>
      <c r="X10" s="356">
        <f t="shared" si="13"/>
        <v>11.1</v>
      </c>
      <c r="Y10" s="356">
        <f t="shared" si="14"/>
        <v>4</v>
      </c>
      <c r="Z10" s="356">
        <f t="shared" si="15"/>
        <v>4.99</v>
      </c>
    </row>
    <row r="11" spans="1:26" x14ac:dyDescent="0.25">
      <c r="A11" s="359" t="str">
        <f>PLANTILLA!D13</f>
        <v>K. Helms</v>
      </c>
      <c r="B11" s="165">
        <f>PLANTILLA!E13</f>
        <v>30</v>
      </c>
      <c r="C11" s="165">
        <f>PLANTILLA!H13</f>
        <v>2</v>
      </c>
      <c r="D11" s="361">
        <f>PLANTILLA!I13</f>
        <v>10.3</v>
      </c>
      <c r="E11" s="354">
        <f t="shared" si="4"/>
        <v>10.3</v>
      </c>
      <c r="F11" s="354">
        <f t="shared" si="5"/>
        <v>10.4</v>
      </c>
      <c r="G11" s="354">
        <f t="shared" si="6"/>
        <v>2</v>
      </c>
      <c r="H11" s="354">
        <f t="shared" si="7"/>
        <v>2.99</v>
      </c>
      <c r="I11" s="358">
        <f t="shared" si="8"/>
        <v>41.2</v>
      </c>
      <c r="J11" s="358">
        <f t="shared" si="9"/>
        <v>92.977040000000017</v>
      </c>
      <c r="K11" s="355"/>
      <c r="O11" t="str">
        <f>A11</f>
        <v>K. Helms</v>
      </c>
      <c r="P11" s="356">
        <f>E11</f>
        <v>10.3</v>
      </c>
      <c r="Q11" s="356">
        <f t="shared" ref="Q11:S11" si="22">F11</f>
        <v>10.4</v>
      </c>
      <c r="R11" s="356">
        <f t="shared" si="22"/>
        <v>2</v>
      </c>
      <c r="S11" s="356">
        <f t="shared" si="22"/>
        <v>2.99</v>
      </c>
      <c r="V11" s="179" t="str">
        <f t="shared" si="11"/>
        <v>K. Helms</v>
      </c>
      <c r="W11" s="356">
        <f t="shared" si="12"/>
        <v>10.3</v>
      </c>
      <c r="X11" s="356">
        <f t="shared" si="13"/>
        <v>10.4</v>
      </c>
      <c r="Y11" s="356">
        <f t="shared" si="14"/>
        <v>2</v>
      </c>
      <c r="Z11" s="356">
        <f t="shared" si="15"/>
        <v>2.99</v>
      </c>
    </row>
    <row r="12" spans="1:26" x14ac:dyDescent="0.25">
      <c r="A12" s="359" t="str">
        <f>PLANTILLA!D14</f>
        <v>S. Zobbe</v>
      </c>
      <c r="B12" s="165">
        <f>PLANTILLA!E14</f>
        <v>27</v>
      </c>
      <c r="C12" s="165">
        <f>PLANTILLA!H14</f>
        <v>2</v>
      </c>
      <c r="D12" s="361">
        <f>PLANTILLA!I14</f>
        <v>8.6999999999999993</v>
      </c>
      <c r="E12" s="354">
        <f t="shared" si="4"/>
        <v>8.6999999999999993</v>
      </c>
      <c r="F12" s="354">
        <f t="shared" si="5"/>
        <v>8.7999999999999989</v>
      </c>
      <c r="G12" s="354">
        <f t="shared" si="6"/>
        <v>2</v>
      </c>
      <c r="H12" s="354">
        <f t="shared" si="7"/>
        <v>2.99</v>
      </c>
      <c r="I12" s="358">
        <f t="shared" si="8"/>
        <v>34.799999999999997</v>
      </c>
      <c r="J12" s="358">
        <f t="shared" si="9"/>
        <v>78.672880000000006</v>
      </c>
      <c r="K12" s="355"/>
      <c r="O12" t="str">
        <f>A21</f>
        <v>L. Calosso</v>
      </c>
      <c r="P12" s="356">
        <f>E21</f>
        <v>10.199999999999999</v>
      </c>
      <c r="Q12" s="356">
        <f t="shared" ref="Q12:S12" si="23">F21</f>
        <v>10.299999999999999</v>
      </c>
      <c r="R12" s="356">
        <f t="shared" si="23"/>
        <v>3</v>
      </c>
      <c r="S12" s="356">
        <f t="shared" si="23"/>
        <v>3.99</v>
      </c>
      <c r="V12" s="179" t="str">
        <f t="shared" si="11"/>
        <v>L. Calosso</v>
      </c>
      <c r="W12" s="356">
        <f t="shared" si="12"/>
        <v>10.199999999999999</v>
      </c>
      <c r="X12" s="356">
        <f t="shared" si="13"/>
        <v>10.299999999999999</v>
      </c>
      <c r="Y12" s="356">
        <f t="shared" si="14"/>
        <v>3</v>
      </c>
      <c r="Z12" s="356">
        <f t="shared" si="15"/>
        <v>3.99</v>
      </c>
    </row>
    <row r="13" spans="1:26" x14ac:dyDescent="0.25">
      <c r="A13" s="359" t="str">
        <f>PLANTILLA!D15</f>
        <v>S. Buschelman</v>
      </c>
      <c r="B13" s="165">
        <f>PLANTILLA!E15</f>
        <v>29</v>
      </c>
      <c r="C13" s="165">
        <f>PLANTILLA!H15</f>
        <v>3</v>
      </c>
      <c r="D13" s="361">
        <f>PLANTILLA!I15</f>
        <v>10.4</v>
      </c>
      <c r="E13" s="354">
        <f t="shared" si="4"/>
        <v>10.4</v>
      </c>
      <c r="F13" s="354">
        <f t="shared" si="5"/>
        <v>10.5</v>
      </c>
      <c r="G13" s="354">
        <f t="shared" si="6"/>
        <v>3</v>
      </c>
      <c r="H13" s="354">
        <f t="shared" si="7"/>
        <v>3.99</v>
      </c>
      <c r="I13" s="358">
        <f t="shared" si="8"/>
        <v>93.600000000000009</v>
      </c>
      <c r="J13" s="358">
        <f t="shared" si="9"/>
        <v>167.16105000000002</v>
      </c>
      <c r="K13" s="355"/>
      <c r="O13" t="str">
        <f>A20</f>
        <v>J. Limon</v>
      </c>
      <c r="P13" s="356">
        <f>E20</f>
        <v>10</v>
      </c>
      <c r="Q13" s="356">
        <f t="shared" ref="Q13:S13" si="24">F20</f>
        <v>10.1</v>
      </c>
      <c r="R13" s="356">
        <f t="shared" si="24"/>
        <v>3</v>
      </c>
      <c r="S13" s="356">
        <f t="shared" si="24"/>
        <v>3.99</v>
      </c>
      <c r="V13" s="179" t="str">
        <f t="shared" si="11"/>
        <v>J. Limon</v>
      </c>
      <c r="W13" s="356">
        <f t="shared" si="12"/>
        <v>10</v>
      </c>
      <c r="X13" s="356">
        <f t="shared" si="13"/>
        <v>10.1</v>
      </c>
      <c r="Y13" s="356">
        <f t="shared" si="14"/>
        <v>3</v>
      </c>
      <c r="Z13" s="356">
        <f t="shared" si="15"/>
        <v>3.99</v>
      </c>
    </row>
    <row r="14" spans="1:26" x14ac:dyDescent="0.25">
      <c r="A14" s="359" t="str">
        <f>PLANTILLA!D16</f>
        <v>C. Rojas</v>
      </c>
      <c r="B14" s="165">
        <f>PLANTILLA!E16</f>
        <v>31</v>
      </c>
      <c r="C14" s="165">
        <f>PLANTILLA!H16</f>
        <v>4</v>
      </c>
      <c r="D14" s="361">
        <f>PLANTILLA!I16</f>
        <v>11</v>
      </c>
      <c r="E14" s="354">
        <f t="shared" si="4"/>
        <v>11</v>
      </c>
      <c r="F14" s="354">
        <f t="shared" si="5"/>
        <v>11.1</v>
      </c>
      <c r="G14" s="354">
        <f t="shared" si="6"/>
        <v>4</v>
      </c>
      <c r="H14" s="354">
        <f t="shared" si="7"/>
        <v>4.99</v>
      </c>
      <c r="I14" s="358">
        <f t="shared" si="8"/>
        <v>176</v>
      </c>
      <c r="J14" s="358">
        <f t="shared" si="9"/>
        <v>276.39111000000003</v>
      </c>
      <c r="K14" s="355"/>
      <c r="P14" s="159">
        <f>SUM(P4:P13)/10</f>
        <v>10.77</v>
      </c>
      <c r="Q14" s="159">
        <f>SUM(Q4:Q13)/10</f>
        <v>10.87</v>
      </c>
      <c r="R14" s="159"/>
      <c r="S14" s="159"/>
      <c r="W14" s="159">
        <f>SUM(W4:W13)/10</f>
        <v>10.77</v>
      </c>
      <c r="X14" s="159">
        <f>SUM(X4:X13)/10</f>
        <v>10.87</v>
      </c>
      <c r="Y14" s="159"/>
      <c r="Z14" s="159"/>
    </row>
    <row r="15" spans="1:26" x14ac:dyDescent="0.25">
      <c r="A15" s="359" t="str">
        <f>PLANTILLA!D17</f>
        <v>E. Gross</v>
      </c>
      <c r="B15" s="165">
        <f>PLANTILLA!E17</f>
        <v>30</v>
      </c>
      <c r="C15" s="165">
        <f>PLANTILLA!H17</f>
        <v>3</v>
      </c>
      <c r="D15" s="361">
        <f>PLANTILLA!I17</f>
        <v>9.1</v>
      </c>
      <c r="E15" s="354">
        <f t="shared" si="4"/>
        <v>9.1</v>
      </c>
      <c r="F15" s="354">
        <f t="shared" si="5"/>
        <v>9.1999999999999993</v>
      </c>
      <c r="G15" s="354">
        <f t="shared" si="6"/>
        <v>3</v>
      </c>
      <c r="H15" s="354">
        <f t="shared" si="7"/>
        <v>3.99</v>
      </c>
      <c r="I15" s="358">
        <f t="shared" si="8"/>
        <v>81.899999999999991</v>
      </c>
      <c r="J15" s="358">
        <f t="shared" si="9"/>
        <v>146.46492000000001</v>
      </c>
      <c r="K15" s="355"/>
    </row>
    <row r="16" spans="1:26" x14ac:dyDescent="0.25">
      <c r="A16" s="359" t="str">
        <f>PLANTILLA!D18</f>
        <v>L. Bauman</v>
      </c>
      <c r="B16" s="165">
        <f>PLANTILLA!E18</f>
        <v>30</v>
      </c>
      <c r="C16" s="165">
        <f>PLANTILLA!H18</f>
        <v>0</v>
      </c>
      <c r="D16" s="361">
        <f>PLANTILLA!I18</f>
        <v>8.1</v>
      </c>
      <c r="E16" s="354">
        <f t="shared" si="4"/>
        <v>8.1</v>
      </c>
      <c r="F16" s="354">
        <f t="shared" si="5"/>
        <v>8.1999999999999993</v>
      </c>
      <c r="G16" s="354">
        <f t="shared" si="6"/>
        <v>0</v>
      </c>
      <c r="H16" s="354">
        <f t="shared" si="7"/>
        <v>0.99</v>
      </c>
      <c r="I16" s="358">
        <f t="shared" si="8"/>
        <v>0</v>
      </c>
      <c r="J16" s="358">
        <f t="shared" si="9"/>
        <v>8.0368199999999987</v>
      </c>
      <c r="K16" s="355"/>
      <c r="L16" s="184" t="s">
        <v>520</v>
      </c>
      <c r="O16" t="s">
        <v>521</v>
      </c>
      <c r="P16" s="265">
        <f>SUM(P3:P13)</f>
        <v>125.8</v>
      </c>
      <c r="Q16" s="265">
        <f>SUM(Q3:Q13)</f>
        <v>126.9</v>
      </c>
      <c r="R16" s="265"/>
      <c r="V16" s="179" t="s">
        <v>521</v>
      </c>
      <c r="W16" s="265">
        <f>SUM(W3:W13)</f>
        <v>125.8</v>
      </c>
      <c r="X16" s="265">
        <f>SUM(X3:X13)</f>
        <v>126.9</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7.624242424242424</v>
      </c>
      <c r="Q17" s="159">
        <f>Q16/16.5</f>
        <v>7.6909090909090914</v>
      </c>
      <c r="R17" s="159"/>
      <c r="V17" s="179" t="s">
        <v>522</v>
      </c>
      <c r="W17" s="159">
        <f>W16/17</f>
        <v>7.3999999999999995</v>
      </c>
      <c r="X17" s="159">
        <f>X16/17</f>
        <v>7.4647058823529413</v>
      </c>
      <c r="Y17" s="159"/>
    </row>
    <row r="18" spans="1:25" x14ac:dyDescent="0.25">
      <c r="A18" s="359" t="str">
        <f>PLANTILLA!D20</f>
        <v>M. Amico</v>
      </c>
      <c r="B18" s="165">
        <f>PLANTILLA!E20</f>
        <v>29</v>
      </c>
      <c r="C18" s="165">
        <f>PLANTILLA!H20</f>
        <v>4</v>
      </c>
      <c r="D18" s="361">
        <f>PLANTILLA!I20</f>
        <v>1.2</v>
      </c>
      <c r="E18" s="354">
        <f t="shared" ref="E18" si="25">D18</f>
        <v>1.2</v>
      </c>
      <c r="F18" s="354">
        <f t="shared" ref="F18" si="26">E18+0.1</f>
        <v>1.3</v>
      </c>
      <c r="G18" s="354">
        <f t="shared" ref="G18" si="27">C18</f>
        <v>4</v>
      </c>
      <c r="H18" s="354">
        <f t="shared" ref="H18" si="28">G18+0.99</f>
        <v>4.99</v>
      </c>
      <c r="I18" s="358">
        <f t="shared" ref="I18" si="29">G18*G18*E18</f>
        <v>19.2</v>
      </c>
      <c r="J18" s="358">
        <f t="shared" ref="J18" si="30">H18*H18*F18</f>
        <v>32.370130000000003</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PLANTILLA!D21</f>
        <v>G. Kerschl</v>
      </c>
      <c r="B19" s="165">
        <f>PLANTILLA!E21</f>
        <v>28</v>
      </c>
      <c r="C19" s="165">
        <f>PLANTILLA!H21</f>
        <v>1</v>
      </c>
      <c r="D19" s="361">
        <f>PLANTILLA!I21</f>
        <v>8.6</v>
      </c>
      <c r="E19" s="354">
        <f t="shared" ref="E19" si="31">D19</f>
        <v>8.6</v>
      </c>
      <c r="F19" s="354">
        <f t="shared" ref="F19" si="32">E19+0.1</f>
        <v>8.6999999999999993</v>
      </c>
      <c r="G19" s="354">
        <f t="shared" ref="G19" si="33">C19</f>
        <v>1</v>
      </c>
      <c r="H19" s="354">
        <f t="shared" ref="H19" si="34">G19+0.99</f>
        <v>1.99</v>
      </c>
      <c r="I19" s="358">
        <f t="shared" ref="I19" si="35">G19*G19*E19</f>
        <v>8.6</v>
      </c>
      <c r="J19" s="358">
        <f t="shared" ref="J19" si="36">H19*H19*F19</f>
        <v>34.452869999999997</v>
      </c>
      <c r="K19" s="355"/>
      <c r="L19" s="184" t="s">
        <v>525</v>
      </c>
      <c r="O19" s="246" t="s">
        <v>526</v>
      </c>
      <c r="P19" s="265">
        <f>P18*P3</f>
        <v>651.6</v>
      </c>
      <c r="Q19" s="265">
        <f>Q18*Q3</f>
        <v>889.25382000000013</v>
      </c>
      <c r="R19" s="265"/>
      <c r="V19" s="179" t="s">
        <v>526</v>
      </c>
      <c r="W19" s="265">
        <f>W18*W3</f>
        <v>651.6</v>
      </c>
      <c r="X19" s="265">
        <f>X18*X3</f>
        <v>889.25382000000013</v>
      </c>
      <c r="Y19" s="265"/>
    </row>
    <row r="20" spans="1:25" x14ac:dyDescent="0.25">
      <c r="A20" s="359" t="str">
        <f>PLANTILLA!D22</f>
        <v>J. Limon</v>
      </c>
      <c r="B20" s="165">
        <f>PLANTILLA!E22</f>
        <v>29</v>
      </c>
      <c r="C20" s="165">
        <f>PLANTILLA!H22</f>
        <v>3</v>
      </c>
      <c r="D20" s="361">
        <f>PLANTILLA!I22</f>
        <v>10</v>
      </c>
      <c r="E20" s="354">
        <f t="shared" si="4"/>
        <v>10</v>
      </c>
      <c r="F20" s="354">
        <f t="shared" si="5"/>
        <v>10.1</v>
      </c>
      <c r="G20" s="354">
        <f t="shared" si="6"/>
        <v>3</v>
      </c>
      <c r="H20" s="354">
        <f t="shared" si="7"/>
        <v>3.99</v>
      </c>
      <c r="I20" s="358">
        <f t="shared" si="8"/>
        <v>90</v>
      </c>
      <c r="J20" s="358">
        <f t="shared" si="9"/>
        <v>160.79301000000001</v>
      </c>
      <c r="K20" s="355"/>
      <c r="L20" s="184" t="s">
        <v>527</v>
      </c>
      <c r="O20" s="318" t="s">
        <v>876</v>
      </c>
      <c r="P20" s="159">
        <f>(P19^(2/3))/27</f>
        <v>2.7837076285616571</v>
      </c>
      <c r="Q20" s="159">
        <f>(Q19^(2/3))/27</f>
        <v>3.4249433737932482</v>
      </c>
      <c r="R20" s="159"/>
      <c r="V20" s="179" t="s">
        <v>528</v>
      </c>
      <c r="W20" s="159">
        <f>(W19^(2/3))/30</f>
        <v>2.5053368657054915</v>
      </c>
      <c r="X20" s="159">
        <f>(X19^(2/3))/30</f>
        <v>3.0824490364139234</v>
      </c>
      <c r="Y20" s="159"/>
    </row>
    <row r="21" spans="1:25" x14ac:dyDescent="0.25">
      <c r="A21" s="359" t="str">
        <f>PLANTILLA!D23</f>
        <v>L. Calosso</v>
      </c>
      <c r="B21" s="165">
        <f>PLANTILLA!E23</f>
        <v>30</v>
      </c>
      <c r="C21" s="165">
        <f>PLANTILLA!H23</f>
        <v>3</v>
      </c>
      <c r="D21" s="361">
        <f>PLANTILLA!I23</f>
        <v>10.199999999999999</v>
      </c>
      <c r="E21" s="354">
        <f t="shared" si="4"/>
        <v>10.199999999999999</v>
      </c>
      <c r="F21" s="354">
        <f t="shared" si="5"/>
        <v>10.299999999999999</v>
      </c>
      <c r="G21" s="354">
        <f t="shared" si="6"/>
        <v>3</v>
      </c>
      <c r="H21" s="354">
        <f t="shared" si="7"/>
        <v>3.99</v>
      </c>
      <c r="I21" s="358">
        <f t="shared" si="8"/>
        <v>91.8</v>
      </c>
      <c r="J21" s="358">
        <f t="shared" si="9"/>
        <v>163.97702999999998</v>
      </c>
      <c r="K21" s="355"/>
      <c r="L21" s="184" t="s">
        <v>529</v>
      </c>
      <c r="O21" s="179" t="s">
        <v>530</v>
      </c>
      <c r="P21" s="672">
        <f>P17+P20</f>
        <v>10.407950052804081</v>
      </c>
      <c r="Q21" s="672">
        <f>Q17+Q20</f>
        <v>11.115852464702339</v>
      </c>
      <c r="V21" s="179" t="s">
        <v>530</v>
      </c>
      <c r="W21" s="672">
        <f>W17+W20</f>
        <v>9.9053368657054914</v>
      </c>
      <c r="X21" s="672">
        <f>X17+X20</f>
        <v>10.547154918766864</v>
      </c>
    </row>
    <row r="22" spans="1:25" x14ac:dyDescent="0.25">
      <c r="A22" s="359" t="str">
        <f>PLANTILLA!D24</f>
        <v>P .Trivadi</v>
      </c>
      <c r="B22" s="165">
        <f>PLANTILLA!E24</f>
        <v>27</v>
      </c>
      <c r="C22" s="165">
        <f>PLANTILLA!H24</f>
        <v>5</v>
      </c>
      <c r="D22" s="361">
        <f>PLANTILLA!I24</f>
        <v>5.3</v>
      </c>
      <c r="E22" s="354">
        <f t="shared" si="4"/>
        <v>5.3</v>
      </c>
      <c r="F22" s="354">
        <f t="shared" si="5"/>
        <v>5.3999999999999995</v>
      </c>
      <c r="G22" s="354">
        <f t="shared" si="6"/>
        <v>5</v>
      </c>
      <c r="H22" s="354">
        <f t="shared" si="7"/>
        <v>5.99</v>
      </c>
      <c r="I22" s="358">
        <f t="shared" si="8"/>
        <v>132.5</v>
      </c>
      <c r="J22" s="358">
        <f t="shared" si="9"/>
        <v>193.75254000000001</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58885.714285714283</v>
      </c>
      <c r="S2" s="228">
        <v>2068800</v>
      </c>
      <c r="T2" s="228">
        <f ca="1">S2+Q2+P2+R2</f>
        <v>2906328.5714285714</v>
      </c>
      <c r="U2" s="233">
        <f ca="1">T2/((O2-N2)/112)</f>
        <v>567088.5017421603</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34285.71428571429</v>
      </c>
      <c r="S4" s="228">
        <v>2059800</v>
      </c>
      <c r="T4" s="228">
        <f>S4+Q4+P4</f>
        <v>3126540</v>
      </c>
      <c r="U4" s="233">
        <f>T4/((O4-N4)/112)</f>
        <v>580717.21393034828</v>
      </c>
      <c r="V4" s="163">
        <f ca="1">(A7-N4)/112</f>
        <v>7.1428571428571432</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43105</v>
      </c>
    </row>
    <row r="8" spans="1:22" x14ac:dyDescent="0.25">
      <c r="A8" s="177">
        <v>41757</v>
      </c>
    </row>
    <row r="9" spans="1:22" x14ac:dyDescent="0.25">
      <c r="A9" s="179">
        <f ca="1">A7-A8</f>
        <v>1348</v>
      </c>
    </row>
    <row r="10" spans="1:22" x14ac:dyDescent="0.25">
      <c r="A10" s="417">
        <f ca="1">A9/112</f>
        <v>12.035714285714286</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43105</v>
      </c>
      <c r="P13" s="623">
        <v>1800000</v>
      </c>
      <c r="Q13" s="228">
        <v>372</v>
      </c>
      <c r="R13" s="228">
        <f t="shared" ref="R13" ca="1" si="4">((TODAY()-N13)/7)*L13</f>
        <v>24315.428571428572</v>
      </c>
      <c r="S13" s="623">
        <v>2553000</v>
      </c>
      <c r="T13" s="228">
        <f t="shared" ref="T13" si="5">S13+Q13+P13</f>
        <v>4353372</v>
      </c>
      <c r="U13" s="233">
        <f t="shared" ref="U13" ca="1" si="6">T13/((O13-N13)/112)</f>
        <v>2475013.5228426396</v>
      </c>
      <c r="V13" s="163">
        <v>7</v>
      </c>
    </row>
    <row r="17" spans="1:22" ht="18" x14ac:dyDescent="0.25">
      <c r="A17" s="608">
        <v>42908</v>
      </c>
      <c r="B17" s="290"/>
      <c r="C17">
        <v>112</v>
      </c>
      <c r="D17">
        <v>0</v>
      </c>
    </row>
    <row r="18" spans="1:22" x14ac:dyDescent="0.25">
      <c r="A18" s="290">
        <f ca="1">TODAY()</f>
        <v>43105</v>
      </c>
      <c r="B18" s="290"/>
      <c r="C18">
        <v>400</v>
      </c>
      <c r="D18">
        <v>1</v>
      </c>
    </row>
    <row r="19" spans="1:22" x14ac:dyDescent="0.25">
      <c r="A19">
        <f ca="1">A18-A17</f>
        <v>197</v>
      </c>
      <c r="C19">
        <f>C18-C17</f>
        <v>288</v>
      </c>
      <c r="D19" s="609">
        <f ca="1">(A19-C17)/C19</f>
        <v>0.2951388888888889</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8" t="s">
        <v>326</v>
      </c>
      <c r="B28" s="688"/>
      <c r="C28" s="688"/>
      <c r="D28" s="688"/>
    </row>
    <row r="29" spans="1:22" x14ac:dyDescent="0.25">
      <c r="A29" s="689" t="s">
        <v>257</v>
      </c>
      <c r="B29" s="690" t="s">
        <v>327</v>
      </c>
      <c r="C29" s="690" t="s">
        <v>328</v>
      </c>
      <c r="D29" s="690" t="s">
        <v>329</v>
      </c>
    </row>
    <row r="30" spans="1:22" x14ac:dyDescent="0.25">
      <c r="A30" s="689"/>
      <c r="B30" s="690"/>
      <c r="C30" s="690"/>
      <c r="D30" s="690"/>
    </row>
    <row r="31" spans="1:22" ht="21" x14ac:dyDescent="0.25">
      <c r="A31" s="229" t="s">
        <v>327</v>
      </c>
      <c r="B31" s="230" t="s">
        <v>330</v>
      </c>
      <c r="C31" s="230" t="s">
        <v>331</v>
      </c>
      <c r="D31" s="230" t="s">
        <v>331</v>
      </c>
    </row>
    <row r="32" spans="1:22" ht="21" x14ac:dyDescent="0.25">
      <c r="A32" s="622" t="s">
        <v>328</v>
      </c>
      <c r="B32" s="232" t="s">
        <v>332</v>
      </c>
      <c r="C32" s="232" t="s">
        <v>333</v>
      </c>
      <c r="D32" s="232" t="s">
        <v>331</v>
      </c>
    </row>
    <row r="33" spans="1:4" ht="21" x14ac:dyDescent="0.25">
      <c r="A33" s="229" t="s">
        <v>329</v>
      </c>
      <c r="B33" s="230" t="s">
        <v>334</v>
      </c>
      <c r="C33" s="230" t="s">
        <v>335</v>
      </c>
      <c r="D33" s="230" t="s">
        <v>336</v>
      </c>
    </row>
    <row r="34" spans="1:4" ht="21" x14ac:dyDescent="0.25">
      <c r="A34" s="622" t="s">
        <v>337</v>
      </c>
      <c r="B34" s="232" t="s">
        <v>338</v>
      </c>
      <c r="C34" s="232" t="s">
        <v>339</v>
      </c>
      <c r="D34" s="232" t="s">
        <v>340</v>
      </c>
    </row>
    <row r="35" spans="1:4" ht="21" x14ac:dyDescent="0.25">
      <c r="A35" s="229" t="s">
        <v>341</v>
      </c>
      <c r="B35" s="230" t="s">
        <v>342</v>
      </c>
      <c r="C35" s="230" t="s">
        <v>343</v>
      </c>
      <c r="D35" s="230" t="s">
        <v>344</v>
      </c>
    </row>
    <row r="36" spans="1:4" ht="21" x14ac:dyDescent="0.25">
      <c r="A36" s="622" t="s">
        <v>345</v>
      </c>
      <c r="B36" s="232" t="s">
        <v>346</v>
      </c>
      <c r="C36" s="232" t="s">
        <v>347</v>
      </c>
      <c r="D36" s="232" t="s">
        <v>348</v>
      </c>
    </row>
    <row r="37" spans="1:4" ht="21" x14ac:dyDescent="0.25">
      <c r="A37" s="229" t="s">
        <v>349</v>
      </c>
      <c r="B37" s="230" t="s">
        <v>350</v>
      </c>
      <c r="C37" s="230" t="s">
        <v>351</v>
      </c>
      <c r="D37" s="230" t="s">
        <v>352</v>
      </c>
    </row>
    <row r="38" spans="1:4" ht="21" x14ac:dyDescent="0.25">
      <c r="A38" s="622" t="s">
        <v>353</v>
      </c>
      <c r="B38" s="232" t="s">
        <v>354</v>
      </c>
      <c r="C38" s="232" t="s">
        <v>355</v>
      </c>
      <c r="D38" s="232" t="s">
        <v>356</v>
      </c>
    </row>
    <row r="39" spans="1:4" ht="21" x14ac:dyDescent="0.25">
      <c r="A39" s="229" t="s">
        <v>357</v>
      </c>
      <c r="B39" s="230" t="s">
        <v>358</v>
      </c>
      <c r="C39" s="230" t="s">
        <v>359</v>
      </c>
      <c r="D39" s="230" t="s">
        <v>360</v>
      </c>
    </row>
    <row r="40" spans="1:4" ht="21" x14ac:dyDescent="0.25">
      <c r="A40" s="622" t="s">
        <v>361</v>
      </c>
      <c r="B40" s="232" t="s">
        <v>362</v>
      </c>
      <c r="C40" s="232" t="s">
        <v>363</v>
      </c>
      <c r="D40" s="232" t="s">
        <v>364</v>
      </c>
    </row>
    <row r="41" spans="1:4" ht="21" x14ac:dyDescent="0.25">
      <c r="A41" s="229" t="s">
        <v>365</v>
      </c>
      <c r="B41" s="230" t="s">
        <v>366</v>
      </c>
      <c r="C41" s="230" t="s">
        <v>367</v>
      </c>
      <c r="D41" s="230" t="s">
        <v>368</v>
      </c>
    </row>
    <row r="42" spans="1:4" ht="21" x14ac:dyDescent="0.25">
      <c r="A42" s="622" t="s">
        <v>369</v>
      </c>
      <c r="B42" s="232" t="s">
        <v>370</v>
      </c>
      <c r="C42" s="232" t="s">
        <v>371</v>
      </c>
      <c r="D42" s="232" t="s">
        <v>372</v>
      </c>
    </row>
    <row r="43" spans="1:4" ht="21" x14ac:dyDescent="0.25">
      <c r="A43" s="229" t="s">
        <v>373</v>
      </c>
      <c r="B43" s="230" t="s">
        <v>374</v>
      </c>
      <c r="C43" s="230" t="s">
        <v>375</v>
      </c>
      <c r="D43" s="230" t="s">
        <v>376</v>
      </c>
    </row>
    <row r="44" spans="1:4" ht="21" x14ac:dyDescent="0.25">
      <c r="A44" s="622" t="s">
        <v>377</v>
      </c>
      <c r="B44" s="232" t="s">
        <v>378</v>
      </c>
      <c r="C44" s="232" t="s">
        <v>379</v>
      </c>
      <c r="D44" s="232" t="s">
        <v>380</v>
      </c>
    </row>
    <row r="45" spans="1:4" ht="21"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tabSelected="1" zoomScaleNormal="100" workbookViewId="0">
      <pane xSplit="30" ySplit="4" topLeftCell="AE5" activePane="bottomRight" state="frozen"/>
      <selection pane="topRight" activeCell="T1" sqref="T1"/>
      <selection pane="bottomLeft" activeCell="A4" sqref="A4"/>
      <selection pane="bottomRight" activeCell="AM17" sqref="AM17"/>
    </sheetView>
  </sheetViews>
  <sheetFormatPr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AVERAGE(C5,C8,C9,C10,C11,C12,C13,C14,C15,C16,C17,C18,C19,C22,C24)</f>
        <v>3.9517857142857142</v>
      </c>
      <c r="D1" s="345">
        <f ca="1">TODAY()</f>
        <v>43105</v>
      </c>
      <c r="E1" s="681">
        <v>41471</v>
      </c>
      <c r="F1" s="681"/>
      <c r="G1" s="681"/>
      <c r="H1" s="251"/>
      <c r="I1" s="251"/>
      <c r="J1" s="251"/>
      <c r="K1" s="252"/>
      <c r="L1" s="251"/>
      <c r="M1" s="252"/>
      <c r="N1" s="252"/>
      <c r="O1" s="252"/>
      <c r="P1" s="252"/>
      <c r="Q1" s="631">
        <f>AVERAGE(Q5,Q8,Q9,Q10,Q11,Q12,Q13,Q14,Q15,Q16,Q17,Q18,Q19,Q22,Q24)</f>
        <v>5.666666666666667</v>
      </c>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AVERAGE(I5:I24)</f>
        <v>9.1549999999999994</v>
      </c>
      <c r="J2" s="297"/>
      <c r="K2" s="297"/>
      <c r="M2" s="347">
        <f>AVERAGE(M5:M24)</f>
        <v>7.2750000000000004</v>
      </c>
      <c r="N2" s="297"/>
      <c r="O2" s="297"/>
      <c r="P2" s="297"/>
      <c r="Q2" s="347">
        <f>AVERAGE(Q5:Q24)</f>
        <v>5.55</v>
      </c>
      <c r="R2" s="502">
        <f>AVERAGE(R5:R24)</f>
        <v>0.88693936098951431</v>
      </c>
      <c r="S2" s="502">
        <f>AVERAGE(S5:S24)</f>
        <v>0.95019883077266309</v>
      </c>
      <c r="T2" s="348">
        <f>AVERAGE(T5:T24)</f>
        <v>109260</v>
      </c>
      <c r="U2" s="348"/>
      <c r="V2" s="348">
        <f>AVERAGE(V5:V24)</f>
        <v>14588.7</v>
      </c>
      <c r="W2" s="293"/>
      <c r="X2" s="346">
        <f>(X5+X6)/2</f>
        <v>13.483333333333334</v>
      </c>
      <c r="Y2" s="346">
        <f>AVERAGE(Y5:Y11)</f>
        <v>11.725365634365634</v>
      </c>
      <c r="Z2" s="346">
        <f>AVERAGE(Z12:Z20)</f>
        <v>11.953785214579655</v>
      </c>
      <c r="AA2" s="346">
        <f>AVERAGE(AA12:AA14)</f>
        <v>12.923888888888889</v>
      </c>
      <c r="AB2" s="346">
        <f>AVERAGE(AB6:AB24)</f>
        <v>9.729766081871345</v>
      </c>
      <c r="AC2" s="346">
        <f>AVERAGE(AC22:AC24)</f>
        <v>8.9823333333333348</v>
      </c>
      <c r="AD2" s="346">
        <f>AVERAGE(AD5:AD24)</f>
        <v>14.188833333333331</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3.7589285714285716</v>
      </c>
      <c r="D5" s="658" t="s">
        <v>782</v>
      </c>
      <c r="E5" s="387">
        <v>30</v>
      </c>
      <c r="F5" s="395">
        <f ca="1">-42406+$D$1-112-112-112-112-112-112</f>
        <v>27</v>
      </c>
      <c r="G5" s="388"/>
      <c r="H5" s="403">
        <v>6</v>
      </c>
      <c r="I5" s="308">
        <v>18.100000000000001</v>
      </c>
      <c r="J5" s="487">
        <f>LOG(I5+1)*4/3</f>
        <v>1.7080444896636369</v>
      </c>
      <c r="K5" s="303">
        <f t="shared" ref="K5" si="0">(H5)*(H5)*(I5)</f>
        <v>651.6</v>
      </c>
      <c r="L5" s="303">
        <f t="shared" ref="L5" si="1">(H5+1)*(H5+1)*I5</f>
        <v>886.90000000000009</v>
      </c>
      <c r="M5" s="389">
        <v>7.7</v>
      </c>
      <c r="N5" s="446">
        <f>M5*10+19</f>
        <v>96</v>
      </c>
      <c r="O5" s="678">
        <v>42468</v>
      </c>
      <c r="P5" s="679">
        <f ca="1">IF((TODAY()-O5)&gt;335,1,((TODAY()-O5)^0.64)/(336^0.64))</f>
        <v>1</v>
      </c>
      <c r="Q5" s="446">
        <v>7</v>
      </c>
      <c r="R5" s="501">
        <f>(Q5/7)^0.5</f>
        <v>1</v>
      </c>
      <c r="S5" s="501">
        <f>IF(Q5=7,1,((Q5+0.99)/7)^0.5)</f>
        <v>1</v>
      </c>
      <c r="T5" s="324">
        <v>100160</v>
      </c>
      <c r="U5" s="627">
        <f t="shared" ref="U5:U24" si="2">T5-AR5</f>
        <v>-10</v>
      </c>
      <c r="V5" s="324">
        <v>39696</v>
      </c>
      <c r="W5" s="316">
        <f t="shared" ref="W5:W25" si="3">T5/V5</f>
        <v>2.5231761386537688</v>
      </c>
      <c r="X5" s="486">
        <f>16+12/18</f>
        <v>16.666666666666668</v>
      </c>
      <c r="Y5" s="487">
        <f>10.53+0.11+0.11+0.11+0.11+0.11+1/11+1/11*0.16+1/11+1/11+1/11+1/11+1/11+1/11+1/11+1/11+1/11+1/13</f>
        <v>12.080559440559444</v>
      </c>
      <c r="Z5" s="486">
        <f>2+0.01+0.01+0.01+0.01+0.01</f>
        <v>2.0499999999999989</v>
      </c>
      <c r="AA5" s="487">
        <f>1.94+0.03+0.03+0.03+0.03+0.03+0.03+0.02</f>
        <v>2.1399999999999992</v>
      </c>
      <c r="AB5" s="486">
        <f>0.6+0.04+0.04+0.04+0.04+0.04+0.04+0.03+0.03+0.02+0.02+0.02+0.02+0.02+0.02+0.01+0.01</f>
        <v>1.0400000000000003</v>
      </c>
      <c r="AC5" s="487">
        <f>0+0.05+0.05*37/90+0.04+0.02+0.01</f>
        <v>0.14055555555555557</v>
      </c>
      <c r="AD5" s="486">
        <f>13.8+0.5+0.5+0.5+0.34+0.34+0.34+0.34+0.34+0.25+0.2+0.2+0.2</f>
        <v>17.849999999999998</v>
      </c>
      <c r="AE5" s="324">
        <v>1467</v>
      </c>
      <c r="AF5" s="604">
        <f ca="1">(Z5+P5+J5)*(Q5/7)^0.5</f>
        <v>4.7580444896636358</v>
      </c>
      <c r="AG5" s="604">
        <f ca="1">(Z5+P5+J5)*(IF(Q5=7, (Q5/7)^0.5, ((Q5+1)/7)^0.5))</f>
        <v>4.7580444896636358</v>
      </c>
      <c r="AH5" s="316">
        <f ca="1">(((Y5+P5+J5)+(AB5+P5+J5)*2)/8)*(Q5/7)^0.5</f>
        <v>2.7855866136937943</v>
      </c>
      <c r="AI5" s="316">
        <f ca="1">(1.66*(AC5+J5+P5)+0.55*(AD5+J5+P5)-7.6)*(Q5/7)^0.5</f>
        <v>8.4356005443788593</v>
      </c>
      <c r="AJ5" s="316">
        <f ca="1">((AD5+J5+P5)*0.7+(AC5+J5+P5)*0.3)*(Q5/7)^0.5</f>
        <v>15.245211156330301</v>
      </c>
      <c r="AK5" s="316">
        <f ca="1">(0.5*(AC5+P5+J5)+ 0.3*(AD5+P5+J5))/10</f>
        <v>0.75917133695086869</v>
      </c>
      <c r="AL5" s="316">
        <f ca="1">(0.4*(Y5+P5+J5)+0.3*(AD5+P5+J5))/10</f>
        <v>1.2082854918988324</v>
      </c>
      <c r="AM5" s="311">
        <f ca="1">(AD5+P5+(LOG(I5)*4/3))*(Q5/7)^0.5</f>
        <v>20.526904766492244</v>
      </c>
      <c r="AN5" s="311">
        <f ca="1">(AD5+P5+(LOG(I5)*4/3))*(IF(Q5=7, (Q5/7)^0.5, ((Q5+1)/7)^0.5))</f>
        <v>20.526904766492244</v>
      </c>
      <c r="AO5" s="446">
        <v>2</v>
      </c>
      <c r="AP5" s="446">
        <v>2</v>
      </c>
      <c r="AQ5" s="591">
        <f>IF(AO5=4,IF(AP5=0,0.137+0.0697,0.137+0.02),IF(AO5=3,IF(AP5=0,0.0958+0.0697,0.0958+0.02),IF(AO5=2,IF(AP5=0,0.0415+0.0697,0.0415+0.02),IF(AO5=1,IF(AP5=0,0.0294+0.0697,0.0294+0.02),IF(AO5=0,IF(AP5=0,0.0063+0.0697,0.0063+0.02))))))</f>
        <v>6.1499999999999999E-2</v>
      </c>
      <c r="AR5">
        <v>100170</v>
      </c>
      <c r="AS5">
        <f>AR5</f>
        <v>100170</v>
      </c>
      <c r="AT5" s="390">
        <f>AS5-T5</f>
        <v>10</v>
      </c>
    </row>
    <row r="6" spans="1:46" s="263" customFormat="1" x14ac:dyDescent="0.25">
      <c r="A6" s="384" t="s">
        <v>484</v>
      </c>
      <c r="B6" s="384" t="s">
        <v>1</v>
      </c>
      <c r="C6" s="385">
        <f t="shared" ref="C6:C24" ca="1" si="4">((34*112)-(E6*112)-(F6))/112</f>
        <v>-0.32142857142857145</v>
      </c>
      <c r="D6" s="658" t="s">
        <v>267</v>
      </c>
      <c r="E6" s="387">
        <v>34</v>
      </c>
      <c r="F6" s="395">
        <f ca="1">82-41471+$D$1-112-112-112-112-112-112-112-112-112-112-112-112-112-112-112</f>
        <v>36</v>
      </c>
      <c r="G6" s="388" t="s">
        <v>502</v>
      </c>
      <c r="H6" s="371">
        <v>3</v>
      </c>
      <c r="I6" s="308">
        <v>7.8</v>
      </c>
      <c r="J6" s="487">
        <f t="shared" ref="J6:J24" si="5">LOG(I6+1)*4/3</f>
        <v>1.2593102295335583</v>
      </c>
      <c r="K6" s="303">
        <f t="shared" ref="K6:K24" si="6">(H6)*(H6)*(I6)</f>
        <v>70.2</v>
      </c>
      <c r="L6" s="303">
        <f t="shared" ref="L6:L24" si="7">(H6+1)*(H6+1)*I6</f>
        <v>124.8</v>
      </c>
      <c r="M6" s="389">
        <v>5.2</v>
      </c>
      <c r="N6" s="446">
        <f t="shared" ref="N6:N24" si="8">M6*10+19</f>
        <v>71</v>
      </c>
      <c r="O6" s="446" t="s">
        <v>557</v>
      </c>
      <c r="P6" s="679">
        <v>1.5</v>
      </c>
      <c r="Q6" s="446">
        <v>6</v>
      </c>
      <c r="R6" s="501">
        <f t="shared" ref="R6:R24" si="9">(Q6/7)^0.5</f>
        <v>0.92582009977255142</v>
      </c>
      <c r="S6" s="501">
        <f t="shared" ref="S6:S24" si="10">IF(Q6=7,1,((Q6+0.99)/7)^0.5)</f>
        <v>0.99928545900129484</v>
      </c>
      <c r="T6" s="324">
        <v>1840</v>
      </c>
      <c r="U6" s="627">
        <f t="shared" si="2"/>
        <v>0</v>
      </c>
      <c r="V6" s="324">
        <v>2770</v>
      </c>
      <c r="W6" s="316">
        <f t="shared" si="3"/>
        <v>0.66425992779783394</v>
      </c>
      <c r="X6" s="486">
        <v>10.3</v>
      </c>
      <c r="Y6" s="487">
        <f>9.5+0.13+0.13/2+0.13+0.13+0.13+0.13+0.13+0.12+0.12+0.02+0.02+0.02+0.02+0.02+0.02+0.02+0.02+0.02+0.01+0.01+0.01+0.01+0.01</f>
        <v>10.814999999999998</v>
      </c>
      <c r="Z6" s="486">
        <f>4.2+0.04+0.04+0.04+0.03+0.03+0.03+0.03+0.03+0.03+0.03+0.03+0.02+0.02+0.01+0.01+0.01+0.01</f>
        <v>4.6400000000000006</v>
      </c>
      <c r="AA6" s="487">
        <v>4.95</v>
      </c>
      <c r="AB6" s="486">
        <f>4.99+0.05+0.32+0.32+0.32+0.05+0.16+0.05+0.03+0.25*31/90+0.03+0.02+0.02+0.01+0.01+0.01+0.15*29/90+0.01+0.01</f>
        <v>6.5444444444444434</v>
      </c>
      <c r="AC6" s="487">
        <v>3.99</v>
      </c>
      <c r="AD6" s="486">
        <f>11.8+0.67+0.5*1.25+0.35+0.35+0.35+0.35*8/90+0.35*80/90+0.35+0.35*75/90+0.35+0.3</f>
        <v>15.778888888888888</v>
      </c>
      <c r="AE6" s="324">
        <v>1166</v>
      </c>
      <c r="AF6" s="604">
        <f t="shared" ref="AF6:AF24" si="11">(Z6+P6+J6)*(Q6/7)^0.5</f>
        <v>6.85043013495482</v>
      </c>
      <c r="AG6" s="604">
        <f t="shared" ref="AG6:AG24" si="12">(Z6+P6+J6)*(IF(Q6=7, (Q6/7)^0.5, ((Q6+1)/7)^0.5))</f>
        <v>7.3993102295335591</v>
      </c>
      <c r="AH6" s="316">
        <f t="shared" ref="AH6:AH24" si="13">(((Y6+P6+J6)+(AB6+P6+J6)*2)/8)*(Q6/7)^0.5</f>
        <v>3.7243219265117045</v>
      </c>
      <c r="AI6" s="316">
        <f t="shared" ref="AI6:AI24" si="14">(1.66*(AC6+J6+P6)+0.55*(AD6+J6+P6)-7.6)*(Q6/7)^0.5</f>
        <v>12.776191924680738</v>
      </c>
      <c r="AJ6" s="316">
        <f t="shared" ref="AJ6:AJ24" si="15">((AD6+J6+P6)*0.7+(AC6+J6+P6)*0.3)*(Q6/7)^0.5</f>
        <v>13.888720271225703</v>
      </c>
      <c r="AK6" s="316">
        <f t="shared" ref="AK6:AK24" si="16">(0.5*(AC6+P6+J6)+ 0.3*(AD6+P6+J6))/10</f>
        <v>0.89361148502935117</v>
      </c>
      <c r="AL6" s="316">
        <f t="shared" ref="AL6:AL24" si="17">(0.4*(Y6+P6+J6)+0.3*(AD6+P6+J6))/10</f>
        <v>1.0991183827340154</v>
      </c>
      <c r="AM6" s="311">
        <f t="shared" ref="AM6:AM24" si="18">(AD6+P6+(LOG(I6)*4/3))*(Q6/7)^0.5</f>
        <v>17.098368120495877</v>
      </c>
      <c r="AN6" s="311">
        <f t="shared" ref="AN6:AN24" si="19">(AD6+P6+(LOG(I6)*4/3))*(IF(Q6=7, (Q6/7)^0.5, ((Q6+1)/7)^0.5))</f>
        <v>18.468348359142858</v>
      </c>
      <c r="AO6" s="446">
        <v>4</v>
      </c>
      <c r="AP6" s="446">
        <v>3</v>
      </c>
      <c r="AQ6" s="591">
        <f t="shared" ref="AQ6:AQ24" si="20">IF(AO6=4,IF(AP6=0,0.137+0.0697,0.137+0.02),IF(AO6=3,IF(AP6=0,0.0958+0.0697,0.0958+0.02),IF(AO6=2,IF(AP6=0,0.0415+0.0697,0.0415+0.02),IF(AO6=1,IF(AP6=0,0.0294+0.0697,0.0294+0.02),IF(AO6=0,IF(AP6=0,0.0063+0.0697,0.0063+0.02))))))</f>
        <v>0.157</v>
      </c>
      <c r="AR6" s="263">
        <v>1840</v>
      </c>
      <c r="AS6">
        <f t="shared" ref="AS6:AS24" si="21">AR6</f>
        <v>1840</v>
      </c>
      <c r="AT6" s="390">
        <f t="shared" ref="AT6:AT23" si="22">AS6-T6</f>
        <v>0</v>
      </c>
    </row>
    <row r="7" spans="1:46" s="248" customFormat="1" x14ac:dyDescent="0.25">
      <c r="A7" s="384" t="s">
        <v>582</v>
      </c>
      <c r="B7" s="384" t="s">
        <v>2</v>
      </c>
      <c r="C7" s="385">
        <f t="shared" ca="1" si="4"/>
        <v>3.6517857142857144</v>
      </c>
      <c r="D7" s="658" t="s">
        <v>857</v>
      </c>
      <c r="E7" s="387">
        <v>30</v>
      </c>
      <c r="F7" s="395">
        <f ca="1">82-41471+$D$1-112-112-112-112-112-112-112-112-112-112-112+3-112-112-112-112</f>
        <v>39</v>
      </c>
      <c r="G7" s="388" t="s">
        <v>502</v>
      </c>
      <c r="H7" s="394">
        <v>2</v>
      </c>
      <c r="I7" s="308">
        <v>14.1</v>
      </c>
      <c r="J7" s="487">
        <f t="shared" si="5"/>
        <v>1.5719692630575592</v>
      </c>
      <c r="K7" s="303">
        <f>(H7)*(H7)*(I7)</f>
        <v>56.4</v>
      </c>
      <c r="L7" s="303">
        <f>(H7+1)*(H7+1)*I7</f>
        <v>126.89999999999999</v>
      </c>
      <c r="M7" s="389">
        <v>7.7</v>
      </c>
      <c r="N7" s="446">
        <f>M7*10+19</f>
        <v>96</v>
      </c>
      <c r="O7" s="678">
        <v>42716</v>
      </c>
      <c r="P7" s="679">
        <f ca="1">IF((TODAY()-O7)&gt;335,1,((TODAY()-O7)^0.64)/(336^0.64))</f>
        <v>1</v>
      </c>
      <c r="Q7" s="446">
        <v>6</v>
      </c>
      <c r="R7" s="501">
        <f>(Q7/7)^0.5</f>
        <v>0.92582009977255142</v>
      </c>
      <c r="S7" s="501">
        <f>IF(Q7=7,1,((Q7+0.99)/7)^0.5)</f>
        <v>0.99928545900129484</v>
      </c>
      <c r="T7" s="324">
        <v>246550</v>
      </c>
      <c r="U7" s="627">
        <f t="shared" si="2"/>
        <v>12790</v>
      </c>
      <c r="V7" s="324">
        <v>29520</v>
      </c>
      <c r="W7" s="316">
        <f>T7/V7</f>
        <v>8.3519647696476973</v>
      </c>
      <c r="X7" s="486">
        <v>0</v>
      </c>
      <c r="Y7" s="487">
        <f>14+1/20+1/20+1/20+1/20+1/20+1/20</f>
        <v>14.300000000000004</v>
      </c>
      <c r="Z7" s="486">
        <f>9+1/9*0.5+1/9*0.16+0.1*0.5+0.1*0.5+0.1*0.5+0.01+0.1*0.5+0.1*0.16+0.01+0.01</f>
        <v>9.3193333333333346</v>
      </c>
      <c r="AA7" s="487">
        <f>14+1/12*0.5+1/12*0.5+1/12*0.5+1/12*0.5+1/12*0.5+1/12*0.5+1/12*0.5</f>
        <v>14.291666666666663</v>
      </c>
      <c r="AB7" s="486">
        <f>8.45+0.15+0.15+0.02+0.12+0.12+0.11+0.01+0.08+0.07+0.07+0.07</f>
        <v>9.4199999999999982</v>
      </c>
      <c r="AC7" s="487">
        <f>1+1/7</f>
        <v>1.1428571428571428</v>
      </c>
      <c r="AD7" s="486">
        <f>9+0.4</f>
        <v>9.4</v>
      </c>
      <c r="AE7" s="324">
        <v>1902</v>
      </c>
      <c r="AF7" s="604">
        <f t="shared" ca="1" si="11"/>
        <v>11.009206956216216</v>
      </c>
      <c r="AG7" s="604">
        <f t="shared" ca="1" si="12"/>
        <v>11.891302596390894</v>
      </c>
      <c r="AH7" s="316">
        <f t="shared" ca="1" si="13"/>
        <v>4.7281525782087508</v>
      </c>
      <c r="AI7" s="316">
        <f t="shared" ca="1" si="14"/>
        <v>4.7690798026517891</v>
      </c>
      <c r="AJ7" s="316">
        <f t="shared" ca="1" si="15"/>
        <v>8.7905011304470033</v>
      </c>
      <c r="AK7" s="316">
        <f t="shared" ca="1" si="16"/>
        <v>0.54490039818746183</v>
      </c>
      <c r="AL7" s="316">
        <f t="shared" ca="1" si="17"/>
        <v>1.0340378484140296</v>
      </c>
      <c r="AM7" s="311">
        <f t="shared" ca="1" si="18"/>
        <v>11.047155909020038</v>
      </c>
      <c r="AN7" s="311">
        <f t="shared" ca="1" si="19"/>
        <v>11.932292150207173</v>
      </c>
      <c r="AO7" s="446">
        <v>1</v>
      </c>
      <c r="AP7" s="446">
        <v>2</v>
      </c>
      <c r="AQ7" s="591">
        <f>IF(AO7=4,IF(AP7=0,0.137+0.0697,0.137+0.02),IF(AO7=3,IF(AP7=0,0.0958+0.0697,0.0958+0.02),IF(AO7=2,IF(AP7=0,0.0415+0.0697,0.0415+0.02),IF(AO7=1,IF(AP7=0,0.0294+0.0697,0.0294+0.02),IF(AO7=0,IF(AP7=0,0.0063+0.0697,0.0063+0.02))))))</f>
        <v>4.9399999999999999E-2</v>
      </c>
      <c r="AR7" s="248">
        <v>233760</v>
      </c>
      <c r="AS7">
        <f t="shared" si="21"/>
        <v>233760</v>
      </c>
      <c r="AT7" s="390">
        <f t="shared" si="22"/>
        <v>-12790</v>
      </c>
    </row>
    <row r="8" spans="1:46" s="254" customFormat="1" x14ac:dyDescent="0.25">
      <c r="A8" s="305" t="s">
        <v>412</v>
      </c>
      <c r="B8" s="260" t="s">
        <v>2</v>
      </c>
      <c r="C8" s="385">
        <f t="shared" ca="1" si="4"/>
        <v>2.25</v>
      </c>
      <c r="D8" s="659" t="s">
        <v>275</v>
      </c>
      <c r="E8" s="210">
        <v>31</v>
      </c>
      <c r="F8" s="211">
        <f ca="1">18-41471+$D$1-112-112-112-112-112-112-112-112-112-112-112-112-112-112</f>
        <v>84</v>
      </c>
      <c r="G8" s="262" t="s">
        <v>502</v>
      </c>
      <c r="H8" s="394">
        <v>4</v>
      </c>
      <c r="I8" s="214">
        <v>7.5</v>
      </c>
      <c r="J8" s="487">
        <f t="shared" si="5"/>
        <v>1.2392252342857237</v>
      </c>
      <c r="K8" s="303">
        <f t="shared" si="6"/>
        <v>120</v>
      </c>
      <c r="L8" s="303">
        <f t="shared" si="7"/>
        <v>187.5</v>
      </c>
      <c r="M8" s="296">
        <v>6.7</v>
      </c>
      <c r="N8" s="446">
        <f t="shared" si="8"/>
        <v>86</v>
      </c>
      <c r="O8" s="446" t="s">
        <v>557</v>
      </c>
      <c r="P8" s="679">
        <v>1.5</v>
      </c>
      <c r="Q8" s="447">
        <v>6</v>
      </c>
      <c r="R8" s="501">
        <f t="shared" si="9"/>
        <v>0.92582009977255142</v>
      </c>
      <c r="S8" s="501">
        <f t="shared" si="10"/>
        <v>0.99928545900129484</v>
      </c>
      <c r="T8" s="628">
        <v>19520</v>
      </c>
      <c r="U8" s="627">
        <f t="shared" si="2"/>
        <v>4630</v>
      </c>
      <c r="V8" s="628">
        <v>3510</v>
      </c>
      <c r="W8" s="316">
        <f t="shared" si="3"/>
        <v>5.5612535612535616</v>
      </c>
      <c r="X8" s="486">
        <v>0</v>
      </c>
      <c r="Y8" s="487">
        <f>11+1/15*0.16+1/15</f>
        <v>11.077333333333334</v>
      </c>
      <c r="Z8" s="486">
        <f>4.61+0.04+0.04+0.04+0.04+0.25+0.14+0.13+0.13+0.12+0.12+0.12+0.04*55/90+0.025+0.13+0.02+0.02+0.02+0.02+0.02+0.01+0.01+0.01+0.12*0.5+0.01+0.02+0.01+0.01</f>
        <v>6.199444444444441</v>
      </c>
      <c r="AA8" s="487">
        <f>5.98+0.12*0.5</f>
        <v>6.04</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8.2756000537958414</v>
      </c>
      <c r="AG8" s="604">
        <f t="shared" si="12"/>
        <v>8.9386696787301645</v>
      </c>
      <c r="AH8" s="316">
        <f t="shared" si="13"/>
        <v>4.0204391220606386</v>
      </c>
      <c r="AI8" s="316">
        <f t="shared" si="14"/>
        <v>13.121204899853417</v>
      </c>
      <c r="AJ8" s="316">
        <f t="shared" si="15"/>
        <v>13.701420182962865</v>
      </c>
      <c r="AK8" s="316">
        <f t="shared" si="16"/>
        <v>0.89880468540952452</v>
      </c>
      <c r="AL8" s="316">
        <f t="shared" si="17"/>
        <v>1.0953390997333341</v>
      </c>
      <c r="AM8" s="311">
        <f t="shared" si="18"/>
        <v>16.680267756074688</v>
      </c>
      <c r="AN8" s="311">
        <f t="shared" si="19"/>
        <v>18.01674835118893</v>
      </c>
      <c r="AO8" s="447">
        <v>2</v>
      </c>
      <c r="AP8" s="447">
        <v>3</v>
      </c>
      <c r="AQ8" s="591">
        <f t="shared" si="20"/>
        <v>6.1499999999999999E-2</v>
      </c>
      <c r="AR8" s="254">
        <v>14890</v>
      </c>
      <c r="AS8">
        <f t="shared" si="21"/>
        <v>14890</v>
      </c>
      <c r="AT8" s="390">
        <f t="shared" si="22"/>
        <v>-4630</v>
      </c>
    </row>
    <row r="9" spans="1:46" s="246" customFormat="1" x14ac:dyDescent="0.25">
      <c r="A9" s="384" t="s">
        <v>504</v>
      </c>
      <c r="B9" s="384" t="s">
        <v>2</v>
      </c>
      <c r="C9" s="385">
        <f t="shared" ca="1" si="4"/>
        <v>2.6607142857142856</v>
      </c>
      <c r="D9" s="658" t="s">
        <v>269</v>
      </c>
      <c r="E9" s="387">
        <v>31</v>
      </c>
      <c r="F9" s="395">
        <f ca="1">84-41471+$D$1-112-112-112-112-112-112-112-112-112-112-112-112-112-112-112</f>
        <v>38</v>
      </c>
      <c r="G9" s="388"/>
      <c r="H9" s="394">
        <v>4</v>
      </c>
      <c r="I9" s="308">
        <v>12.2</v>
      </c>
      <c r="J9" s="487">
        <f t="shared" si="5"/>
        <v>1.4940985749411331</v>
      </c>
      <c r="K9" s="303">
        <f t="shared" si="6"/>
        <v>195.2</v>
      </c>
      <c r="L9" s="303">
        <f t="shared" si="7"/>
        <v>305</v>
      </c>
      <c r="M9" s="389">
        <v>7.3</v>
      </c>
      <c r="N9" s="446">
        <f t="shared" si="8"/>
        <v>92</v>
      </c>
      <c r="O9" s="446" t="s">
        <v>557</v>
      </c>
      <c r="P9" s="679">
        <v>1.5</v>
      </c>
      <c r="Q9" s="446">
        <v>5</v>
      </c>
      <c r="R9" s="501">
        <f t="shared" si="9"/>
        <v>0.84515425472851657</v>
      </c>
      <c r="S9" s="501">
        <f t="shared" si="10"/>
        <v>0.92504826128926143</v>
      </c>
      <c r="T9" s="324">
        <v>116950</v>
      </c>
      <c r="U9" s="627">
        <f t="shared" si="2"/>
        <v>60</v>
      </c>
      <c r="V9" s="324">
        <v>14670</v>
      </c>
      <c r="W9" s="316">
        <f t="shared" si="3"/>
        <v>7.9720518064076344</v>
      </c>
      <c r="X9" s="486">
        <v>0</v>
      </c>
      <c r="Y9" s="487">
        <f>9.9+0.14+0.14+0.14+0.14+0.13+0.13+0.13+0.12+0.12+0.09+0.09+0.09+0.09+0.08+0.08+0.08+0.08+0.08+0.07+0.07+0.07+0.07+0.07</f>
        <v>12.200000000000005</v>
      </c>
      <c r="Z9" s="486">
        <f>10.72+0.15+0.15+0.15+0.14+0.14+0.11+0.11+0.11+0.11+0.11+0.11+0.11+0.11*0.5+0.11*0.5+0.11*0.5+0.1+0.1*0.5+0.1*0.5+0.1*0.5+0.1*0.16+0.09+0.08+0.08+0.08*0.5+0.08+1/18+0.08*0.5+0.08*0.5</f>
        <v>13.156555555555553</v>
      </c>
      <c r="AA9" s="487">
        <f>8.8+0.14+0.14+0.14+0.13+0.12*0.5+0.12*0.5+0.12*0.5+0.12*0.5+0.12*0.5+0.12*0.5+0.11</f>
        <v>9.8200000000000056</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13.649794055037965</v>
      </c>
      <c r="AG9" s="604">
        <f t="shared" si="12"/>
        <v>14.952600218488412</v>
      </c>
      <c r="AH9" s="316">
        <f t="shared" si="13"/>
        <v>4.26615863094246</v>
      </c>
      <c r="AI9" s="316">
        <f t="shared" si="14"/>
        <v>12.063564740827296</v>
      </c>
      <c r="AJ9" s="316">
        <f t="shared" si="15"/>
        <v>13.301074018934147</v>
      </c>
      <c r="AK9" s="316">
        <f t="shared" si="16"/>
        <v>0.92244455266195724</v>
      </c>
      <c r="AL9" s="316">
        <f t="shared" si="17"/>
        <v>1.1964202335792127</v>
      </c>
      <c r="AM9" s="311">
        <f t="shared" si="18"/>
        <v>16.544957361743155</v>
      </c>
      <c r="AN9" s="311">
        <f t="shared" si="19"/>
        <v>18.124092719975774</v>
      </c>
      <c r="AO9" s="446">
        <v>2</v>
      </c>
      <c r="AP9" s="446">
        <v>3</v>
      </c>
      <c r="AQ9" s="591">
        <f t="shared" si="20"/>
        <v>6.1499999999999999E-2</v>
      </c>
      <c r="AR9" s="246">
        <v>116890</v>
      </c>
      <c r="AS9">
        <f t="shared" si="21"/>
        <v>116890</v>
      </c>
      <c r="AT9" s="390">
        <f t="shared" si="22"/>
        <v>-60</v>
      </c>
    </row>
    <row r="10" spans="1:46" s="247" customFormat="1" x14ac:dyDescent="0.25">
      <c r="A10" s="384" t="s">
        <v>405</v>
      </c>
      <c r="B10" s="260" t="s">
        <v>2</v>
      </c>
      <c r="C10" s="385">
        <f t="shared" ca="1" si="4"/>
        <v>2.7946428571428572</v>
      </c>
      <c r="D10" s="659" t="s">
        <v>273</v>
      </c>
      <c r="E10" s="210">
        <v>31</v>
      </c>
      <c r="F10" s="211">
        <f ca="1">69-41471+$D$1-112-112-112-112-112-112-112-112-112-112-112-112-112-112-112</f>
        <v>23</v>
      </c>
      <c r="G10" s="262"/>
      <c r="H10" s="371">
        <v>3</v>
      </c>
      <c r="I10" s="214">
        <v>9.3000000000000007</v>
      </c>
      <c r="J10" s="487">
        <f t="shared" si="5"/>
        <v>1.3504496329402296</v>
      </c>
      <c r="K10" s="303">
        <f t="shared" si="6"/>
        <v>83.7</v>
      </c>
      <c r="L10" s="303">
        <f t="shared" si="7"/>
        <v>148.80000000000001</v>
      </c>
      <c r="M10" s="296">
        <v>7.1</v>
      </c>
      <c r="N10" s="446">
        <f t="shared" si="8"/>
        <v>90</v>
      </c>
      <c r="O10" s="446" t="s">
        <v>557</v>
      </c>
      <c r="P10" s="679">
        <v>1.5</v>
      </c>
      <c r="Q10" s="447">
        <v>7</v>
      </c>
      <c r="R10" s="501">
        <f t="shared" si="9"/>
        <v>1</v>
      </c>
      <c r="S10" s="501">
        <f t="shared" si="10"/>
        <v>1</v>
      </c>
      <c r="T10" s="324">
        <v>40140</v>
      </c>
      <c r="U10" s="627">
        <f t="shared" si="2"/>
        <v>600</v>
      </c>
      <c r="V10" s="628">
        <v>5350</v>
      </c>
      <c r="W10" s="316">
        <f t="shared" si="3"/>
        <v>7.5028037383177573</v>
      </c>
      <c r="X10" s="486">
        <v>0</v>
      </c>
      <c r="Y10" s="487">
        <f>9.15+0.15+0.15+0.15+0.15+0.15+0.15+0.15+0.15+0.15+0.12+0.12+0.12+0.12+0.12+0.1+0.1+0.1+0.1+0.1+0.1+0.1+0.1+0.1</f>
        <v>11.999999999999996</v>
      </c>
      <c r="Z10" s="486">
        <f>5.99+0.04+0.04+(0.04/90*75)+(0.25*15/90)+0.03+0.03+(0.03*20/90)+0.03+0.03+(0.22*0.5*30/90)+(0.22/16*60/90)+0.03+0.03+0.22*0.5+0.2*0.5+0.03+0.22*0.5+0.03+0.03+0.03+0.01+0.01+0.01+0.01+0.01+1/8*0.5+0.01+1/8*0.5</f>
        <v>7.0025000000000022</v>
      </c>
      <c r="AA10" s="487">
        <f>6.18+0.2+0.2+0.2+0.15*0.5+0.15*0.5+0.15*0.5+0.15*0.5+0.14*0.5+0.14*0.5+0.14+0.14*0.5</f>
        <v>7.4300000000000015</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9.8529496329402306</v>
      </c>
      <c r="AG10" s="604">
        <f t="shared" si="12"/>
        <v>9.8529496329402306</v>
      </c>
      <c r="AH10" s="316">
        <f t="shared" si="13"/>
        <v>4.8239186123525855</v>
      </c>
      <c r="AI10" s="316">
        <f t="shared" si="14"/>
        <v>14.948693688797904</v>
      </c>
      <c r="AJ10" s="316">
        <f t="shared" si="15"/>
        <v>15.156449632940229</v>
      </c>
      <c r="AK10" s="316">
        <f t="shared" si="16"/>
        <v>0.92703597063521814</v>
      </c>
      <c r="AL10" s="316">
        <f t="shared" si="17"/>
        <v>1.147531474305816</v>
      </c>
      <c r="AM10" s="311">
        <f t="shared" si="18"/>
        <v>18.391310598071914</v>
      </c>
      <c r="AN10" s="311">
        <f t="shared" si="19"/>
        <v>18.391310598071914</v>
      </c>
      <c r="AO10" s="447">
        <v>3</v>
      </c>
      <c r="AP10" s="447">
        <v>2</v>
      </c>
      <c r="AQ10" s="591">
        <f t="shared" si="20"/>
        <v>0.1158</v>
      </c>
      <c r="AR10" s="247">
        <v>39540</v>
      </c>
      <c r="AS10">
        <f t="shared" si="21"/>
        <v>39540</v>
      </c>
      <c r="AT10" s="390">
        <f t="shared" si="22"/>
        <v>-600</v>
      </c>
    </row>
    <row r="11" spans="1:46" s="264" customFormat="1" x14ac:dyDescent="0.25">
      <c r="A11" s="304" t="s">
        <v>495</v>
      </c>
      <c r="B11" s="260" t="s">
        <v>2</v>
      </c>
      <c r="C11" s="385">
        <f t="shared" ca="1" si="4"/>
        <v>6.5892857142857144</v>
      </c>
      <c r="D11" s="659" t="s">
        <v>567</v>
      </c>
      <c r="E11" s="210">
        <v>27</v>
      </c>
      <c r="F11" s="211">
        <f ca="1">75-41471+$D$1-24-112-10-112-112+6-112-112-112+45-112-112-112-112-112-112-112-112-112</f>
        <v>46</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6</v>
      </c>
      <c r="R11" s="501">
        <f t="shared" si="9"/>
        <v>0.92582009977255142</v>
      </c>
      <c r="S11" s="501">
        <f t="shared" si="10"/>
        <v>0.99928545900129484</v>
      </c>
      <c r="T11" s="628">
        <v>37770</v>
      </c>
      <c r="U11" s="627">
        <f t="shared" si="2"/>
        <v>-1460</v>
      </c>
      <c r="V11" s="628">
        <v>2510</v>
      </c>
      <c r="W11" s="316">
        <f t="shared" si="3"/>
        <v>15.047808764940239</v>
      </c>
      <c r="X11" s="486">
        <v>0</v>
      </c>
      <c r="Y11" s="487">
        <f>6.51+0.25+0.25+0.25+0.2+0.2+0.2+0.2+0.19+0.19+0.17+0.16+0.16+0.03+0.16+0.15*33/90+0.14+0.13+0.13*36/90+0.02+0.12*32/90+0.02+0.02+0.15*3/90</f>
        <v>9.6046666666666667</v>
      </c>
      <c r="Z11" s="486">
        <f>6.92+0.04+0.04+0.04+0.13+0.04+0.03+0.03+(0.25*30/90*0.5)+(0.25*60/90*0.16)+0.03+0.03+0.25*0.5*1/90+0.026+0.03+0.03+0.03+0.03+0.25*0.5+0.02+0.02+0.02+0.01+0.01</f>
        <v>7.7507222222222225</v>
      </c>
      <c r="AA11" s="487">
        <f>5.8+0.05+0.05+0.05+0.05+0.04+0.04+0.03+0.02+0.02</f>
        <v>6.1499999999999986</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9.516064952517139</v>
      </c>
      <c r="AG11" s="604">
        <f t="shared" si="12"/>
        <v>10.278524904411748</v>
      </c>
      <c r="AH11" s="316">
        <f t="shared" si="13"/>
        <v>4.0405961684842016</v>
      </c>
      <c r="AI11" s="316">
        <f t="shared" si="14"/>
        <v>9.8821106844932327</v>
      </c>
      <c r="AJ11" s="316">
        <f t="shared" si="15"/>
        <v>11.824597371299996</v>
      </c>
      <c r="AK11" s="316">
        <f t="shared" si="16"/>
        <v>0.7622242145751621</v>
      </c>
      <c r="AL11" s="316">
        <f t="shared" si="17"/>
        <v>0.95829952108660021</v>
      </c>
      <c r="AM11" s="311">
        <f t="shared" si="18"/>
        <v>14.497556119880491</v>
      </c>
      <c r="AN11" s="311">
        <f t="shared" si="19"/>
        <v>15.659150328926907</v>
      </c>
      <c r="AO11" s="447">
        <v>3</v>
      </c>
      <c r="AP11" s="447">
        <v>2</v>
      </c>
      <c r="AQ11" s="591">
        <f t="shared" si="20"/>
        <v>0.1158</v>
      </c>
      <c r="AR11" s="264">
        <v>39230</v>
      </c>
      <c r="AS11">
        <f t="shared" si="21"/>
        <v>39230</v>
      </c>
      <c r="AT11" s="390">
        <f t="shared" si="22"/>
        <v>1460</v>
      </c>
    </row>
    <row r="12" spans="1:46" s="264" customFormat="1" x14ac:dyDescent="0.25">
      <c r="A12" s="384" t="s">
        <v>408</v>
      </c>
      <c r="B12" s="384" t="s">
        <v>65</v>
      </c>
      <c r="C12" s="385">
        <f t="shared" ca="1" si="4"/>
        <v>3</v>
      </c>
      <c r="D12" s="658" t="s">
        <v>817</v>
      </c>
      <c r="E12" s="387">
        <v>31</v>
      </c>
      <c r="F12" s="211">
        <f ca="1">46-41471+$D$1-112-112-112-112-112-112-112-112-112-112-112-112-112-112-112</f>
        <v>0</v>
      </c>
      <c r="G12" s="388" t="s">
        <v>271</v>
      </c>
      <c r="H12" s="371">
        <v>0</v>
      </c>
      <c r="I12" s="308">
        <v>12.3</v>
      </c>
      <c r="J12" s="487">
        <f t="shared" si="5"/>
        <v>1.4984688546227811</v>
      </c>
      <c r="K12" s="303">
        <f t="shared" si="6"/>
        <v>0</v>
      </c>
      <c r="L12" s="303">
        <f t="shared" si="7"/>
        <v>12.3</v>
      </c>
      <c r="M12" s="389">
        <v>7.4</v>
      </c>
      <c r="N12" s="446">
        <f t="shared" si="8"/>
        <v>93</v>
      </c>
      <c r="O12" s="446" t="s">
        <v>557</v>
      </c>
      <c r="P12" s="679">
        <v>1.5</v>
      </c>
      <c r="Q12" s="446">
        <v>4</v>
      </c>
      <c r="R12" s="501">
        <f t="shared" si="9"/>
        <v>0.7559289460184544</v>
      </c>
      <c r="S12" s="501">
        <f t="shared" si="10"/>
        <v>0.84430867747355465</v>
      </c>
      <c r="T12" s="324">
        <v>169900</v>
      </c>
      <c r="U12" s="627">
        <f t="shared" si="2"/>
        <v>-13880</v>
      </c>
      <c r="V12" s="324">
        <v>14850</v>
      </c>
      <c r="W12" s="316">
        <f t="shared" si="3"/>
        <v>11.441077441077441</v>
      </c>
      <c r="X12" s="486">
        <v>0</v>
      </c>
      <c r="Y12" s="487">
        <f>11.95+1/18+1/18</f>
        <v>12.06111111111111</v>
      </c>
      <c r="Z12" s="486">
        <f>9.9+0.17+(0.17/90*26)+0.17+0.15+0.15+0.15+0.13+0.13+(1/8)+0.13+0.13+0.13*0.5+0.11+0.11+0.11*0.5+0.11*0.5+0.1*0.5+0.1*0.5+0.1+0.1+0.1*0.5+0.09+0.09*0.5+0.09*0.5+0.09*0.5+0.09*0.5+0.09*0.5+0.09*0.5+0.09*0.5</f>
        <v>12.534111111111114</v>
      </c>
      <c r="AA12" s="487">
        <f>13.05+1/12</f>
        <v>13.133333333333335</v>
      </c>
      <c r="AB12" s="486">
        <f>10.7+0.07+0.07+0.07</f>
        <v>10.91</v>
      </c>
      <c r="AC12" s="487">
        <f>5.71+0.29+0.29+0.29+0.25+0.25+0.2+0.2+0.2+0.015+0.15*0.5</f>
        <v>7.7700000000000005</v>
      </c>
      <c r="AD12" s="486">
        <f>10.8+0.67+0.55+0.55+0.45+0.45+0.4+0.4+0.35+0.35+0.33+0.33+0.3+0.3+0.25+0.25+0.2+0.2</f>
        <v>17.13</v>
      </c>
      <c r="AE12" s="324">
        <v>2204</v>
      </c>
      <c r="AF12" s="604">
        <f t="shared" si="11"/>
        <v>11.741526802444584</v>
      </c>
      <c r="AG12" s="604">
        <f t="shared" si="12"/>
        <v>13.127426044950917</v>
      </c>
      <c r="AH12" s="316">
        <f t="shared" si="13"/>
        <v>4.0514501018736064</v>
      </c>
      <c r="AI12" s="316">
        <f t="shared" si="14"/>
        <v>16.136298282794442</v>
      </c>
      <c r="AJ12" s="316">
        <f t="shared" si="15"/>
        <v>13.093043765820465</v>
      </c>
      <c r="AK12" s="316">
        <f t="shared" si="16"/>
        <v>1.1422775083698222</v>
      </c>
      <c r="AL12" s="316">
        <f t="shared" si="17"/>
        <v>1.206237264268039</v>
      </c>
      <c r="AM12" s="311">
        <f t="shared" si="18"/>
        <v>15.181477360524486</v>
      </c>
      <c r="AN12" s="311">
        <f t="shared" si="19"/>
        <v>16.973407688503418</v>
      </c>
      <c r="AO12" s="446">
        <v>1</v>
      </c>
      <c r="AP12" s="446">
        <v>2</v>
      </c>
      <c r="AQ12" s="591">
        <f t="shared" si="20"/>
        <v>4.9399999999999999E-2</v>
      </c>
      <c r="AR12" s="264">
        <v>183780</v>
      </c>
      <c r="AS12">
        <f t="shared" si="21"/>
        <v>183780</v>
      </c>
      <c r="AT12" s="390">
        <f t="shared" si="22"/>
        <v>13880</v>
      </c>
    </row>
    <row r="13" spans="1:46" s="254" customFormat="1" x14ac:dyDescent="0.25">
      <c r="A13" s="384" t="s">
        <v>410</v>
      </c>
      <c r="B13" s="384" t="s">
        <v>65</v>
      </c>
      <c r="C13" s="385">
        <f t="shared" ca="1" si="4"/>
        <v>3.4732142857142856</v>
      </c>
      <c r="D13" s="658" t="s">
        <v>298</v>
      </c>
      <c r="E13" s="387">
        <v>30</v>
      </c>
      <c r="F13" s="395">
        <f ca="1">75-41471+$D$1-24-112-10-112-40-8-112-112-112-112-112-112-112-112-112-112-112-112</f>
        <v>59</v>
      </c>
      <c r="G13" s="388" t="s">
        <v>268</v>
      </c>
      <c r="H13" s="371">
        <v>2</v>
      </c>
      <c r="I13" s="308">
        <v>10.3</v>
      </c>
      <c r="J13" s="487">
        <f t="shared" si="5"/>
        <v>1.4041045913112262</v>
      </c>
      <c r="K13" s="303">
        <f t="shared" si="6"/>
        <v>41.2</v>
      </c>
      <c r="L13" s="303">
        <f t="shared" si="7"/>
        <v>92.7</v>
      </c>
      <c r="M13" s="389">
        <v>7.6</v>
      </c>
      <c r="N13" s="446">
        <f t="shared" si="8"/>
        <v>95</v>
      </c>
      <c r="O13" s="446" t="s">
        <v>557</v>
      </c>
      <c r="P13" s="679">
        <v>1.5</v>
      </c>
      <c r="Q13" s="446">
        <v>6</v>
      </c>
      <c r="R13" s="501">
        <f t="shared" si="9"/>
        <v>0.92582009977255142</v>
      </c>
      <c r="S13" s="501">
        <f t="shared" si="10"/>
        <v>0.99928545900129484</v>
      </c>
      <c r="T13" s="324">
        <v>109500</v>
      </c>
      <c r="U13" s="627">
        <f t="shared" si="2"/>
        <v>12000</v>
      </c>
      <c r="V13" s="324">
        <v>10060</v>
      </c>
      <c r="W13" s="316">
        <f t="shared" si="3"/>
        <v>10.884691848906561</v>
      </c>
      <c r="X13" s="486">
        <v>0</v>
      </c>
      <c r="Y13" s="487">
        <f>7+0.11+0.11+1/33</f>
        <v>7.2503030303030309</v>
      </c>
      <c r="Z13" s="486">
        <f>10+0.1*0.5+0.1*0.5+0.1*0.5+0.1*0.5+0.1*0.5+0.1+0.1+0.1*0.5</f>
        <v>10.500000000000004</v>
      </c>
      <c r="AA13" s="487">
        <f>12+0.165+0.15+0.15+0.15+0.13+0.13+0.12+0.11+0.1+0.1+1/12</f>
        <v>13.388333333333334</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12.409789450089477</v>
      </c>
      <c r="AG13" s="604">
        <f t="shared" si="12"/>
        <v>13.40410459131123</v>
      </c>
      <c r="AH13" s="316">
        <f t="shared" si="13"/>
        <v>4.2451879937020864</v>
      </c>
      <c r="AI13" s="316">
        <f t="shared" si="14"/>
        <v>16.021660441729381</v>
      </c>
      <c r="AJ13" s="316">
        <f t="shared" si="15"/>
        <v>15.401577102504476</v>
      </c>
      <c r="AK13" s="316">
        <f t="shared" si="16"/>
        <v>1.0215783673048981</v>
      </c>
      <c r="AL13" s="316">
        <f t="shared" si="17"/>
        <v>1.0122994426039071</v>
      </c>
      <c r="AM13" s="311">
        <f t="shared" si="18"/>
        <v>18.6556912896305</v>
      </c>
      <c r="AN13" s="311">
        <f t="shared" si="19"/>
        <v>20.150449632940234</v>
      </c>
      <c r="AO13" s="446">
        <v>4</v>
      </c>
      <c r="AP13" s="446">
        <v>4</v>
      </c>
      <c r="AQ13" s="591">
        <f t="shared" si="20"/>
        <v>0.157</v>
      </c>
      <c r="AR13" s="254">
        <v>97500</v>
      </c>
      <c r="AS13">
        <f t="shared" si="21"/>
        <v>97500</v>
      </c>
      <c r="AT13" s="390">
        <f t="shared" si="22"/>
        <v>-12000</v>
      </c>
    </row>
    <row r="14" spans="1:46" s="263" customFormat="1" x14ac:dyDescent="0.25">
      <c r="A14" s="384" t="s">
        <v>409</v>
      </c>
      <c r="B14" s="384" t="s">
        <v>65</v>
      </c>
      <c r="C14" s="385">
        <f t="shared" ca="1" si="4"/>
        <v>6.3392857142857144</v>
      </c>
      <c r="D14" s="658" t="s">
        <v>507</v>
      </c>
      <c r="E14" s="387">
        <v>27</v>
      </c>
      <c r="F14" s="211">
        <f ca="1">7-41471+$D$1-112-111-112+4-112-116-112-112-112-112-112-112-112-112-112</f>
        <v>74</v>
      </c>
      <c r="G14" s="388" t="s">
        <v>502</v>
      </c>
      <c r="H14" s="371">
        <v>2</v>
      </c>
      <c r="I14" s="308">
        <v>8.6999999999999993</v>
      </c>
      <c r="J14" s="487">
        <f t="shared" si="5"/>
        <v>1.3156956456883264</v>
      </c>
      <c r="K14" s="303">
        <f t="shared" si="6"/>
        <v>34.799999999999997</v>
      </c>
      <c r="L14" s="303">
        <f t="shared" si="7"/>
        <v>78.3</v>
      </c>
      <c r="M14" s="389">
        <v>7.9</v>
      </c>
      <c r="N14" s="446">
        <f t="shared" si="8"/>
        <v>98</v>
      </c>
      <c r="O14" s="446" t="s">
        <v>557</v>
      </c>
      <c r="P14" s="679">
        <v>1.5</v>
      </c>
      <c r="Q14" s="446">
        <v>4</v>
      </c>
      <c r="R14" s="501">
        <f t="shared" si="9"/>
        <v>0.7559289460184544</v>
      </c>
      <c r="S14" s="501">
        <f t="shared" si="10"/>
        <v>0.84430867747355465</v>
      </c>
      <c r="T14" s="324">
        <v>186010</v>
      </c>
      <c r="U14" s="627">
        <f t="shared" si="2"/>
        <v>-4040</v>
      </c>
      <c r="V14" s="324">
        <v>12550</v>
      </c>
      <c r="W14" s="316">
        <f t="shared" si="3"/>
        <v>14.821513944223108</v>
      </c>
      <c r="X14" s="486">
        <v>0</v>
      </c>
      <c r="Y14" s="487">
        <f>8+0.12+0.12+0.12</f>
        <v>8.3599999999999977</v>
      </c>
      <c r="Z14" s="486">
        <f>8.4+0.22+0.22+(0.22*75/90)+(0.05*15/90)+0.17+0.17+0.17+0.17+0.17+1/7+0.16+0.16+0.16+0.125+0.16+0.16+0.14+0.14+0.05*61/90+0.11+0.11*0.5+0.11+0.11+0.11+0.1+0.1+0.1*0.5+0.1*0.5+0.1</f>
        <v>12.158412698412699</v>
      </c>
      <c r="AA14" s="487">
        <f>10.6+0.21+0.2+0.18+0.17+0.17+0.03+0.15+0.15+0.14+0.13+0.12</f>
        <v>12.25</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11.31936193812243</v>
      </c>
      <c r="AG14" s="604">
        <f t="shared" si="12"/>
        <v>12.655431377782763</v>
      </c>
      <c r="AH14" s="316">
        <f t="shared" si="13"/>
        <v>3.5232985410542508</v>
      </c>
      <c r="AI14" s="316">
        <f t="shared" si="14"/>
        <v>14.689554503759226</v>
      </c>
      <c r="AJ14" s="316">
        <f t="shared" si="15"/>
        <v>11.904138971664581</v>
      </c>
      <c r="AK14" s="316">
        <f t="shared" si="16"/>
        <v>1.0571889849883995</v>
      </c>
      <c r="AL14" s="316">
        <f t="shared" si="17"/>
        <v>0.98959869519818289</v>
      </c>
      <c r="AM14" s="311">
        <f t="shared" si="18"/>
        <v>13.623874822590867</v>
      </c>
      <c r="AN14" s="311">
        <f t="shared" si="19"/>
        <v>15.231955110130535</v>
      </c>
      <c r="AO14" s="446">
        <v>3</v>
      </c>
      <c r="AP14" s="446">
        <v>2</v>
      </c>
      <c r="AQ14" s="591">
        <f t="shared" si="20"/>
        <v>0.1158</v>
      </c>
      <c r="AR14" s="263">
        <v>190050</v>
      </c>
      <c r="AS14">
        <f t="shared" si="21"/>
        <v>190050</v>
      </c>
      <c r="AT14" s="390">
        <f t="shared" si="22"/>
        <v>4040</v>
      </c>
    </row>
    <row r="15" spans="1:46" s="264" customFormat="1" x14ac:dyDescent="0.25">
      <c r="A15" s="384" t="s">
        <v>406</v>
      </c>
      <c r="B15" s="260" t="s">
        <v>64</v>
      </c>
      <c r="C15" s="385">
        <f t="shared" ca="1" si="4"/>
        <v>4.3660714285714288</v>
      </c>
      <c r="D15" s="659" t="s">
        <v>618</v>
      </c>
      <c r="E15" s="210">
        <v>29</v>
      </c>
      <c r="F15" s="211">
        <f ca="1">7-41471+$D$1-112-111-3-112-112-112-112-112-112-112-112-112-112-112-112</f>
        <v>71</v>
      </c>
      <c r="G15" s="388" t="s">
        <v>268</v>
      </c>
      <c r="H15" s="371">
        <v>3</v>
      </c>
      <c r="I15" s="214">
        <v>10.4</v>
      </c>
      <c r="J15" s="487">
        <f t="shared" si="5"/>
        <v>1.4092064684486303</v>
      </c>
      <c r="K15" s="303">
        <f t="shared" si="6"/>
        <v>93.600000000000009</v>
      </c>
      <c r="L15" s="303">
        <f t="shared" si="7"/>
        <v>166.4</v>
      </c>
      <c r="M15" s="296">
        <v>7.8</v>
      </c>
      <c r="N15" s="446">
        <f t="shared" si="8"/>
        <v>97</v>
      </c>
      <c r="O15" s="446" t="s">
        <v>557</v>
      </c>
      <c r="P15" s="679">
        <v>1.5</v>
      </c>
      <c r="Q15" s="447">
        <v>5</v>
      </c>
      <c r="R15" s="501">
        <f t="shared" si="9"/>
        <v>0.84515425472851657</v>
      </c>
      <c r="S15" s="501">
        <f t="shared" si="10"/>
        <v>0.92504826128926143</v>
      </c>
      <c r="T15" s="324">
        <v>212530</v>
      </c>
      <c r="U15" s="627">
        <f t="shared" si="2"/>
        <v>5840</v>
      </c>
      <c r="V15" s="628">
        <v>21080</v>
      </c>
      <c r="W15" s="316">
        <f t="shared" si="3"/>
        <v>10.082068311195446</v>
      </c>
      <c r="X15" s="486">
        <v>0</v>
      </c>
      <c r="Y15" s="487">
        <f>5.6+0.26+0.26+0.26+(0.26*23/90)+(0.05*(90-23)/90)+0.26+0.26+0.23+0.23+0.22+0.15+0.15+0.14+0.13+0.13+0.13+0.12+0.12+0.12+0.02+0.1+0.1+0.1+0.01+0.1</f>
        <v>9.3036666666666648</v>
      </c>
      <c r="Z15" s="486">
        <f>13+0.1+0.1+0.1+0.1+0.1+0.1+0.08+0.08</f>
        <v>13.759999999999998</v>
      </c>
      <c r="AA15" s="487">
        <f>11.58+0.17+(0.17/2)+0.17+0.15+0.03+0.15+0.14+0.13+0.12+0.11</f>
        <v>12.835000000000001</v>
      </c>
      <c r="AB15" s="486">
        <f>5.21+0.4+0.4+0.33+0.33+0.33+0.33+0.3+0.3+0.23+0.23+0.22*30/90+0.15+0.15+0.15+0.13+0.12+0.11+0.11+0.08+0.07+0.07+0.07</f>
        <v>9.6733333333333356</v>
      </c>
      <c r="AC15" s="487">
        <f>2.9+0.33+(0.33*46/90)+0.03+0.07+0.07+(0.33*33/90)+0.33+0.33+0.33+0.25+0.2*0.5</f>
        <v>5.0296666666666656</v>
      </c>
      <c r="AD15" s="486">
        <f>15+0.2</f>
        <v>15.2</v>
      </c>
      <c r="AE15" s="324">
        <v>1791</v>
      </c>
      <c r="AF15" s="604">
        <f t="shared" si="11"/>
        <v>14.088050769757468</v>
      </c>
      <c r="AG15" s="604">
        <f t="shared" si="12"/>
        <v>15.432686395748368</v>
      </c>
      <c r="AH15" s="316">
        <f t="shared" si="13"/>
        <v>3.9487669737670195</v>
      </c>
      <c r="AI15" s="316">
        <f t="shared" si="14"/>
        <v>13.132507954276599</v>
      </c>
      <c r="AJ15" s="316">
        <f t="shared" si="15"/>
        <v>12.726422749964355</v>
      </c>
      <c r="AK15" s="316">
        <f t="shared" si="16"/>
        <v>0.94021985080922366</v>
      </c>
      <c r="AL15" s="316">
        <f t="shared" si="17"/>
        <v>1.0317911194580707</v>
      </c>
      <c r="AM15" s="311">
        <f t="shared" si="18"/>
        <v>15.260142792511715</v>
      </c>
      <c r="AN15" s="311">
        <f t="shared" si="19"/>
        <v>16.716648876417086</v>
      </c>
      <c r="AO15" s="447">
        <v>3</v>
      </c>
      <c r="AP15" s="447">
        <v>3</v>
      </c>
      <c r="AQ15" s="591">
        <f t="shared" si="20"/>
        <v>0.1158</v>
      </c>
      <c r="AR15" s="264">
        <v>206690</v>
      </c>
      <c r="AS15">
        <f t="shared" si="21"/>
        <v>206690</v>
      </c>
      <c r="AT15" s="390">
        <f t="shared" si="22"/>
        <v>-5840</v>
      </c>
    </row>
    <row r="16" spans="1:46" x14ac:dyDescent="0.25">
      <c r="A16" s="305" t="s">
        <v>407</v>
      </c>
      <c r="B16" s="384" t="s">
        <v>64</v>
      </c>
      <c r="C16" s="385">
        <f t="shared" ca="1" si="4"/>
        <v>2.0625</v>
      </c>
      <c r="D16" s="658" t="s">
        <v>285</v>
      </c>
      <c r="E16" s="387">
        <v>31</v>
      </c>
      <c r="F16" s="395">
        <f ca="1">33-41471+$D$1-112+6-112-112-112-112-112-112-112-112-112-112-112-112-112</f>
        <v>105</v>
      </c>
      <c r="G16" s="388" t="s">
        <v>268</v>
      </c>
      <c r="H16" s="394">
        <v>4</v>
      </c>
      <c r="I16" s="308">
        <v>11</v>
      </c>
      <c r="J16" s="487">
        <f t="shared" si="5"/>
        <v>1.4389083280634998</v>
      </c>
      <c r="K16" s="303">
        <f t="shared" si="6"/>
        <v>176</v>
      </c>
      <c r="L16" s="303">
        <f t="shared" si="7"/>
        <v>275</v>
      </c>
      <c r="M16" s="389">
        <v>7.1</v>
      </c>
      <c r="N16" s="446">
        <f t="shared" si="8"/>
        <v>90</v>
      </c>
      <c r="O16" s="446" t="s">
        <v>557</v>
      </c>
      <c r="P16" s="679">
        <v>1.5</v>
      </c>
      <c r="Q16" s="446">
        <v>5</v>
      </c>
      <c r="R16" s="501">
        <f t="shared" si="9"/>
        <v>0.84515425472851657</v>
      </c>
      <c r="S16" s="501">
        <f t="shared" si="10"/>
        <v>0.92504826128926143</v>
      </c>
      <c r="T16" s="324">
        <v>99790</v>
      </c>
      <c r="U16" s="627">
        <f t="shared" si="2"/>
        <v>1340</v>
      </c>
      <c r="V16" s="324">
        <v>16970</v>
      </c>
      <c r="W16" s="316">
        <f t="shared" si="3"/>
        <v>5.8803771361225694</v>
      </c>
      <c r="X16" s="486">
        <v>0</v>
      </c>
      <c r="Y16" s="487">
        <f>5.25+0.25+0.25+0.25+0.24+0.24+0.24+0.24+0.23+0.22+0.17+(0.17*25/90)+0.16+0.16+0.03+0.15+0.14+0.14+0.13+0.02+0.11*33/90+0.01+0.01+0.01</f>
        <v>8.6275555555555581</v>
      </c>
      <c r="Z16" s="486">
        <f>11.65+0.13+0.13+0.13+0.11+0.11+0.11+0.1+0.1+0.1+0.1+0.1+0.1+0.1+0.1+0.1+0.1+0.091*83/90+0.091+0.091+0.091+0.091+0.091+0.091+1/21+1/21+1/21+1/21+1/21</f>
        <v>14.238017460317453</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1778</v>
      </c>
      <c r="AF16" s="604">
        <f t="shared" si="11"/>
        <v>14.51715191320614</v>
      </c>
      <c r="AG16" s="604">
        <f t="shared" si="12"/>
        <v>15.902743147184564</v>
      </c>
      <c r="AH16" s="316">
        <f t="shared" si="13"/>
        <v>3.9747900974082131</v>
      </c>
      <c r="AI16" s="316">
        <f t="shared" si="14"/>
        <v>12.929534768249406</v>
      </c>
      <c r="AJ16" s="316">
        <f t="shared" si="15"/>
        <v>13.38725982400083</v>
      </c>
      <c r="AK16" s="316">
        <f t="shared" si="16"/>
        <v>0.95144599957841314</v>
      </c>
      <c r="AL16" s="316">
        <f t="shared" si="17"/>
        <v>1.0471591385200005</v>
      </c>
      <c r="AM16" s="311">
        <f t="shared" si="18"/>
        <v>16.423855608040736</v>
      </c>
      <c r="AN16" s="311">
        <f t="shared" si="19"/>
        <v>17.991432395463271</v>
      </c>
      <c r="AO16" s="446">
        <v>2</v>
      </c>
      <c r="AP16" s="446">
        <v>2</v>
      </c>
      <c r="AQ16" s="591">
        <f t="shared" si="20"/>
        <v>6.1499999999999999E-2</v>
      </c>
      <c r="AR16">
        <v>98450</v>
      </c>
      <c r="AS16">
        <f t="shared" si="21"/>
        <v>98450</v>
      </c>
      <c r="AT16" s="390">
        <f t="shared" si="22"/>
        <v>-1340</v>
      </c>
    </row>
    <row r="17" spans="1:46" s="4" customFormat="1" x14ac:dyDescent="0.25">
      <c r="A17" s="384" t="s">
        <v>404</v>
      </c>
      <c r="B17" s="384" t="s">
        <v>64</v>
      </c>
      <c r="C17" s="385">
        <f t="shared" ca="1" si="4"/>
        <v>3.1160714285714284</v>
      </c>
      <c r="D17" s="658" t="s">
        <v>272</v>
      </c>
      <c r="E17" s="387">
        <v>30</v>
      </c>
      <c r="F17" s="395">
        <f ca="1">33-41471+$D$1-112-112-112-112-112-112-112-112-112-112-112-112-112-112</f>
        <v>99</v>
      </c>
      <c r="G17" s="388"/>
      <c r="H17" s="371">
        <v>3</v>
      </c>
      <c r="I17" s="308">
        <v>9.1</v>
      </c>
      <c r="J17" s="487">
        <f t="shared" si="5"/>
        <v>1.3390951650435234</v>
      </c>
      <c r="K17" s="303">
        <f t="shared" si="6"/>
        <v>81.899999999999991</v>
      </c>
      <c r="L17" s="303">
        <f t="shared" si="7"/>
        <v>145.6</v>
      </c>
      <c r="M17" s="389">
        <v>7.4</v>
      </c>
      <c r="N17" s="446">
        <f t="shared" si="8"/>
        <v>93</v>
      </c>
      <c r="O17" s="446" t="s">
        <v>557</v>
      </c>
      <c r="P17" s="679">
        <v>1.5</v>
      </c>
      <c r="Q17" s="446">
        <v>7</v>
      </c>
      <c r="R17" s="501">
        <f t="shared" si="9"/>
        <v>1</v>
      </c>
      <c r="S17" s="501">
        <f t="shared" si="10"/>
        <v>1</v>
      </c>
      <c r="T17" s="324">
        <v>88160</v>
      </c>
      <c r="U17" s="627">
        <f t="shared" si="2"/>
        <v>950</v>
      </c>
      <c r="V17" s="324">
        <v>11270</v>
      </c>
      <c r="W17" s="316">
        <f t="shared" si="3"/>
        <v>7.8225377107364684</v>
      </c>
      <c r="X17" s="486">
        <v>0</v>
      </c>
      <c r="Y17" s="487">
        <f>7.5+0.2+0.2+0.2+0.2+0.2+0.16+0.16+0.14+0.14+0.13+0.13+0.12+0.12+0.12+0.12+0.11+0.1+0.1+0.1+0.1+0.1+0.1</f>
        <v>10.549999999999995</v>
      </c>
      <c r="Z17" s="486">
        <f>10.8+0.08+(0.16*77/90)+0.08+0.07+((0.07*37/90)+0.14*53/90)+(0.07*23/90)+0.06+0.06+0.06+0.06+0.06+0.12+0.1+0.1+0.1*0.5*32/90+0.1*0.5+0.1+0.1+0.1+0.1*0.16+0.1*0.5+0.1+0.1+0.1+0.1+0.1+0.01+0.01</f>
        <v>12.869777777777777</v>
      </c>
      <c r="AA17" s="487">
        <f>4.85+0.05+0.05+0.05+0.03+0.03+0.02+0.02+0.02+0.01</f>
        <v>5.1299999999999981</v>
      </c>
      <c r="AB17" s="486">
        <f>8.95+0.08+0.07+0.07+0.07</f>
        <v>9.24</v>
      </c>
      <c r="AC17" s="487">
        <v>2.98</v>
      </c>
      <c r="AD17" s="486">
        <f>11+0.5+0.5+0.5+0.45+0.45+0.45+0.4+0.35+0.33+0.33+0.3+0.3+0.3+0.2+0.2+0.2+0.2</f>
        <v>16.959999999999997</v>
      </c>
      <c r="AE17" s="324">
        <v>1451</v>
      </c>
      <c r="AF17" s="604">
        <f t="shared" si="11"/>
        <v>15.708872942821301</v>
      </c>
      <c r="AG17" s="604">
        <f t="shared" si="12"/>
        <v>15.708872942821301</v>
      </c>
      <c r="AH17" s="316">
        <f t="shared" si="13"/>
        <v>4.6934106868913208</v>
      </c>
      <c r="AI17" s="316">
        <f t="shared" si="14"/>
        <v>12.949200314746188</v>
      </c>
      <c r="AJ17" s="316">
        <f t="shared" si="15"/>
        <v>15.605095165043521</v>
      </c>
      <c r="AK17" s="316">
        <f t="shared" si="16"/>
        <v>0.88492761320348179</v>
      </c>
      <c r="AL17" s="316">
        <f t="shared" si="17"/>
        <v>1.1295366615530464</v>
      </c>
      <c r="AM17" s="311">
        <f t="shared" si="18"/>
        <v>19.738721856428121</v>
      </c>
      <c r="AN17" s="311">
        <f t="shared" si="19"/>
        <v>19.738721856428121</v>
      </c>
      <c r="AO17" s="446">
        <v>4</v>
      </c>
      <c r="AP17" s="446">
        <v>1</v>
      </c>
      <c r="AQ17" s="591">
        <f t="shared" si="20"/>
        <v>0.157</v>
      </c>
      <c r="AR17" s="4">
        <v>87210</v>
      </c>
      <c r="AS17">
        <f t="shared" si="21"/>
        <v>87210</v>
      </c>
      <c r="AT17" s="390">
        <f t="shared" si="22"/>
        <v>-950</v>
      </c>
    </row>
    <row r="18" spans="1:46" s="263" customFormat="1" x14ac:dyDescent="0.25">
      <c r="A18" s="305" t="s">
        <v>411</v>
      </c>
      <c r="B18" s="260" t="s">
        <v>64</v>
      </c>
      <c r="C18" s="385">
        <f t="shared" ca="1" si="4"/>
        <v>3.3392857142857144</v>
      </c>
      <c r="D18" s="659" t="s">
        <v>400</v>
      </c>
      <c r="E18" s="210">
        <v>30</v>
      </c>
      <c r="F18" s="211">
        <f ca="1">7-41471+$D$1-112-111-112-112-112-112-112-112-112-112-112-112-112-112</f>
        <v>74</v>
      </c>
      <c r="G18" s="262"/>
      <c r="H18" s="371">
        <v>0</v>
      </c>
      <c r="I18" s="214">
        <v>8.1</v>
      </c>
      <c r="J18" s="487">
        <f t="shared" si="5"/>
        <v>1.2787218564281246</v>
      </c>
      <c r="K18" s="303">
        <f t="shared" si="6"/>
        <v>0</v>
      </c>
      <c r="L18" s="303">
        <f t="shared" si="7"/>
        <v>8.1</v>
      </c>
      <c r="M18" s="296">
        <v>7.5</v>
      </c>
      <c r="N18" s="446">
        <f t="shared" si="8"/>
        <v>94</v>
      </c>
      <c r="O18" s="446" t="s">
        <v>557</v>
      </c>
      <c r="P18" s="679">
        <v>1.5</v>
      </c>
      <c r="Q18" s="447">
        <v>5</v>
      </c>
      <c r="R18" s="501">
        <f t="shared" si="9"/>
        <v>0.84515425472851657</v>
      </c>
      <c r="S18" s="501">
        <f t="shared" si="10"/>
        <v>0.92504826128926143</v>
      </c>
      <c r="T18" s="324">
        <v>81490</v>
      </c>
      <c r="U18" s="627">
        <f t="shared" si="2"/>
        <v>-4050</v>
      </c>
      <c r="V18" s="628">
        <v>20790</v>
      </c>
      <c r="W18" s="316">
        <f t="shared" si="3"/>
        <v>3.9196729196729199</v>
      </c>
      <c r="X18" s="486">
        <v>0</v>
      </c>
      <c r="Y18" s="487">
        <f>3.4+0.06+0.06+0.06+0.06+0.06+0.06+0.06+0.06+(0.06*40/90)+(0.25*35/90)+0.06+(0.25*35/90)+0.05+0.25+0.05+0.05+0.22+0.2+0.15+0.15+0.15+1/30</f>
        <v>5.4644444444444451</v>
      </c>
      <c r="Z18" s="486">
        <f>11.7+0.13+0.13+0.13+0.12+0.12+0.12+0.1+0.1+0.1+0.1+0.1+0.1+0.091+0.091*33/90+0.1+0.091+0.091+0.091+0.091+0.091+0.091+0.091+0.092+1/21+1/21+1/21+1/21+1/21*80/90+1/21+1/21</f>
        <v>14.331408994708985</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14.460699887800184</v>
      </c>
      <c r="AG18" s="604">
        <f t="shared" si="12"/>
        <v>15.84090305172117</v>
      </c>
      <c r="AH18" s="316">
        <f t="shared" si="13"/>
        <v>3.3891330059236471</v>
      </c>
      <c r="AI18" s="316">
        <f t="shared" si="14"/>
        <v>16.663408524835408</v>
      </c>
      <c r="AJ18" s="316">
        <f t="shared" si="15"/>
        <v>13.739916565642643</v>
      </c>
      <c r="AK18" s="316">
        <f t="shared" si="16"/>
        <v>1.0759921929586944</v>
      </c>
      <c r="AL18" s="316">
        <f t="shared" si="17"/>
        <v>0.89518830772774649</v>
      </c>
      <c r="AM18" s="311">
        <f t="shared" si="18"/>
        <v>15.873106894329913</v>
      </c>
      <c r="AN18" s="311">
        <f t="shared" si="19"/>
        <v>17.388117407430528</v>
      </c>
      <c r="AO18" s="447">
        <v>2</v>
      </c>
      <c r="AP18" s="447">
        <v>1</v>
      </c>
      <c r="AQ18" s="591">
        <f t="shared" si="20"/>
        <v>6.1499999999999999E-2</v>
      </c>
      <c r="AR18" s="263">
        <v>85540</v>
      </c>
      <c r="AS18">
        <f t="shared" si="21"/>
        <v>85540</v>
      </c>
      <c r="AT18" s="390">
        <f t="shared" si="22"/>
        <v>4050</v>
      </c>
    </row>
    <row r="19" spans="1:46" s="264" customFormat="1" ht="14.25" customHeight="1" x14ac:dyDescent="0.25">
      <c r="A19" s="305" t="s">
        <v>505</v>
      </c>
      <c r="B19" s="260" t="s">
        <v>64</v>
      </c>
      <c r="C19" s="385">
        <f t="shared" ca="1" si="4"/>
        <v>4.7857142857142856</v>
      </c>
      <c r="D19" s="659" t="s">
        <v>414</v>
      </c>
      <c r="E19" s="210">
        <v>29</v>
      </c>
      <c r="F19" s="211">
        <f ca="1">59-41471+$D$1-325-112-112-112-112-112-112-112-112-112-112-112-112</f>
        <v>24</v>
      </c>
      <c r="G19" s="262"/>
      <c r="H19" s="371">
        <v>2</v>
      </c>
      <c r="I19" s="214">
        <v>4</v>
      </c>
      <c r="J19" s="487">
        <f t="shared" si="5"/>
        <v>0.93196000578135851</v>
      </c>
      <c r="K19" s="303">
        <f t="shared" si="6"/>
        <v>16</v>
      </c>
      <c r="L19" s="303">
        <f t="shared" si="7"/>
        <v>36</v>
      </c>
      <c r="M19" s="296">
        <v>6.8</v>
      </c>
      <c r="N19" s="446">
        <f t="shared" si="8"/>
        <v>87</v>
      </c>
      <c r="O19" s="446" t="s">
        <v>557</v>
      </c>
      <c r="P19" s="679">
        <v>1.5</v>
      </c>
      <c r="Q19" s="447">
        <v>5</v>
      </c>
      <c r="R19" s="501">
        <f t="shared" si="9"/>
        <v>0.84515425472851657</v>
      </c>
      <c r="S19" s="501">
        <f t="shared" si="10"/>
        <v>0.92504826128926143</v>
      </c>
      <c r="T19" s="324">
        <v>27220</v>
      </c>
      <c r="U19" s="627">
        <f t="shared" si="2"/>
        <v>-380</v>
      </c>
      <c r="V19" s="628">
        <v>3310</v>
      </c>
      <c r="W19" s="316">
        <f t="shared" si="3"/>
        <v>8.2235649546827787</v>
      </c>
      <c r="X19" s="486">
        <v>0</v>
      </c>
      <c r="Y19" s="487">
        <f>4.45+0.06+0.2+0.06+0.06+(0.06*68/90)+0.06+0.06+0.06+0.04+(0.22*35/90)+0.04+0.04+0.04+0.04+0.04+0.04*0.5+0.2*66/90+0.02+0.12*33/90+0.02+0.02</f>
        <v>5.6515555555555519</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10.390579019734655</v>
      </c>
      <c r="AG19" s="604">
        <f t="shared" si="12"/>
        <v>11.382309029297176</v>
      </c>
      <c r="AH19" s="316">
        <f t="shared" si="13"/>
        <v>3.3257632229034964</v>
      </c>
      <c r="AI19" s="316">
        <f t="shared" si="14"/>
        <v>8.8753728050518816</v>
      </c>
      <c r="AJ19" s="316">
        <f t="shared" si="15"/>
        <v>10.318905243632264</v>
      </c>
      <c r="AK19" s="316">
        <f t="shared" si="16"/>
        <v>0.74514568935139747</v>
      </c>
      <c r="AL19" s="316">
        <f t="shared" si="17"/>
        <v>0.76979942262691714</v>
      </c>
      <c r="AM19" s="311">
        <f t="shared" si="18"/>
        <v>12.468346604492996</v>
      </c>
      <c r="AN19" s="311">
        <f t="shared" si="19"/>
        <v>13.658389380147515</v>
      </c>
      <c r="AO19" s="447">
        <v>1</v>
      </c>
      <c r="AP19" s="447">
        <v>2</v>
      </c>
      <c r="AQ19" s="591">
        <f t="shared" si="20"/>
        <v>4.9399999999999999E-2</v>
      </c>
      <c r="AR19" s="264">
        <v>27600</v>
      </c>
      <c r="AS19">
        <f t="shared" si="21"/>
        <v>27600</v>
      </c>
      <c r="AT19" s="390">
        <f t="shared" si="22"/>
        <v>380</v>
      </c>
    </row>
    <row r="20" spans="1:46" s="263" customFormat="1" x14ac:dyDescent="0.25">
      <c r="A20" s="304" t="s">
        <v>584</v>
      </c>
      <c r="B20" s="260" t="s">
        <v>64</v>
      </c>
      <c r="C20" s="385">
        <f t="shared" ca="1" si="4"/>
        <v>4.7232142857142856</v>
      </c>
      <c r="D20" s="659" t="s">
        <v>401</v>
      </c>
      <c r="E20" s="210">
        <v>29</v>
      </c>
      <c r="F20" s="211">
        <f ca="1">7-41471+$D$1-112-111-43-112-112-112-112-112-112-112-112-112-112-112-112</f>
        <v>31</v>
      </c>
      <c r="G20" s="262" t="s">
        <v>271</v>
      </c>
      <c r="H20" s="394">
        <v>4</v>
      </c>
      <c r="I20" s="214">
        <v>1.2</v>
      </c>
      <c r="J20" s="487">
        <f t="shared" si="5"/>
        <v>0.45656357442960838</v>
      </c>
      <c r="K20" s="303">
        <f t="shared" si="6"/>
        <v>19.2</v>
      </c>
      <c r="L20" s="303">
        <f t="shared" si="7"/>
        <v>30</v>
      </c>
      <c r="M20" s="296">
        <v>6.9</v>
      </c>
      <c r="N20" s="446">
        <f t="shared" si="8"/>
        <v>88</v>
      </c>
      <c r="O20" s="446" t="s">
        <v>557</v>
      </c>
      <c r="P20" s="679">
        <v>1.5</v>
      </c>
      <c r="Q20" s="447">
        <v>5</v>
      </c>
      <c r="R20" s="501">
        <f t="shared" si="9"/>
        <v>0.84515425472851657</v>
      </c>
      <c r="S20" s="501">
        <f t="shared" si="10"/>
        <v>0.92504826128926143</v>
      </c>
      <c r="T20" s="628">
        <v>4680</v>
      </c>
      <c r="U20" s="627">
        <f t="shared" si="2"/>
        <v>-640</v>
      </c>
      <c r="V20" s="628">
        <v>690</v>
      </c>
      <c r="W20" s="316">
        <f t="shared" si="3"/>
        <v>6.7826086956521738</v>
      </c>
      <c r="X20" s="486">
        <v>0</v>
      </c>
      <c r="Y20" s="487">
        <f>2+0.05+0.05+0.05+0.05+0.05+(0.25*31/90)+0.05+0.04+0.03+0.02+0.02</f>
        <v>2.4961111111111101</v>
      </c>
      <c r="Z20" s="486">
        <f>7.1+0.01+0.02+0.04+0.04+0.04+0.02+0.02+0.02+0.01+0.01</f>
        <v>7.3299999999999974</v>
      </c>
      <c r="AA20" s="487">
        <f>4.16+0.01</f>
        <v>4.17</v>
      </c>
      <c r="AB20" s="486">
        <f>6+(0.35/3)+(0.35/3)+0.32+(0.3*60/90)+0.3*61/90+0.04+0.04+0.06+0.15*29/90+0.12</f>
        <v>7.2649999999999988</v>
      </c>
      <c r="AC20" s="487">
        <f>4+0.06+0.06+0.06+0.06+0.06+0.03</f>
        <v>4.3299999999999983</v>
      </c>
      <c r="AD20" s="486">
        <f>9+0.5</f>
        <v>9.5</v>
      </c>
      <c r="AE20" s="324">
        <v>634</v>
      </c>
      <c r="AF20" s="604">
        <f t="shared" si="11"/>
        <v>7.8485787167360437</v>
      </c>
      <c r="AG20" s="604">
        <f t="shared" si="12"/>
        <v>8.5976872150225603</v>
      </c>
      <c r="AH20" s="316">
        <f t="shared" si="13"/>
        <v>2.4188105419705099</v>
      </c>
      <c r="AI20" s="316">
        <f t="shared" si="14"/>
        <v>7.7220100425204024</v>
      </c>
      <c r="AJ20" s="316">
        <f t="shared" si="15"/>
        <v>8.3717292004129948</v>
      </c>
      <c r="AK20" s="316">
        <f t="shared" si="16"/>
        <v>0.65802508595436859</v>
      </c>
      <c r="AL20" s="316">
        <f t="shared" si="17"/>
        <v>0.52180389465451693</v>
      </c>
      <c r="AM20" s="311">
        <f t="shared" si="18"/>
        <v>9.385923958002822</v>
      </c>
      <c r="AN20" s="311">
        <f t="shared" si="19"/>
        <v>10.281764549652634</v>
      </c>
      <c r="AO20" s="447">
        <v>0</v>
      </c>
      <c r="AP20" s="447">
        <v>2</v>
      </c>
      <c r="AQ20" s="591">
        <f t="shared" si="20"/>
        <v>2.63E-2</v>
      </c>
      <c r="AR20" s="263">
        <v>5320</v>
      </c>
      <c r="AS20">
        <f t="shared" si="21"/>
        <v>5320</v>
      </c>
      <c r="AT20" s="390">
        <f t="shared" si="22"/>
        <v>640</v>
      </c>
    </row>
    <row r="21" spans="1:46" s="263" customFormat="1" x14ac:dyDescent="0.25">
      <c r="A21" s="304" t="s">
        <v>623</v>
      </c>
      <c r="B21" s="384" t="s">
        <v>66</v>
      </c>
      <c r="C21" s="385">
        <f t="shared" ca="1" si="4"/>
        <v>5.0982142857142856</v>
      </c>
      <c r="D21" s="659" t="s">
        <v>873</v>
      </c>
      <c r="E21" s="210">
        <v>28</v>
      </c>
      <c r="F21" s="211">
        <f ca="1">64-41471+$D$1-112-112-29-112-112-112-112-112-112-112-112-112-112-112-112</f>
        <v>101</v>
      </c>
      <c r="G21" s="262" t="s">
        <v>502</v>
      </c>
      <c r="H21" s="394">
        <v>1</v>
      </c>
      <c r="I21" s="214">
        <v>8.6</v>
      </c>
      <c r="J21" s="487">
        <f t="shared" si="5"/>
        <v>1.3096949773860913</v>
      </c>
      <c r="K21" s="303">
        <f t="shared" si="6"/>
        <v>8.6</v>
      </c>
      <c r="L21" s="303">
        <f t="shared" si="7"/>
        <v>34.4</v>
      </c>
      <c r="M21" s="296">
        <v>7</v>
      </c>
      <c r="N21" s="446">
        <f t="shared" si="8"/>
        <v>89</v>
      </c>
      <c r="O21" s="678">
        <v>43060</v>
      </c>
      <c r="P21" s="679">
        <f ca="1">IF((TODAY()-O21)&gt;335,1,((TODAY()-O21)^0.64)/(336^0.64))</f>
        <v>0.27618422641528872</v>
      </c>
      <c r="Q21" s="447">
        <v>4</v>
      </c>
      <c r="R21" s="501">
        <f t="shared" si="9"/>
        <v>0.7559289460184544</v>
      </c>
      <c r="S21" s="501">
        <f t="shared" si="10"/>
        <v>0.84430867747355465</v>
      </c>
      <c r="T21" s="628">
        <v>293180</v>
      </c>
      <c r="U21" s="627">
        <f t="shared" si="2"/>
        <v>129380</v>
      </c>
      <c r="V21" s="628">
        <f>42600</f>
        <v>42600</v>
      </c>
      <c r="W21" s="316">
        <f t="shared" si="3"/>
        <v>6.8821596244131458</v>
      </c>
      <c r="X21" s="486">
        <v>0</v>
      </c>
      <c r="Y21" s="487">
        <v>3</v>
      </c>
      <c r="Z21" s="486">
        <v>15</v>
      </c>
      <c r="AA21" s="487">
        <f>12+0.01</f>
        <v>12.01</v>
      </c>
      <c r="AB21" s="486">
        <v>12</v>
      </c>
      <c r="AC21" s="487">
        <v>8</v>
      </c>
      <c r="AD21" s="486">
        <v>2</v>
      </c>
      <c r="AE21" s="324">
        <v>1921</v>
      </c>
      <c r="AF21" s="604">
        <f t="shared" ca="1" si="11"/>
        <v>12.537746185318978</v>
      </c>
      <c r="AG21" s="604">
        <f t="shared" ca="1" si="12"/>
        <v>14.017626377505957</v>
      </c>
      <c r="AH21" s="316">
        <f t="shared" ca="1" si="13"/>
        <v>3.0008146909530944</v>
      </c>
      <c r="AI21" s="316">
        <f t="shared" ca="1" si="14"/>
        <v>7.774572763048301</v>
      </c>
      <c r="AJ21" s="316">
        <f t="shared" ca="1" si="15"/>
        <v>4.0713419899122893</v>
      </c>
      <c r="AK21" s="316">
        <f t="shared" ca="1" si="16"/>
        <v>0.58687033630411034</v>
      </c>
      <c r="AL21" s="316">
        <f t="shared" ca="1" si="17"/>
        <v>0.29101154426609666</v>
      </c>
      <c r="AM21" s="311">
        <f t="shared" ca="1" si="18"/>
        <v>2.6625194489571782</v>
      </c>
      <c r="AN21" s="311">
        <f t="shared" ca="1" si="19"/>
        <v>2.9767872396417658</v>
      </c>
      <c r="AO21" s="447">
        <v>3</v>
      </c>
      <c r="AP21" s="447">
        <v>3</v>
      </c>
      <c r="AQ21" s="591">
        <f t="shared" si="20"/>
        <v>0.1158</v>
      </c>
      <c r="AR21" s="263">
        <v>163800</v>
      </c>
      <c r="AS21">
        <f t="shared" si="21"/>
        <v>163800</v>
      </c>
      <c r="AT21" s="390">
        <f t="shared" si="22"/>
        <v>-129380</v>
      </c>
    </row>
    <row r="22" spans="1:46" s="254" customFormat="1" x14ac:dyDescent="0.25">
      <c r="A22" s="384" t="s">
        <v>506</v>
      </c>
      <c r="B22" s="384" t="s">
        <v>66</v>
      </c>
      <c r="C22" s="385">
        <f t="shared" ca="1" si="4"/>
        <v>4.0089285714285712</v>
      </c>
      <c r="D22" s="658" t="s">
        <v>287</v>
      </c>
      <c r="E22" s="387">
        <v>29</v>
      </c>
      <c r="F22" s="395">
        <f ca="1">74-41471+$D$1-112-112-29-112-112-112-112-112-112-112-112-112-112-112-112</f>
        <v>111</v>
      </c>
      <c r="G22" s="388" t="s">
        <v>296</v>
      </c>
      <c r="H22" s="371">
        <v>3</v>
      </c>
      <c r="I22" s="308">
        <v>10</v>
      </c>
      <c r="J22" s="487">
        <f t="shared" si="5"/>
        <v>1.3885235802109668</v>
      </c>
      <c r="K22" s="303">
        <f t="shared" si="6"/>
        <v>90</v>
      </c>
      <c r="L22" s="303">
        <f t="shared" si="7"/>
        <v>160</v>
      </c>
      <c r="M22" s="389">
        <v>7.6</v>
      </c>
      <c r="N22" s="446">
        <f t="shared" si="8"/>
        <v>95</v>
      </c>
      <c r="O22" s="446" t="s">
        <v>557</v>
      </c>
      <c r="P22" s="679">
        <v>1.5</v>
      </c>
      <c r="Q22" s="446">
        <v>7</v>
      </c>
      <c r="R22" s="501">
        <f t="shared" si="9"/>
        <v>1</v>
      </c>
      <c r="S22" s="501">
        <f t="shared" si="10"/>
        <v>1</v>
      </c>
      <c r="T22" s="324">
        <v>54060</v>
      </c>
      <c r="U22" s="627">
        <f t="shared" si="2"/>
        <v>530</v>
      </c>
      <c r="V22" s="324">
        <v>2360</v>
      </c>
      <c r="W22" s="316">
        <f t="shared" si="3"/>
        <v>22.906779661016948</v>
      </c>
      <c r="X22" s="486">
        <v>0</v>
      </c>
      <c r="Y22" s="487">
        <f>5+(5/7)+0.07+0.21+0.07+0.07+0.07+0.07+0.07+0.07+0.06+0.03+0.03+0.03+0.03+0.03+0.2*33/90+0.03+0.03+0.02+0.02+0.01+0.01+0.01+0.01</f>
        <v>6.8376190476190493</v>
      </c>
      <c r="Z22" s="486">
        <f>8+1/8*0.5+1/8*0.5+1/8+1/8*0.5+1/8*0.5+1/8+1/8</f>
        <v>8.625</v>
      </c>
      <c r="AA22" s="487">
        <f>7.9+0.165+0.165+0.21+0.13+0.03+0.03+0.03+0.02+0.02+0.02+0.01</f>
        <v>8.7299999999999969</v>
      </c>
      <c r="AB22" s="486">
        <f>5.1+0.33+0.33+0.33+0.3+0.29+0.04+0.28+0.28+0.27+0.27+0.27+0.22+0.22+0.15+0.15+0.15+0.14+0.13+0.12+0.11+0.1+0.08+0.01+0.01+0.01</f>
        <v>9.6900000000000013</v>
      </c>
      <c r="AC22" s="487">
        <f>6.48+0.25+0.25+0.23+0.21+0.21+0.2+0.19+0.17+0.16+0.15+1/16</f>
        <v>8.5625000000000018</v>
      </c>
      <c r="AD22" s="486">
        <f>17.99+0.2+0.15+0.15+0.15</f>
        <v>18.639999999999993</v>
      </c>
      <c r="AE22" s="324">
        <v>1314</v>
      </c>
      <c r="AF22" s="604">
        <f t="shared" si="11"/>
        <v>11.513523580210967</v>
      </c>
      <c r="AG22" s="604">
        <f t="shared" si="12"/>
        <v>11.513523580210967</v>
      </c>
      <c r="AH22" s="316">
        <f t="shared" si="13"/>
        <v>4.3603987235314943</v>
      </c>
      <c r="AI22" s="316">
        <f t="shared" si="14"/>
        <v>23.249387112266234</v>
      </c>
      <c r="AJ22" s="316">
        <f t="shared" si="15"/>
        <v>18.505273580210961</v>
      </c>
      <c r="AK22" s="316">
        <f t="shared" si="16"/>
        <v>1.2184068864168771</v>
      </c>
      <c r="AL22" s="316">
        <f t="shared" si="17"/>
        <v>1.0349014125195297</v>
      </c>
      <c r="AM22" s="311">
        <f t="shared" si="18"/>
        <v>21.473333333333326</v>
      </c>
      <c r="AN22" s="311">
        <f t="shared" si="19"/>
        <v>21.473333333333326</v>
      </c>
      <c r="AO22" s="446">
        <v>4</v>
      </c>
      <c r="AP22" s="446">
        <v>2</v>
      </c>
      <c r="AQ22" s="591">
        <f t="shared" si="20"/>
        <v>0.157</v>
      </c>
      <c r="AR22" s="254">
        <v>53530</v>
      </c>
      <c r="AS22">
        <f t="shared" si="21"/>
        <v>53530</v>
      </c>
      <c r="AT22" s="390">
        <f t="shared" si="22"/>
        <v>-530</v>
      </c>
    </row>
    <row r="23" spans="1:46" s="259" customFormat="1" x14ac:dyDescent="0.25">
      <c r="A23" s="384" t="s">
        <v>568</v>
      </c>
      <c r="B23" s="384" t="s">
        <v>66</v>
      </c>
      <c r="C23" s="385">
        <f t="shared" ca="1" si="4"/>
        <v>3.3928571428571428</v>
      </c>
      <c r="D23" s="658" t="s">
        <v>862</v>
      </c>
      <c r="E23" s="387">
        <v>30</v>
      </c>
      <c r="F23" s="211">
        <f ca="1">-41471+$D$1-748-112-112-12-112-112-112-22-112-112</f>
        <v>68</v>
      </c>
      <c r="G23" s="388" t="s">
        <v>268</v>
      </c>
      <c r="H23" s="371">
        <v>3</v>
      </c>
      <c r="I23" s="308">
        <v>10.199999999999999</v>
      </c>
      <c r="J23" s="487">
        <f t="shared" si="5"/>
        <v>1.3989573635602419</v>
      </c>
      <c r="K23" s="303">
        <f t="shared" si="6"/>
        <v>91.8</v>
      </c>
      <c r="L23" s="303">
        <f t="shared" si="7"/>
        <v>163.19999999999999</v>
      </c>
      <c r="M23" s="389">
        <v>7.5</v>
      </c>
      <c r="N23" s="446">
        <f t="shared" si="8"/>
        <v>94</v>
      </c>
      <c r="O23" s="678">
        <v>42869</v>
      </c>
      <c r="P23" s="679">
        <f ca="1">IF((TODAY()-O23)&gt;335,1,((TODAY()-O23)^0.64)/(336^0.64))</f>
        <v>0.79763930125218074</v>
      </c>
      <c r="Q23" s="446">
        <v>5</v>
      </c>
      <c r="R23" s="501">
        <f t="shared" si="9"/>
        <v>0.84515425472851657</v>
      </c>
      <c r="S23" s="501">
        <f t="shared" si="10"/>
        <v>0.92504826128926143</v>
      </c>
      <c r="T23" s="324">
        <v>257420</v>
      </c>
      <c r="U23" s="627">
        <f t="shared" si="2"/>
        <v>-21310</v>
      </c>
      <c r="V23" s="324">
        <v>34128</v>
      </c>
      <c r="W23" s="316">
        <f t="shared" si="3"/>
        <v>7.5427801218940456</v>
      </c>
      <c r="X23" s="486">
        <v>0</v>
      </c>
      <c r="Y23" s="487">
        <f>2.98+0.02+0.02</f>
        <v>3.02</v>
      </c>
      <c r="Z23" s="486">
        <f>14+0.09*0.16+0.09*0.5+0.09*0.16+0.01+0.01+0.01+1/21*0.5+0.01</f>
        <v>14.137609523809523</v>
      </c>
      <c r="AA23" s="487">
        <f>3+0.02</f>
        <v>3.02</v>
      </c>
      <c r="AB23" s="486">
        <f>15+0.01+0.01</f>
        <v>15.02</v>
      </c>
      <c r="AC23" s="487">
        <v>10</v>
      </c>
      <c r="AD23" s="486">
        <f>9+0.3</f>
        <v>9.3000000000000007</v>
      </c>
      <c r="AE23" s="324">
        <v>1941</v>
      </c>
      <c r="AF23" s="604">
        <f t="shared" ca="1" si="11"/>
        <v>13.804923857926703</v>
      </c>
      <c r="AG23" s="604">
        <f t="shared" ca="1" si="12"/>
        <v>15.122536403255395</v>
      </c>
      <c r="AH23" s="316">
        <f t="shared" ca="1" si="13"/>
        <v>4.188773589111352</v>
      </c>
      <c r="AI23" s="316">
        <f t="shared" ca="1" si="14"/>
        <v>16.032135573480012</v>
      </c>
      <c r="AJ23" s="316">
        <f t="shared" ca="1" si="15"/>
        <v>9.8938799796568819</v>
      </c>
      <c r="AK23" s="316">
        <f t="shared" ca="1" si="16"/>
        <v>0.95472773318499393</v>
      </c>
      <c r="AL23" s="316">
        <f t="shared" ca="1" si="17"/>
        <v>0.55356176653686961</v>
      </c>
      <c r="AM23" s="311">
        <f t="shared" ca="1" si="18"/>
        <v>9.6706264534798301</v>
      </c>
      <c r="AN23" s="311">
        <f t="shared" ca="1" si="19"/>
        <v>10.593640507554172</v>
      </c>
      <c r="AO23" s="446">
        <v>1</v>
      </c>
      <c r="AP23" s="446">
        <v>3</v>
      </c>
      <c r="AQ23" s="591">
        <f t="shared" si="20"/>
        <v>4.9399999999999999E-2</v>
      </c>
      <c r="AR23" s="259">
        <v>278730</v>
      </c>
      <c r="AS23">
        <f t="shared" si="21"/>
        <v>278730</v>
      </c>
      <c r="AT23" s="390">
        <f t="shared" si="22"/>
        <v>21310</v>
      </c>
    </row>
    <row r="24" spans="1:46" s="264" customFormat="1" x14ac:dyDescent="0.25">
      <c r="A24" s="384" t="s">
        <v>540</v>
      </c>
      <c r="B24" s="384" t="s">
        <v>66</v>
      </c>
      <c r="C24" s="385">
        <f t="shared" ca="1" si="4"/>
        <v>6.7321428571428568</v>
      </c>
      <c r="D24" s="659" t="s">
        <v>541</v>
      </c>
      <c r="E24" s="210">
        <v>27</v>
      </c>
      <c r="F24" s="211">
        <f ca="1">7-41471+$D$1-112-111-43-112-112-1-112-112-112-112-112-112-112-112-112-112</f>
        <v>30</v>
      </c>
      <c r="G24" s="262"/>
      <c r="H24" s="396">
        <v>5</v>
      </c>
      <c r="I24" s="214">
        <v>5.3</v>
      </c>
      <c r="J24" s="487">
        <f t="shared" si="5"/>
        <v>1.0657873992714422</v>
      </c>
      <c r="K24" s="303">
        <f t="shared" si="6"/>
        <v>132.5</v>
      </c>
      <c r="L24" s="303">
        <f t="shared" si="7"/>
        <v>190.79999999999998</v>
      </c>
      <c r="M24" s="296">
        <v>8</v>
      </c>
      <c r="N24" s="446">
        <f t="shared" si="8"/>
        <v>99</v>
      </c>
      <c r="O24" s="446" t="s">
        <v>557</v>
      </c>
      <c r="P24" s="679">
        <v>1.5</v>
      </c>
      <c r="Q24" s="447">
        <v>6</v>
      </c>
      <c r="R24" s="501">
        <f t="shared" si="9"/>
        <v>0.92582009977255142</v>
      </c>
      <c r="S24" s="501">
        <f t="shared" si="10"/>
        <v>0.99928545900129484</v>
      </c>
      <c r="T24" s="628">
        <v>38330</v>
      </c>
      <c r="U24" s="627">
        <f t="shared" si="2"/>
        <v>810</v>
      </c>
      <c r="V24" s="628">
        <v>3090</v>
      </c>
      <c r="W24" s="316">
        <f t="shared" si="3"/>
        <v>12.40453074433657</v>
      </c>
      <c r="X24" s="486">
        <v>0</v>
      </c>
      <c r="Y24" s="487">
        <f>4+0.01+0.01</f>
        <v>4.0199999999999996</v>
      </c>
      <c r="Z24" s="486">
        <f>4.6+0.05+0.05+0.05+0.04+0.04+0.16+(0.16*30/90)+(0.16*60/90*0.16)+0.04+0.04+0.04+0.25/8+0.04+0.04+0.04+0.04+0.04+0.04+0.02+0.02*10/90+0.02+0.02+0.02+0.01+0.01</f>
        <v>5.5538722222222203</v>
      </c>
      <c r="AA24" s="487">
        <f>4.9+0.25+0.05+0.05+0.05+0.04+0.03+0.03+0.03+0.02+0.02+0.02</f>
        <v>5.4899999999999993</v>
      </c>
      <c r="AB24" s="486">
        <f>7.1+0.31+0.31+0.31+0.25+0.25+0.25+0.23+0.2+0.2+0.2+0.17+0.15+0.15+0.13+0.13+0.13+0.11+0.1+0.1+0.01+0.01</f>
        <v>10.799999999999999</v>
      </c>
      <c r="AC24" s="487">
        <f>6.5+0.25+0.25+0.25+0.24+0.24+0.22+0.21+0.18*1/90+0.16+1/16</f>
        <v>8.384500000000001</v>
      </c>
      <c r="AD24" s="486">
        <f>9+1*5/90+0.65+0.65*61/90+0.65*52/90+0.55+0.55*27/90+0.55+0.5+0.5+0.3+0.25*0.6+0.25+(0.2*36/90)</f>
        <v>13.566666666666668</v>
      </c>
      <c r="AE24" s="324">
        <v>962</v>
      </c>
      <c r="AF24" s="604">
        <f t="shared" si="11"/>
        <v>7.5173440808904193</v>
      </c>
      <c r="AG24" s="604">
        <f t="shared" si="12"/>
        <v>8.1196596214936623</v>
      </c>
      <c r="AH24" s="316">
        <f t="shared" si="13"/>
        <v>3.8557354492673364</v>
      </c>
      <c r="AI24" s="316">
        <f t="shared" si="14"/>
        <v>18.007503516227672</v>
      </c>
      <c r="AJ24" s="316">
        <f t="shared" si="15"/>
        <v>13.496424014791529</v>
      </c>
      <c r="AK24" s="316">
        <f t="shared" si="16"/>
        <v>1.0314879919417155</v>
      </c>
      <c r="AL24" s="316">
        <f t="shared" si="17"/>
        <v>0.747405117949001</v>
      </c>
      <c r="AM24" s="311">
        <f t="shared" si="18"/>
        <v>14.843088380381982</v>
      </c>
      <c r="AN24" s="311">
        <f t="shared" si="19"/>
        <v>16.032367826134386</v>
      </c>
      <c r="AO24" s="447">
        <v>2</v>
      </c>
      <c r="AP24" s="447">
        <v>1</v>
      </c>
      <c r="AQ24" s="591">
        <f t="shared" si="20"/>
        <v>6.1499999999999999E-2</v>
      </c>
      <c r="AR24" s="264">
        <v>37520</v>
      </c>
      <c r="AS24">
        <f t="shared" si="21"/>
        <v>37520</v>
      </c>
      <c r="AT24" s="390">
        <f>AS24-T24</f>
        <v>-810</v>
      </c>
    </row>
    <row r="25" spans="1:46" x14ac:dyDescent="0.25">
      <c r="G25" s="4"/>
      <c r="H25"/>
      <c r="I25" s="284"/>
      <c r="J25" s="488"/>
      <c r="K25"/>
      <c r="T25" s="244">
        <f>SUM(T5:T24)+T3</f>
        <v>2185310</v>
      </c>
      <c r="U25" s="244">
        <f>SUM(U5:U24)</f>
        <v>123160</v>
      </c>
      <c r="V25" s="244">
        <f>SUM(V5:V24)+V3</f>
        <v>292098</v>
      </c>
      <c r="W25" s="315">
        <f t="shared" si="3"/>
        <v>7.4814274661243827</v>
      </c>
      <c r="X25"/>
      <c r="AD25" s="312"/>
      <c r="AE25" s="244">
        <f>AVERAGE(AE5:AE24)</f>
        <v>1490.4</v>
      </c>
      <c r="AH25" s="244"/>
      <c r="AI25" s="244"/>
      <c r="AJ25" s="244"/>
      <c r="AK25" s="244"/>
      <c r="AL25" s="244"/>
      <c r="AM25" s="244"/>
      <c r="AN25" s="244"/>
    </row>
    <row r="26" spans="1:46" x14ac:dyDescent="0.25">
      <c r="G26" s="456"/>
      <c r="K26" s="456"/>
      <c r="M26" s="456"/>
      <c r="N26" s="456"/>
      <c r="Q26" s="456"/>
      <c r="T26" s="313"/>
      <c r="U26" s="313"/>
      <c r="V26" s="313">
        <f>V25-V3</f>
        <v>291774</v>
      </c>
      <c r="W26" s="293"/>
      <c r="AE26" s="293"/>
      <c r="AH26" s="293"/>
      <c r="AI26" s="293"/>
      <c r="AJ26" s="293"/>
      <c r="AK26" s="293"/>
      <c r="AL26" s="293"/>
      <c r="AM26" s="293"/>
      <c r="AN26" s="293"/>
    </row>
    <row r="27" spans="1:46" x14ac:dyDescent="0.25">
      <c r="I27" s="265"/>
      <c r="Y27" s="159"/>
    </row>
    <row r="28" spans="1:46" x14ac:dyDescent="0.25">
      <c r="D28" s="606"/>
      <c r="I28" s="265"/>
      <c r="Y28" s="159"/>
      <c r="AE28" s="661"/>
    </row>
    <row r="29" spans="1:46" x14ac:dyDescent="0.25">
      <c r="D29" s="606"/>
      <c r="I29" s="265"/>
      <c r="V29" s="675"/>
      <c r="Y29" s="159"/>
    </row>
    <row r="30" spans="1:46" x14ac:dyDescent="0.25">
      <c r="D30" s="607"/>
      <c r="I30" s="265"/>
      <c r="V30" s="675"/>
      <c r="Y30" s="159"/>
    </row>
    <row r="31" spans="1:46" x14ac:dyDescent="0.25">
      <c r="I31" s="265"/>
      <c r="Y31" s="159"/>
    </row>
    <row r="32" spans="1:46" x14ac:dyDescent="0.25">
      <c r="I32" s="265"/>
      <c r="V32" s="675"/>
      <c r="Y32" s="159"/>
    </row>
    <row r="33" spans="3:40" x14ac:dyDescent="0.25">
      <c r="I33" s="265"/>
      <c r="Y33" s="159"/>
    </row>
    <row r="34" spans="3:40" x14ac:dyDescent="0.25">
      <c r="I34" s="265"/>
      <c r="Y34" s="159"/>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row r="38" spans="3:40" x14ac:dyDescent="0.25">
      <c r="C38"/>
      <c r="D38"/>
      <c r="G38"/>
      <c r="H38"/>
      <c r="I38" s="265"/>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27</v>
      </c>
      <c r="D3" s="488"/>
      <c r="E3" s="290">
        <v>42468</v>
      </c>
      <c r="F3" s="341">
        <f>PLANTILLA!Q5</f>
        <v>7</v>
      </c>
      <c r="G3" s="407">
        <f>(F3/7)^0.5</f>
        <v>1</v>
      </c>
      <c r="H3" s="407">
        <f>IF(F3=7,1,((F3+0.99)/7)^0.5)</f>
        <v>1</v>
      </c>
      <c r="I3" s="497">
        <v>1</v>
      </c>
      <c r="J3" s="498">
        <f>PLANTILLA!I5</f>
        <v>18.100000000000001</v>
      </c>
      <c r="K3" s="163">
        <f>PLANTILLA!X5</f>
        <v>16.666666666666668</v>
      </c>
      <c r="L3" s="163">
        <f>PLANTILLA!Y5</f>
        <v>12.080559440559444</v>
      </c>
      <c r="M3" s="163">
        <f>PLANTILLA!Z5</f>
        <v>2.0499999999999989</v>
      </c>
      <c r="N3" s="163">
        <f>PLANTILLA!AA5</f>
        <v>2.1399999999999992</v>
      </c>
      <c r="O3" s="163">
        <f>PLANTILLA!AB5</f>
        <v>1.0400000000000003</v>
      </c>
      <c r="P3" s="163">
        <f>PLANTILLA!AC5</f>
        <v>0.14055555555555557</v>
      </c>
      <c r="Q3" s="163">
        <f>PLANTILLA!AD5</f>
        <v>17.849999999999998</v>
      </c>
      <c r="R3" s="163">
        <f>((2*(O3+1))+(L3+1))/8</f>
        <v>2.1450699300699307</v>
      </c>
      <c r="S3" s="163">
        <f>1.66*(P3+(LOG(J3)*4/3)+I3)+0.55*(Q3+(LOG(J3)*4/3)+I3)-7.6</f>
        <v>8.3667817561700861</v>
      </c>
      <c r="T3" s="163">
        <f>(0.5*P3+ 0.3*Q3)/10</f>
        <v>0.54252777777777772</v>
      </c>
      <c r="U3" s="163">
        <f>(0.4*L3+0.3*Q3)/10</f>
        <v>1.0187223776223777</v>
      </c>
      <c r="V3" s="163">
        <f ca="1">IF(TODAY()-E3&gt;335,(Q3+1+(LOG(J3)*4/3))*(F3/7)^0.5,(Q3+((TODAY()-E3)^0.5)/(336^0.5)+(LOG(J3)*4/3))*(F3/7)^0.5)</f>
        <v>20.526904766492244</v>
      </c>
      <c r="W3" s="163">
        <f ca="1">IF(F3=7,V3,IF(TODAY()-E3&gt;335,(Q3+1+(LOG(J3)*4/3))*((F3+0.99)/7)^0.5,(Q3+((TODAY()-E3)^0.5)/(336^0.5)+(LOG(J3)*4/3))*((F3+0.99)/7)^0.5))</f>
        <v>20.526904766492244</v>
      </c>
      <c r="X3" s="159">
        <f>((K3+I3+(LOG(J3)*4/3))*0.597)+((L3+I3+(LOG(J3)*4/3))*0.276)</f>
        <v>15.621172266742139</v>
      </c>
      <c r="Y3" s="159">
        <f>((K3+I3+(LOG(J3)*4/3))*0.866)+((L3+I3+(LOG(J3)*4/3))*0.425)</f>
        <v>23.023455149112589</v>
      </c>
      <c r="Z3" s="159">
        <f>X3</f>
        <v>15.621172266742139</v>
      </c>
      <c r="AA3" s="159">
        <f>((L3+I3+(LOG(J3)*4/3))*0.516)</f>
        <v>7.6148515308386724</v>
      </c>
      <c r="AB3" s="159">
        <f>(L3+I3+(LOG(J3)*4/3))*1</f>
        <v>14.75746420705169</v>
      </c>
      <c r="AC3" s="159">
        <f>AA3/2</f>
        <v>3.8074257654193362</v>
      </c>
      <c r="AD3" s="159">
        <f>(M3+I3+(LOG(J3)*4/3))*0.238</f>
        <v>1.1250033344251542</v>
      </c>
      <c r="AE3" s="159">
        <f>((L3+I3+(LOG(J3)*4/3))*0.378)</f>
        <v>5.5783214702655393</v>
      </c>
      <c r="AF3" s="159">
        <f>(L3+I3+(LOG(J3)*4/3))*0.723</f>
        <v>10.669646621698371</v>
      </c>
      <c r="AG3" s="159">
        <f>AE3/2</f>
        <v>2.7891607351327696</v>
      </c>
      <c r="AH3" s="159">
        <f>(M3+I3+(LOG(J3)*4/3))*0.385</f>
        <v>1.8198583350995143</v>
      </c>
      <c r="AI3" s="159">
        <f>((L3+I3+(LOG(J3)*4/3))*0.92)</f>
        <v>13.576867070487555</v>
      </c>
      <c r="AJ3" s="159">
        <f>(L3+I3+(LOG(J3)*4/3))*0.414</f>
        <v>6.1095901817193994</v>
      </c>
      <c r="AK3" s="159">
        <f>((M3+I3+(LOG(J3)*4/3))*0.167)</f>
        <v>0.78939309600420493</v>
      </c>
      <c r="AL3" s="159">
        <f>(N3+I3+(LOG(J3)*4/3))*0.588</f>
        <v>2.8323400026974399</v>
      </c>
      <c r="AM3" s="159">
        <f>((L3+I3+(LOG(J3)*4/3))*0.754)</f>
        <v>11.127128012116975</v>
      </c>
      <c r="AN3" s="159">
        <f>((L3+I3+(LOG(J3)*4/3))*0.708)</f>
        <v>10.448284658592597</v>
      </c>
      <c r="AO3" s="159">
        <f>((Q3+I3+(LOG(J3)*4/3))*0.167)</f>
        <v>3.4279930960042049</v>
      </c>
      <c r="AP3" s="159">
        <f>((R3+I3+(LOG(J3)*4/3))*0.288)</f>
        <v>1.3887287126099068</v>
      </c>
      <c r="AQ3" s="159">
        <f>((L3+I3+(LOG(J3)*4/3))*0.27)</f>
        <v>3.9845153359039567</v>
      </c>
      <c r="AR3" s="159">
        <f>((L3+I3+(LOG(J3)*4/3))*0.594)</f>
        <v>8.7659337389887035</v>
      </c>
      <c r="AS3" s="159">
        <f>AQ3/2</f>
        <v>1.9922576679519783</v>
      </c>
      <c r="AT3" s="159">
        <f>((M3+I3+(LOG(J3)*4/3))*0.944)</f>
        <v>4.4621980995686794</v>
      </c>
      <c r="AU3" s="159">
        <f>((O3+I3+(LOG(J3)*4/3))*0.13)</f>
        <v>0.48319761964399199</v>
      </c>
      <c r="AV3" s="159">
        <f>((P3+I3+(LOG(J3)*4/3))*0.173)+((O3+I3+(LOG(J3)*4/3))*0.12)</f>
        <v>0.93344920769333917</v>
      </c>
      <c r="AW3" s="159">
        <f>AU3/2</f>
        <v>0.241598809821996</v>
      </c>
      <c r="AX3" s="159">
        <f>((L3+I3+(LOG(J3)*4/3))*0.189)</f>
        <v>2.7891607351327696</v>
      </c>
      <c r="AY3" s="159">
        <f>((L3+I3+(LOG(J3)*4/3))*0.4)</f>
        <v>5.9029856828206766</v>
      </c>
      <c r="AZ3" s="159">
        <f>AX3/2</f>
        <v>1.3945803675663848</v>
      </c>
      <c r="BA3" s="159">
        <f>((M3+I3+(LOG(J3)*4/3))*1)</f>
        <v>4.726904766492245</v>
      </c>
      <c r="BB3" s="159">
        <f>((O3+I3+(LOG(J3)*4/3))*0.253)</f>
        <v>0.94037690592253831</v>
      </c>
      <c r="BC3" s="159">
        <f>((P3+I3+(LOG(J3)*4/3))*0.21)+((O3+I3+(LOG(J3)*4/3))*0.341)</f>
        <v>1.8591311930038943</v>
      </c>
      <c r="BD3" s="159">
        <f>BB3/2</f>
        <v>0.47018845296126915</v>
      </c>
      <c r="BE3" s="159">
        <f>((L3+I3+(LOG(J3)*4/3))*0.291)</f>
        <v>4.2944220842520417</v>
      </c>
      <c r="BF3" s="159">
        <f>((L3+I3+(LOG(J3)*4/3))*0.348)</f>
        <v>5.1355975440539874</v>
      </c>
      <c r="BG3" s="159">
        <f>((M3+I3+(LOG(J3)*4/3))*0.881)</f>
        <v>4.1644030992796681</v>
      </c>
      <c r="BH3" s="159">
        <f>((N3+I3+(LOG(J3)*4/3))*0.574)+((O3+I3+(LOG(J3)*4/3))*0.315)</f>
        <v>3.9357283374116059</v>
      </c>
      <c r="BI3" s="159">
        <f>((O3+I3+(LOG(J3)*4/3))*0.241)</f>
        <v>0.89577404872463129</v>
      </c>
      <c r="BJ3" s="159">
        <f>((L3+I3+(LOG(J3)*4/3))*0.485)</f>
        <v>7.1573701404200696</v>
      </c>
      <c r="BK3" s="159">
        <f>((L3+I3+(LOG(J3)*4/3))*0.264)</f>
        <v>3.8959705506616462</v>
      </c>
      <c r="BL3" s="159">
        <f>((M3+I3+(LOG(J3)*4/3))*0.381)</f>
        <v>1.8009507160335454</v>
      </c>
      <c r="BM3" s="159">
        <f>((N3+I3+(LOG(J3)*4/3))*0.673)+((O3+I3+(LOG(J3)*4/3))*0.201)</f>
        <v>3.9888747659142223</v>
      </c>
      <c r="BN3" s="159">
        <f>((O3+I3+(LOG(J3)*4/3))*0.052)</f>
        <v>0.19327904785759678</v>
      </c>
      <c r="BO3" s="159">
        <f>((L3+I3+(LOG(J3)*4/3))*0.18)</f>
        <v>2.6563435572693042</v>
      </c>
      <c r="BP3" s="159">
        <f>(L3+I3+(LOG(J3)*4/3))*0.068</f>
        <v>1.003507566079515</v>
      </c>
      <c r="BQ3" s="159">
        <f>((M3+I3+(LOG(J3)*4/3))*0.305)</f>
        <v>1.4417059537801347</v>
      </c>
      <c r="BR3" s="159">
        <f>((N3+I3+(LOG(J3)*4/3))*1)+((O3+I3+(LOG(J3)*4/3))*0.286)</f>
        <v>5.8799395297090271</v>
      </c>
      <c r="BS3" s="159">
        <f>((O3+I3+(LOG(J3)*4/3))*0.135)</f>
        <v>0.50178214347645322</v>
      </c>
      <c r="BT3" s="159">
        <f>((L3+I3+(LOG(J3)*4/3))*0.284)</f>
        <v>4.1911198348026799</v>
      </c>
      <c r="BU3" s="159">
        <f>(L3+I3+(LOG(J3)*4/3))*0.244</f>
        <v>3.6008212665206125</v>
      </c>
      <c r="BV3" s="159">
        <f>((M3+I3+(LOG(J3)*4/3))*0.455)</f>
        <v>2.1507416687539718</v>
      </c>
      <c r="BW3" s="159">
        <f>((N3+I3+(LOG(J3)*4/3))*0.864)+((O3+I3+(LOG(J3)*4/3))*0.244)</f>
        <v>5.0687304812734073</v>
      </c>
      <c r="BX3" s="159">
        <f>((O3+I3+(LOG(J3)*4/3))*0.121)</f>
        <v>0.44974547674556176</v>
      </c>
      <c r="BY3" s="159">
        <f>((L3+I3+(LOG(J3)*4/3))*0.284)</f>
        <v>4.1911198348026799</v>
      </c>
      <c r="BZ3" s="159">
        <f>((L3+I3+(LOG(J3)*4/3))*0.244)</f>
        <v>3.6008212665206125</v>
      </c>
      <c r="CA3" s="159">
        <f>((M3+I3+(LOG(J3)*4/3))*0.631)</f>
        <v>2.9826769076566064</v>
      </c>
      <c r="CB3" s="159">
        <f>((N3+I3+(LOG(J3)*4/3))*0.702)+((O3+I3+(LOG(J3)*4/3))*0.193)</f>
        <v>4.0988297660105593</v>
      </c>
      <c r="CC3" s="159">
        <f>((O3+I3+(LOG(J3)*4/3))*0.148)</f>
        <v>0.55010190544085236</v>
      </c>
      <c r="CD3" s="159">
        <f>((M3+I3+(LOG(J3)*4/3))*0.406)</f>
        <v>1.9191233351958517</v>
      </c>
      <c r="CE3" s="159">
        <f>IF(D3="TEC",((N3+I3+(LOG(J3)*4/3))*0.15)+((O3+I3+(LOG(J3)*4/3))*0.324)+((P3+I3+(LOG(J3)*4/3))*0.127),(((N3+I3+(LOG(J3)*4/3))*0.144)+((O3+I3+(LOG(J3)*4/3))*0.25)+((P3+I3+(LOG(J3)*4/3))*0.127)))</f>
        <v>1.9806779388980156</v>
      </c>
      <c r="CF3" s="159">
        <f>((O3+I3+(LOG(J3)*4/3))*0.543)+((P3+I3+(LOG(J3)*4/3))*0.583)</f>
        <v>3.6608586559591574</v>
      </c>
      <c r="CG3" s="159">
        <f>CE3</f>
        <v>1.9806779388980156</v>
      </c>
      <c r="CH3" s="159">
        <f>((P3+1+(LOG(J3)*4/3))*0.26)+((N3+I3+(LOG(J3)*4/3))*0.221)+((O3+I3+(LOG(J3)*4/3))*0.142)</f>
        <v>2.3248761139691134</v>
      </c>
      <c r="CI3" s="159">
        <f>((P3+I3+(LOG(J3)*4/3))*1)+((O3+I3+(LOG(J3)*4/3))*0.369)</f>
        <v>4.1889981808834404</v>
      </c>
      <c r="CJ3" s="159">
        <f>CH3</f>
        <v>2.3248761139691134</v>
      </c>
      <c r="CK3" s="159">
        <f>((M3+I3+(LOG(J3)*4/3))*0.25)</f>
        <v>1.1817261916230613</v>
      </c>
    </row>
    <row r="4" spans="1:89" x14ac:dyDescent="0.25">
      <c r="A4" t="str">
        <f>PLANTILLA!D6</f>
        <v>T. Hammond</v>
      </c>
      <c r="B4" s="488">
        <f>PLANTILLA!E6</f>
        <v>34</v>
      </c>
      <c r="C4" s="488">
        <f ca="1">PLANTILLA!F6</f>
        <v>36</v>
      </c>
      <c r="D4" s="488" t="str">
        <f>PLANTILLA!G6</f>
        <v>CAB</v>
      </c>
      <c r="E4" s="290">
        <v>41400</v>
      </c>
      <c r="F4" s="341">
        <f>PLANTILLA!Q6</f>
        <v>6</v>
      </c>
      <c r="G4" s="407">
        <f t="shared" ref="G4:G5" si="0">(F4/7)^0.5</f>
        <v>0.92582009977255142</v>
      </c>
      <c r="H4" s="407">
        <f t="shared" ref="H4:H5" si="1">IF(F4=7,1,((F4+0.99)/7)^0.5)</f>
        <v>0.99928545900129484</v>
      </c>
      <c r="I4" s="497">
        <v>1.5</v>
      </c>
      <c r="J4" s="498">
        <f>PLANTILLA!I6</f>
        <v>7.8</v>
      </c>
      <c r="K4" s="163">
        <f>PLANTILLA!X6</f>
        <v>10.3</v>
      </c>
      <c r="L4" s="163">
        <f>PLANTILLA!Y6</f>
        <v>10.814999999999998</v>
      </c>
      <c r="M4" s="163">
        <f>PLANTILLA!Z6</f>
        <v>4.6400000000000006</v>
      </c>
      <c r="N4" s="163">
        <f>PLANTILLA!AA6</f>
        <v>4.95</v>
      </c>
      <c r="O4" s="163">
        <f>PLANTILLA!AB6</f>
        <v>6.5444444444444434</v>
      </c>
      <c r="P4" s="163">
        <f>PLANTILLA!AC6</f>
        <v>3.99</v>
      </c>
      <c r="Q4" s="163">
        <f>PLANTILLA!AD6</f>
        <v>15.778888888888888</v>
      </c>
      <c r="R4" s="163">
        <f t="shared" ref="R4:R21" si="2">((2*(O4+1))+(L4+1))/8</f>
        <v>3.3629861111111108</v>
      </c>
      <c r="S4" s="163">
        <f t="shared" ref="S4:S21" si="3">1.66*(P4+(LOG(J4)*4/3)+I4)+0.55*(Q4+(LOG(J4)*4/3)+I4)-7.6</f>
        <v>13.645494318150172</v>
      </c>
      <c r="T4" s="163">
        <f t="shared" ref="T4:T21" si="4">(0.5*P4+ 0.3*Q4)/10</f>
        <v>0.67286666666666661</v>
      </c>
      <c r="U4" s="163">
        <f t="shared" ref="U4:U21" si="5">(0.4*L4+0.3*Q4)/10</f>
        <v>0.90596666666666648</v>
      </c>
      <c r="V4" s="163">
        <f t="shared" ref="V4:V21" ca="1" si="6">IF(TODAY()-E4&gt;335,(Q4+1+(LOG(J4)*4/3))*(F4/7)^0.5,(Q4+((TODAY()-E4)^0.5)/(336^0.5)+(LOG(J4)*4/3))*(F4/7)^0.5)</f>
        <v>16.635458070609602</v>
      </c>
      <c r="W4" s="163">
        <f t="shared" ref="W4:W21" ca="1" si="7">IF(F4=7,V4,IF(TODAY()-E4&gt;335,(Q4+1+(LOG(J4)*4/3))*((F4+0.99)/7)^0.5,(Q4+((TODAY()-E4)^0.5)/(336^0.5)+(LOG(J4)*4/3))*((F4+0.99)/7)^0.5))</f>
        <v>17.955509237561234</v>
      </c>
      <c r="X4" s="159">
        <f t="shared" ref="X4:X21" si="8">((K4+I4+(LOG(J4)*4/3))*0.597)+((L4+I4+(LOG(J4)*4/3))*0.276)</f>
        <v>11.481938117531719</v>
      </c>
      <c r="Y4" s="159">
        <f t="shared" ref="Y4:Y21" si="9">((K4+I4+(LOG(J4)*4/3))*0.866)+((L4+I4+(LOG(J4)*4/3))*0.425)</f>
        <v>16.988267176097878</v>
      </c>
      <c r="Z4" s="159">
        <f t="shared" ref="Z4:Z21" si="10">X4</f>
        <v>11.481938117531719</v>
      </c>
      <c r="AA4" s="159">
        <f t="shared" ref="AA4:AA21" si="11">((L4+I4+(LOG(J4)*4/3))*0.516)</f>
        <v>6.9683010866510493</v>
      </c>
      <c r="AB4" s="159">
        <f t="shared" ref="AB4:AB21" si="12">(L4+I4+(LOG(J4)*4/3))*1</f>
        <v>13.504459470253972</v>
      </c>
      <c r="AC4" s="159">
        <f t="shared" ref="AC4:AC21" si="13">AA4/2</f>
        <v>3.4841505433255247</v>
      </c>
      <c r="AD4" s="159">
        <f t="shared" ref="AD4:AD21" si="14">(M4+I4+(LOG(J4)*4/3))*0.238</f>
        <v>1.7444113539204458</v>
      </c>
      <c r="AE4" s="159">
        <f t="shared" ref="AE4:AE21" si="15">((L4+I4+(LOG(J4)*4/3))*0.378)</f>
        <v>5.1046856797560016</v>
      </c>
      <c r="AF4" s="159">
        <f t="shared" ref="AF4:AF21" si="16">(L4+I4+(LOG(J4)*4/3))*0.723</f>
        <v>9.7637241969936213</v>
      </c>
      <c r="AG4" s="159">
        <f t="shared" ref="AG4:AG21" si="17">AE4/2</f>
        <v>2.5523428398780008</v>
      </c>
      <c r="AH4" s="159">
        <f t="shared" ref="AH4:AH21" si="18">(M4+I4+(LOG(J4)*4/3))*0.385</f>
        <v>2.82184189604778</v>
      </c>
      <c r="AI4" s="159">
        <f t="shared" ref="AI4:AI21" si="19">((L4+I4+(LOG(J4)*4/3))*0.92)</f>
        <v>12.424102712633655</v>
      </c>
      <c r="AJ4" s="159">
        <f t="shared" ref="AJ4:AJ21" si="20">(L4+I4+(LOG(J4)*4/3))*0.414</f>
        <v>5.5908462206851439</v>
      </c>
      <c r="AK4" s="159">
        <f t="shared" ref="AK4:AK21" si="21">((M4+I4+(LOG(J4)*4/3))*0.167)</f>
        <v>1.2240197315324137</v>
      </c>
      <c r="AL4" s="159">
        <f t="shared" ref="AL4:AL21" si="22">(N4+I4+(LOG(J4)*4/3))*0.588</f>
        <v>4.4920021685093365</v>
      </c>
      <c r="AM4" s="159">
        <f t="shared" ref="AM4:AM21" si="23">((L4+I4+(LOG(J4)*4/3))*0.754)</f>
        <v>10.182362440571495</v>
      </c>
      <c r="AN4" s="159">
        <f t="shared" ref="AN4:AN21" si="24">((L4+I4+(LOG(J4)*4/3))*0.708)</f>
        <v>9.5611573049398118</v>
      </c>
      <c r="AO4" s="159">
        <f t="shared" ref="AO4:AO21" si="25">((Q4+I4+(LOG(J4)*4/3))*0.167)</f>
        <v>3.0842141759768573</v>
      </c>
      <c r="AP4" s="159">
        <f t="shared" ref="AP4:AP21" si="26">((R4+I4+(LOG(J4)*4/3))*0.288)</f>
        <v>1.7431043274331441</v>
      </c>
      <c r="AQ4" s="159">
        <f t="shared" ref="AQ4:AQ21" si="27">((L4+I4+(LOG(J4)*4/3))*0.27)</f>
        <v>3.6462040569685725</v>
      </c>
      <c r="AR4" s="159">
        <f t="shared" ref="AR4:AR21" si="28">((L4+I4+(LOG(J4)*4/3))*0.594)</f>
        <v>8.021648925330858</v>
      </c>
      <c r="AS4" s="159">
        <f t="shared" ref="AS4:AS21" si="29">AQ4/2</f>
        <v>1.8231020284842863</v>
      </c>
      <c r="AT4" s="159">
        <f t="shared" ref="AT4:AT21" si="30">((M4+I4+(LOG(J4)*4/3))*0.944)</f>
        <v>6.9190097399197512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2.5523428398780008</v>
      </c>
      <c r="AY4" s="159">
        <f t="shared" ref="AY4:AY21" si="35">((L4+I4+(LOG(J4)*4/3))*0.4)</f>
        <v>5.4017837881015893</v>
      </c>
      <c r="AZ4" s="159">
        <f t="shared" ref="AZ4:AZ21" si="36">AX4/2</f>
        <v>1.2761714199390004</v>
      </c>
      <c r="BA4" s="159">
        <f t="shared" ref="BA4:BA21" si="37">((M4+I4+(LOG(J4)*4/3))*1)</f>
        <v>7.3294594702539744</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3.9297977058439053</v>
      </c>
      <c r="BF4" s="159">
        <f t="shared" ref="BF4:BF21" si="42">((L4+I4+(LOG(J4)*4/3))*0.348)</f>
        <v>4.6995518956483817</v>
      </c>
      <c r="BG4" s="159">
        <f t="shared" ref="BG4:BG21" si="43">((M4+I4+(LOG(J4)*4/3))*0.881)</f>
        <v>6.4572537932937513</v>
      </c>
      <c r="BH4" s="159">
        <f t="shared" ref="BH4:BH21" si="44">((N4+I4+(LOG(J4)*4/3))*0.574)+((O4+I4+(LOG(J4)*4/3))*0.315)</f>
        <v>7.2937294690557817</v>
      </c>
      <c r="BI4" s="159">
        <f t="shared" ref="BI4:BI21" si="45">((O4+I4+(LOG(J4)*4/3))*0.241)</f>
        <v>2.2253708434423185</v>
      </c>
      <c r="BJ4" s="159">
        <f t="shared" ref="BJ4:BJ21" si="46">((L4+I4+(LOG(J4)*4/3))*0.485)</f>
        <v>6.5496628430731763</v>
      </c>
      <c r="BK4" s="159">
        <f t="shared" ref="BK4:BK21" si="47">((L4+I4+(LOG(J4)*4/3))*0.264)</f>
        <v>3.5651773001470488</v>
      </c>
      <c r="BL4" s="159">
        <f t="shared" ref="BL4:BL21" si="48">((M4+I4+(LOG(J4)*4/3))*0.381)</f>
        <v>2.7925240581667641</v>
      </c>
      <c r="BM4" s="159">
        <f t="shared" ref="BM4:BM21" si="49">((N4+I4+(LOG(J4)*4/3))*0.673)+((O4+I4+(LOG(J4)*4/3))*0.201)</f>
        <v>6.9973709103353068</v>
      </c>
      <c r="BN4" s="159">
        <f t="shared" ref="BN4:BN21" si="50">((O4+I4+(LOG(J4)*4/3))*0.052)</f>
        <v>0.48016300356431774</v>
      </c>
      <c r="BO4" s="159">
        <f t="shared" ref="BO4:BO21" si="51">((L4+I4+(LOG(J4)*4/3))*0.18)</f>
        <v>2.4308027046457146</v>
      </c>
      <c r="BP4" s="159">
        <f t="shared" ref="BP4:BP21" si="52">(L4+I4+(LOG(J4)*4/3))*0.068</f>
        <v>0.91830324397727014</v>
      </c>
      <c r="BQ4" s="159">
        <f t="shared" ref="BQ4:BQ21" si="53">((M4+I4+(LOG(J4)*4/3))*0.305)</f>
        <v>2.2354851384274621</v>
      </c>
      <c r="BR4" s="159">
        <f t="shared" ref="BR4:BR21" si="54">((N4+I4+(LOG(J4)*4/3))*1)+((O4+I4+(LOG(J4)*4/3))*0.286)</f>
        <v>10.280355989857721</v>
      </c>
      <c r="BS4" s="159">
        <f t="shared" ref="BS4:BS21" si="55">((O4+I4+(LOG(J4)*4/3))*0.135)</f>
        <v>1.2465770284842865</v>
      </c>
      <c r="BT4" s="159">
        <f t="shared" ref="BT4:BT21" si="56">((L4+I4+(LOG(J4)*4/3))*0.284)</f>
        <v>3.8352664895521276</v>
      </c>
      <c r="BU4" s="159">
        <f t="shared" ref="BU4:BU21" si="57">(L4+I4+(LOG(J4)*4/3))*0.244</f>
        <v>3.2950881107419692</v>
      </c>
      <c r="BV4" s="159">
        <f t="shared" ref="BV4:BV21" si="58">((M4+I4+(LOG(J4)*4/3))*0.455)</f>
        <v>3.3349040589655585</v>
      </c>
      <c r="BW4" s="159">
        <f t="shared" ref="BW4:BW21" si="59">((N4+I4+(LOG(J4)*4/3))*0.864)+((O4+I4+(LOG(J4)*4/3))*0.244)</f>
        <v>8.8535655374858475</v>
      </c>
      <c r="BX4" s="159">
        <f t="shared" ref="BX4:BX21" si="60">((O4+I4+(LOG(J4)*4/3))*0.121)</f>
        <v>1.1173023736785086</v>
      </c>
      <c r="BY4" s="159">
        <f t="shared" ref="BY4:BY21" si="61">((L4+I4+(LOG(J4)*4/3))*0.284)</f>
        <v>3.8352664895521276</v>
      </c>
      <c r="BZ4" s="159">
        <f t="shared" ref="BZ4:BZ21" si="62">((L4+I4+(LOG(J4)*4/3))*0.244)</f>
        <v>3.2950881107419692</v>
      </c>
      <c r="CA4" s="159">
        <f t="shared" ref="CA4:CA21" si="63">((M4+I4+(LOG(J4)*4/3))*0.631)</f>
        <v>4.6248889257302581</v>
      </c>
      <c r="CB4" s="159">
        <f t="shared" ref="CB4:CB21" si="64">((N4+I4+(LOG(J4)*4/3))*0.702)+((O4+I4+(LOG(J4)*4/3))*0.193)</f>
        <v>7.1450440036550837</v>
      </c>
      <c r="CC4" s="159">
        <f t="shared" ref="CC4:CC21" si="65">((O4+I4+(LOG(J4)*4/3))*0.148)</f>
        <v>1.3666177793753658</v>
      </c>
      <c r="CD4" s="159">
        <f t="shared" ref="CD4:CD21" si="66">((M4+I4+(LOG(J4)*4/3))*0.406)</f>
        <v>2.9757605449231139</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1.8323648675634936</v>
      </c>
    </row>
    <row r="5" spans="1:89" x14ac:dyDescent="0.25">
      <c r="A5" t="str">
        <f>PLANTILLA!D8</f>
        <v>D. Toh</v>
      </c>
      <c r="B5" s="488">
        <f>PLANTILLA!E8</f>
        <v>31</v>
      </c>
      <c r="C5" s="488">
        <f ca="1">PLANTILLA!F8</f>
        <v>84</v>
      </c>
      <c r="D5" s="488" t="str">
        <f>PLANTILLA!G8</f>
        <v>CAB</v>
      </c>
      <c r="E5" s="290">
        <v>41519</v>
      </c>
      <c r="F5" s="341">
        <f>PLANTILLA!Q8</f>
        <v>6</v>
      </c>
      <c r="G5" s="407">
        <f t="shared" si="0"/>
        <v>0.92582009977255142</v>
      </c>
      <c r="H5" s="407">
        <f t="shared" si="1"/>
        <v>0.99928545900129484</v>
      </c>
      <c r="I5" s="497">
        <v>1.5</v>
      </c>
      <c r="J5" s="498">
        <f>PLANTILLA!I8</f>
        <v>7.5</v>
      </c>
      <c r="K5" s="163">
        <f>PLANTILLA!X8</f>
        <v>0</v>
      </c>
      <c r="L5" s="163">
        <f>PLANTILLA!Y8</f>
        <v>11.077333333333334</v>
      </c>
      <c r="M5" s="163">
        <f>PLANTILLA!Z8</f>
        <v>6.199444444444441</v>
      </c>
      <c r="N5" s="163">
        <f>PLANTILLA!AA8</f>
        <v>6.04</v>
      </c>
      <c r="O5" s="163">
        <f>PLANTILLA!AB8</f>
        <v>7.7227777777777789</v>
      </c>
      <c r="P5" s="163">
        <f>PLANTILLA!AC8</f>
        <v>4.383333333333332</v>
      </c>
      <c r="Q5" s="163">
        <f>PLANTILLA!AD8</f>
        <v>15.349999999999998</v>
      </c>
      <c r="R5" s="163">
        <f t="shared" si="2"/>
        <v>3.6903611111111116</v>
      </c>
      <c r="S5" s="163">
        <f t="shared" si="3"/>
        <v>14.01234718946087</v>
      </c>
      <c r="T5" s="163">
        <f t="shared" si="4"/>
        <v>0.67966666666666653</v>
      </c>
      <c r="U5" s="163">
        <f t="shared" si="5"/>
        <v>0.90359333333333325</v>
      </c>
      <c r="V5" s="163">
        <f t="shared" ca="1" si="6"/>
        <v>16.217357706188412</v>
      </c>
      <c r="W5" s="163">
        <f t="shared" ca="1" si="7"/>
        <v>17.504231916328006</v>
      </c>
      <c r="X5" s="159">
        <f t="shared" si="8"/>
        <v>5.3854153105879394</v>
      </c>
      <c r="Y5" s="159">
        <f t="shared" si="9"/>
        <v>8.1506387880515803</v>
      </c>
      <c r="Z5" s="159">
        <f t="shared" si="10"/>
        <v>5.3854153105879394</v>
      </c>
      <c r="AA5" s="159">
        <f t="shared" si="11"/>
        <v>7.0919461492134905</v>
      </c>
      <c r="AB5" s="159">
        <f t="shared" si="12"/>
        <v>13.744081684522268</v>
      </c>
      <c r="AC5" s="159">
        <f t="shared" si="13"/>
        <v>3.5459730746067453</v>
      </c>
      <c r="AD5" s="159">
        <f t="shared" si="14"/>
        <v>2.1101538853607429</v>
      </c>
      <c r="AE5" s="159">
        <f t="shared" si="15"/>
        <v>5.1952628767494176</v>
      </c>
      <c r="AF5" s="159">
        <f t="shared" si="16"/>
        <v>9.9369710579095987</v>
      </c>
      <c r="AG5" s="159">
        <f t="shared" si="17"/>
        <v>2.5976314383747088</v>
      </c>
      <c r="AH5" s="159">
        <f t="shared" si="18"/>
        <v>3.413484226318849</v>
      </c>
      <c r="AI5" s="159">
        <f t="shared" si="19"/>
        <v>12.644555149760487</v>
      </c>
      <c r="AJ5" s="159">
        <f t="shared" si="20"/>
        <v>5.6900498173922189</v>
      </c>
      <c r="AK5" s="159">
        <f t="shared" si="21"/>
        <v>1.4806541968707736</v>
      </c>
      <c r="AL5" s="159">
        <f t="shared" si="22"/>
        <v>5.1195680304990923</v>
      </c>
      <c r="AM5" s="159">
        <f t="shared" si="23"/>
        <v>10.363037590129791</v>
      </c>
      <c r="AN5" s="159">
        <f t="shared" si="24"/>
        <v>9.7308098326417642</v>
      </c>
      <c r="AO5" s="159">
        <f t="shared" si="25"/>
        <v>3.0087969746485514</v>
      </c>
      <c r="AP5" s="159">
        <f t="shared" si="26"/>
        <v>1.8308475251424128</v>
      </c>
      <c r="AQ5" s="159">
        <f t="shared" si="27"/>
        <v>3.7109020548210125</v>
      </c>
      <c r="AR5" s="159">
        <f t="shared" si="28"/>
        <v>8.1639845206062258</v>
      </c>
      <c r="AS5" s="159">
        <f t="shared" si="29"/>
        <v>1.8554510274105063</v>
      </c>
      <c r="AT5" s="159">
        <f t="shared" si="30"/>
        <v>8.3696859990779053</v>
      </c>
      <c r="AU5" s="159">
        <f t="shared" si="31"/>
        <v>1.3506383967656728</v>
      </c>
      <c r="AV5" s="159">
        <f t="shared" si="32"/>
        <v>2.466407266898357</v>
      </c>
      <c r="AW5" s="159">
        <f t="shared" si="33"/>
        <v>0.67531919838283638</v>
      </c>
      <c r="AX5" s="159">
        <f t="shared" si="34"/>
        <v>2.5976314383747088</v>
      </c>
      <c r="AY5" s="159">
        <f t="shared" si="35"/>
        <v>5.4976326738089076</v>
      </c>
      <c r="AZ5" s="159">
        <f t="shared" si="36"/>
        <v>1.2988157191873544</v>
      </c>
      <c r="BA5" s="159">
        <f t="shared" si="37"/>
        <v>8.8661927956333741</v>
      </c>
      <c r="BB5" s="159">
        <f t="shared" si="38"/>
        <v>2.6285501106285785</v>
      </c>
      <c r="BC5" s="159">
        <f t="shared" si="39"/>
        <v>5.0233455637273252</v>
      </c>
      <c r="BD5" s="159">
        <f t="shared" si="40"/>
        <v>1.3142750553142892</v>
      </c>
      <c r="BE5" s="159">
        <f t="shared" si="41"/>
        <v>3.9995277701959795</v>
      </c>
      <c r="BF5" s="159">
        <f t="shared" si="42"/>
        <v>4.7829404262137487</v>
      </c>
      <c r="BG5" s="159">
        <f t="shared" si="43"/>
        <v>7.8111158529530025</v>
      </c>
      <c r="BH5" s="159">
        <f t="shared" si="44"/>
        <v>8.2703742842069623</v>
      </c>
      <c r="BI5" s="159">
        <f t="shared" si="45"/>
        <v>2.5038757970809775</v>
      </c>
      <c r="BJ5" s="159">
        <f t="shared" si="46"/>
        <v>6.6658796169932995</v>
      </c>
      <c r="BK5" s="159">
        <f t="shared" si="47"/>
        <v>3.6284375647138787</v>
      </c>
      <c r="BL5" s="159">
        <f t="shared" si="48"/>
        <v>3.3780194551363154</v>
      </c>
      <c r="BM5" s="159">
        <f t="shared" si="49"/>
        <v>7.947936392272462</v>
      </c>
      <c r="BN5" s="159">
        <f t="shared" si="50"/>
        <v>0.54025535870626906</v>
      </c>
      <c r="BO5" s="159">
        <f t="shared" si="51"/>
        <v>2.4739347032140082</v>
      </c>
      <c r="BP5" s="159">
        <f t="shared" si="52"/>
        <v>0.93459755454751425</v>
      </c>
      <c r="BQ5" s="159">
        <f t="shared" si="53"/>
        <v>2.7041888026681788</v>
      </c>
      <c r="BR5" s="159">
        <f t="shared" si="54"/>
        <v>11.678152824073413</v>
      </c>
      <c r="BS5" s="159">
        <f t="shared" si="55"/>
        <v>1.4025860274105064</v>
      </c>
      <c r="BT5" s="159">
        <f t="shared" si="56"/>
        <v>3.9033191984043238</v>
      </c>
      <c r="BU5" s="159">
        <f t="shared" si="57"/>
        <v>3.3535559310234331</v>
      </c>
      <c r="BV5" s="159">
        <f t="shared" si="58"/>
        <v>4.0341177220131854</v>
      </c>
      <c r="BW5" s="159">
        <f t="shared" si="59"/>
        <v>10.057674950895116</v>
      </c>
      <c r="BX5" s="159">
        <f t="shared" si="60"/>
        <v>1.2571326616049723</v>
      </c>
      <c r="BY5" s="159">
        <f t="shared" si="61"/>
        <v>3.9033191984043238</v>
      </c>
      <c r="BZ5" s="159">
        <f t="shared" si="62"/>
        <v>3.3535559310234331</v>
      </c>
      <c r="CA5" s="159">
        <f t="shared" si="63"/>
        <v>5.5945676540446589</v>
      </c>
      <c r="CB5" s="159">
        <f t="shared" si="64"/>
        <v>8.1173158854252065</v>
      </c>
      <c r="CC5" s="159">
        <f t="shared" si="65"/>
        <v>1.5376498670870735</v>
      </c>
      <c r="CD5" s="159">
        <f t="shared" si="66"/>
        <v>3.5996742750271502</v>
      </c>
      <c r="CE5" s="159">
        <f t="shared" si="67"/>
        <v>4.7465136687472125</v>
      </c>
      <c r="CF5" s="159">
        <f t="shared" si="68"/>
        <v>9.7517103101054055</v>
      </c>
      <c r="CG5" s="159">
        <f t="shared" si="69"/>
        <v>4.7465136687472125</v>
      </c>
      <c r="CH5" s="159">
        <f t="shared" si="70"/>
        <v>5.1025253339018164</v>
      </c>
      <c r="CI5" s="159">
        <f t="shared" si="71"/>
        <v>10.883816826110982</v>
      </c>
      <c r="CJ5" s="159">
        <f t="shared" si="72"/>
        <v>5.1025253339018164</v>
      </c>
      <c r="CK5" s="159">
        <f t="shared" si="73"/>
        <v>2.2165481989083435</v>
      </c>
    </row>
    <row r="6" spans="1:89" x14ac:dyDescent="0.25">
      <c r="A6" t="str">
        <f>PLANTILLA!D9</f>
        <v>E. Toney</v>
      </c>
      <c r="B6" s="488">
        <f>PLANTILLA!E9</f>
        <v>31</v>
      </c>
      <c r="C6" s="488">
        <f ca="1">PLANTILLA!F9</f>
        <v>38</v>
      </c>
      <c r="D6" s="488"/>
      <c r="E6" s="290">
        <v>41539</v>
      </c>
      <c r="F6" s="341">
        <f>PLANTILLA!Q9</f>
        <v>5</v>
      </c>
      <c r="G6" s="407">
        <f t="shared" ref="G6:G10" si="74">(F6/7)^0.5</f>
        <v>0.84515425472851657</v>
      </c>
      <c r="H6" s="407">
        <f>IF(F6=7,1,((F6+0.99)/7)^0.5)</f>
        <v>0.92504826128926143</v>
      </c>
      <c r="I6" s="497">
        <v>1.5</v>
      </c>
      <c r="J6" s="498">
        <f>PLANTILLA!I9</f>
        <v>12.2</v>
      </c>
      <c r="K6" s="163">
        <f>PLANTILLA!X9</f>
        <v>0</v>
      </c>
      <c r="L6" s="163">
        <f>PLANTILLA!Y9</f>
        <v>12.200000000000005</v>
      </c>
      <c r="M6" s="163">
        <f>PLANTILLA!Z9</f>
        <v>13.156555555555553</v>
      </c>
      <c r="N6" s="163">
        <f>PLANTILLA!AA9</f>
        <v>9.8200000000000056</v>
      </c>
      <c r="O6" s="163">
        <f>PLANTILLA!AB9</f>
        <v>9.6</v>
      </c>
      <c r="P6" s="163">
        <f>PLANTILLA!AC9</f>
        <v>3.6816666666666658</v>
      </c>
      <c r="Q6" s="163">
        <f>PLANTILLA!AD9</f>
        <v>16.627777777777773</v>
      </c>
      <c r="R6" s="163">
        <f t="shared" si="2"/>
        <v>4.3000000000000007</v>
      </c>
      <c r="S6" s="163">
        <f t="shared" si="3"/>
        <v>14.172984745499365</v>
      </c>
      <c r="T6" s="163">
        <f t="shared" si="4"/>
        <v>0.68291666666666639</v>
      </c>
      <c r="U6" s="163">
        <f t="shared" si="5"/>
        <v>0.98683333333333345</v>
      </c>
      <c r="V6" s="163">
        <f t="shared" ca="1" si="6"/>
        <v>16.122380234378898</v>
      </c>
      <c r="W6" s="163">
        <f t="shared" ca="1" si="7"/>
        <v>17.646458880393705</v>
      </c>
      <c r="X6" s="159">
        <f t="shared" si="8"/>
        <v>5.9412228429054093</v>
      </c>
      <c r="Y6" s="159">
        <f t="shared" si="9"/>
        <v>8.9914873885348019</v>
      </c>
      <c r="Z6" s="159">
        <f t="shared" si="10"/>
        <v>5.9412228429054093</v>
      </c>
      <c r="AA6" s="159">
        <f t="shared" si="11"/>
        <v>7.8166155635042296</v>
      </c>
      <c r="AB6" s="159">
        <f t="shared" si="12"/>
        <v>15.148479774233003</v>
      </c>
      <c r="AC6" s="159">
        <f t="shared" si="13"/>
        <v>3.9083077817521148</v>
      </c>
      <c r="AD6" s="159">
        <f t="shared" si="14"/>
        <v>3.8329984084896744</v>
      </c>
      <c r="AE6" s="159">
        <f t="shared" si="15"/>
        <v>5.7261253546600752</v>
      </c>
      <c r="AF6" s="159">
        <f t="shared" si="16"/>
        <v>10.952350876770462</v>
      </c>
      <c r="AG6" s="159">
        <f t="shared" si="17"/>
        <v>2.8630626773300376</v>
      </c>
      <c r="AH6" s="159">
        <f t="shared" si="18"/>
        <v>6.2004386019685915</v>
      </c>
      <c r="AI6" s="159">
        <f t="shared" si="19"/>
        <v>13.936601392294364</v>
      </c>
      <c r="AJ6" s="159">
        <f t="shared" si="20"/>
        <v>6.2714706265324631</v>
      </c>
      <c r="AK6" s="159">
        <f t="shared" si="21"/>
        <v>2.6895409000746877</v>
      </c>
      <c r="AL6" s="159">
        <f t="shared" si="22"/>
        <v>7.507866107249006</v>
      </c>
      <c r="AM6" s="159">
        <f t="shared" si="23"/>
        <v>11.421953749771685</v>
      </c>
      <c r="AN6" s="159">
        <f t="shared" si="24"/>
        <v>10.725123680156965</v>
      </c>
      <c r="AO6" s="159">
        <f t="shared" si="25"/>
        <v>3.2692350111857986</v>
      </c>
      <c r="AP6" s="159">
        <f t="shared" si="26"/>
        <v>2.0875621749791033</v>
      </c>
      <c r="AQ6" s="159">
        <f t="shared" si="27"/>
        <v>4.0900895390429115</v>
      </c>
      <c r="AR6" s="159">
        <f t="shared" si="28"/>
        <v>8.9981969858944026</v>
      </c>
      <c r="AS6" s="159">
        <f t="shared" si="29"/>
        <v>2.0450447695214558</v>
      </c>
      <c r="AT6" s="159">
        <f t="shared" si="30"/>
        <v>15.20315335132039</v>
      </c>
      <c r="AU6" s="159">
        <f t="shared" si="31"/>
        <v>1.6313023706502898</v>
      </c>
      <c r="AV6" s="159">
        <f t="shared" si="32"/>
        <v>2.6528329071836012</v>
      </c>
      <c r="AW6" s="159">
        <f t="shared" si="33"/>
        <v>0.81565118532514491</v>
      </c>
      <c r="AX6" s="159">
        <f t="shared" si="34"/>
        <v>2.8630626773300376</v>
      </c>
      <c r="AY6" s="159">
        <f t="shared" si="35"/>
        <v>6.0593919096932014</v>
      </c>
      <c r="AZ6" s="159">
        <f t="shared" si="36"/>
        <v>1.4315313386650188</v>
      </c>
      <c r="BA6" s="159">
        <f t="shared" si="37"/>
        <v>16.105035329788549</v>
      </c>
      <c r="BB6" s="159">
        <f t="shared" si="38"/>
        <v>3.1747653828809486</v>
      </c>
      <c r="BC6" s="159">
        <f t="shared" si="39"/>
        <v>5.6713623556023816</v>
      </c>
      <c r="BD6" s="159">
        <f t="shared" si="40"/>
        <v>1.5873826914404743</v>
      </c>
      <c r="BE6" s="159">
        <f t="shared" si="41"/>
        <v>4.4082076143018032</v>
      </c>
      <c r="BF6" s="159">
        <f t="shared" si="42"/>
        <v>5.2716709614330846</v>
      </c>
      <c r="BG6" s="159">
        <f t="shared" si="43"/>
        <v>14.188536125543711</v>
      </c>
      <c r="BH6" s="159">
        <f t="shared" si="44"/>
        <v>11.281878519293139</v>
      </c>
      <c r="BI6" s="159">
        <f t="shared" si="45"/>
        <v>3.0241836255901524</v>
      </c>
      <c r="BJ6" s="159">
        <f t="shared" si="46"/>
        <v>7.3470126905030062</v>
      </c>
      <c r="BK6" s="159">
        <f t="shared" si="47"/>
        <v>3.9991986603975129</v>
      </c>
      <c r="BL6" s="159">
        <f t="shared" si="48"/>
        <v>6.1360184606494377</v>
      </c>
      <c r="BM6" s="159">
        <f t="shared" si="49"/>
        <v>11.115431322679644</v>
      </c>
      <c r="BN6" s="159">
        <f t="shared" si="50"/>
        <v>0.65252094826011586</v>
      </c>
      <c r="BO6" s="159">
        <f t="shared" si="51"/>
        <v>2.7267263593619404</v>
      </c>
      <c r="BP6" s="159">
        <f t="shared" si="52"/>
        <v>1.0300966246478442</v>
      </c>
      <c r="BQ6" s="159">
        <f t="shared" si="53"/>
        <v>4.9120357755855073</v>
      </c>
      <c r="BR6" s="159">
        <f t="shared" si="54"/>
        <v>16.357344989663641</v>
      </c>
      <c r="BS6" s="159">
        <f t="shared" si="55"/>
        <v>1.6940447695214549</v>
      </c>
      <c r="BT6" s="159">
        <f t="shared" si="56"/>
        <v>4.3021682558821723</v>
      </c>
      <c r="BU6" s="159">
        <f t="shared" si="57"/>
        <v>3.6962290649128526</v>
      </c>
      <c r="BV6" s="159">
        <f t="shared" si="58"/>
        <v>7.3277910750537902</v>
      </c>
      <c r="BW6" s="159">
        <f t="shared" si="59"/>
        <v>14.093795589850167</v>
      </c>
      <c r="BX6" s="159">
        <f t="shared" si="60"/>
        <v>1.5183660526821927</v>
      </c>
      <c r="BY6" s="159">
        <f t="shared" si="61"/>
        <v>4.3021682558821723</v>
      </c>
      <c r="BZ6" s="159">
        <f t="shared" si="62"/>
        <v>3.6962290649128526</v>
      </c>
      <c r="CA6" s="159">
        <f t="shared" si="63"/>
        <v>10.162277293096574</v>
      </c>
      <c r="CB6" s="159">
        <f t="shared" si="64"/>
        <v>11.385329397938536</v>
      </c>
      <c r="CC6" s="159">
        <f t="shared" si="65"/>
        <v>1.8571750065864836</v>
      </c>
      <c r="CD6" s="159">
        <f t="shared" si="66"/>
        <v>6.5386443438941511</v>
      </c>
      <c r="CE6" s="159">
        <f t="shared" si="67"/>
        <v>5.8178096290420598</v>
      </c>
      <c r="CF6" s="159">
        <f t="shared" si="68"/>
        <v>10.679199892453022</v>
      </c>
      <c r="CG6" s="159">
        <f t="shared" si="69"/>
        <v>5.8178096290420598</v>
      </c>
      <c r="CH6" s="159">
        <f t="shared" si="70"/>
        <v>6.1975562326804923</v>
      </c>
      <c r="CI6" s="159">
        <f t="shared" si="71"/>
        <v>11.26053547759164</v>
      </c>
      <c r="CJ6" s="159">
        <f t="shared" si="72"/>
        <v>6.1975562326804923</v>
      </c>
      <c r="CK6" s="159">
        <f t="shared" si="73"/>
        <v>4.0262588324471373</v>
      </c>
    </row>
    <row r="7" spans="1:89" x14ac:dyDescent="0.25">
      <c r="A7" t="str">
        <f>PLANTILLA!D10</f>
        <v>B. Bartolache</v>
      </c>
      <c r="B7" s="488">
        <f>PLANTILLA!E10</f>
        <v>31</v>
      </c>
      <c r="C7" s="488">
        <f ca="1">PLANTILLA!F10</f>
        <v>23</v>
      </c>
      <c r="D7" s="488"/>
      <c r="E7" s="290">
        <v>41527</v>
      </c>
      <c r="F7" s="341">
        <f>PLANTILLA!Q10</f>
        <v>7</v>
      </c>
      <c r="G7" s="407">
        <f t="shared" si="74"/>
        <v>1</v>
      </c>
      <c r="H7" s="407">
        <f t="shared" ref="H7:H21" si="75">IF(F7=7,1,((F7+0.99)/7)^0.5)</f>
        <v>1</v>
      </c>
      <c r="I7" s="497">
        <v>1.5</v>
      </c>
      <c r="J7" s="498">
        <f>PLANTILLA!I10</f>
        <v>9.3000000000000007</v>
      </c>
      <c r="K7" s="163">
        <f>PLANTILLA!X10</f>
        <v>0</v>
      </c>
      <c r="L7" s="163">
        <f>PLANTILLA!Y10</f>
        <v>11.999999999999996</v>
      </c>
      <c r="M7" s="163">
        <f>PLANTILLA!Z10</f>
        <v>7.0025000000000022</v>
      </c>
      <c r="N7" s="163">
        <f>PLANTILLA!AA10</f>
        <v>7.4300000000000015</v>
      </c>
      <c r="O7" s="163">
        <f>PLANTILLA!AB10</f>
        <v>9.0199999999999978</v>
      </c>
      <c r="P7" s="163">
        <f>PLANTILLA!AC10</f>
        <v>4.6199999999999966</v>
      </c>
      <c r="Q7" s="163">
        <f>PLANTILLA!AD10</f>
        <v>15.6</v>
      </c>
      <c r="R7" s="163">
        <f t="shared" si="2"/>
        <v>4.129999999999999</v>
      </c>
      <c r="S7" s="163">
        <f t="shared" si="3"/>
        <v>14.817996421738927</v>
      </c>
      <c r="T7" s="163">
        <f t="shared" si="4"/>
        <v>0.69899999999999984</v>
      </c>
      <c r="U7" s="163">
        <f t="shared" si="5"/>
        <v>0.94799999999999984</v>
      </c>
      <c r="V7" s="163">
        <f t="shared" ca="1" si="6"/>
        <v>17.891310598071914</v>
      </c>
      <c r="W7" s="163">
        <f t="shared" ca="1" si="7"/>
        <v>17.891310598071914</v>
      </c>
      <c r="X7" s="159">
        <f t="shared" si="8"/>
        <v>5.7488141521167799</v>
      </c>
      <c r="Y7" s="159">
        <f t="shared" si="9"/>
        <v>8.7035819821108387</v>
      </c>
      <c r="Z7" s="159">
        <f t="shared" si="10"/>
        <v>5.7488141521167799</v>
      </c>
      <c r="AA7" s="159">
        <f t="shared" si="11"/>
        <v>7.6323162686051056</v>
      </c>
      <c r="AB7" s="159">
        <f t="shared" si="12"/>
        <v>14.79131059807191</v>
      </c>
      <c r="AC7" s="159">
        <f t="shared" si="13"/>
        <v>3.8161581343025528</v>
      </c>
      <c r="AD7" s="159">
        <f t="shared" si="14"/>
        <v>2.3309269223411153</v>
      </c>
      <c r="AE7" s="159">
        <f t="shared" si="15"/>
        <v>5.5911154060711814</v>
      </c>
      <c r="AF7" s="159">
        <f t="shared" si="16"/>
        <v>10.694117562405991</v>
      </c>
      <c r="AG7" s="159">
        <f t="shared" si="17"/>
        <v>2.7955577030355907</v>
      </c>
      <c r="AH7" s="159">
        <f t="shared" si="18"/>
        <v>3.7706170802576873</v>
      </c>
      <c r="AI7" s="159">
        <f t="shared" si="19"/>
        <v>13.608005750226157</v>
      </c>
      <c r="AJ7" s="159">
        <f t="shared" si="20"/>
        <v>6.1236025876017699</v>
      </c>
      <c r="AK7" s="159">
        <f t="shared" si="21"/>
        <v>1.6355663698780099</v>
      </c>
      <c r="AL7" s="159">
        <f t="shared" si="22"/>
        <v>6.0101306316662857</v>
      </c>
      <c r="AM7" s="159">
        <f t="shared" si="23"/>
        <v>11.15264819094622</v>
      </c>
      <c r="AN7" s="159">
        <f t="shared" si="24"/>
        <v>10.472247903434912</v>
      </c>
      <c r="AO7" s="159">
        <f t="shared" si="25"/>
        <v>3.07134886987801</v>
      </c>
      <c r="AP7" s="159">
        <f t="shared" si="26"/>
        <v>1.9933374522447105</v>
      </c>
      <c r="AQ7" s="159">
        <f t="shared" si="27"/>
        <v>3.9936538614794159</v>
      </c>
      <c r="AR7" s="159">
        <f t="shared" si="28"/>
        <v>8.7860384952547133</v>
      </c>
      <c r="AS7" s="159">
        <f t="shared" si="29"/>
        <v>1.996826930739708</v>
      </c>
      <c r="AT7" s="159">
        <f t="shared" si="30"/>
        <v>9.2453572045798875</v>
      </c>
      <c r="AU7" s="159">
        <f t="shared" si="31"/>
        <v>1.5354703777493484</v>
      </c>
      <c r="AV7" s="159">
        <f t="shared" si="32"/>
        <v>2.6995140052350699</v>
      </c>
      <c r="AW7" s="159">
        <f t="shared" si="33"/>
        <v>0.76773518887467418</v>
      </c>
      <c r="AX7" s="159">
        <f t="shared" si="34"/>
        <v>2.7955577030355907</v>
      </c>
      <c r="AY7" s="159">
        <f t="shared" si="35"/>
        <v>5.9165242392287638</v>
      </c>
      <c r="AZ7" s="159">
        <f t="shared" si="36"/>
        <v>1.3977788515177954</v>
      </c>
      <c r="BA7" s="159">
        <f t="shared" si="37"/>
        <v>9.7938105980719143</v>
      </c>
      <c r="BB7" s="159">
        <f t="shared" si="38"/>
        <v>2.9882615813121935</v>
      </c>
      <c r="BC7" s="159">
        <f t="shared" si="39"/>
        <v>5.5840321395376229</v>
      </c>
      <c r="BD7" s="159">
        <f t="shared" si="40"/>
        <v>1.4941307906560968</v>
      </c>
      <c r="BE7" s="159">
        <f t="shared" si="41"/>
        <v>4.3042713840389251</v>
      </c>
      <c r="BF7" s="159">
        <f t="shared" si="42"/>
        <v>5.1473760881290245</v>
      </c>
      <c r="BG7" s="159">
        <f t="shared" si="43"/>
        <v>8.6283471369013558</v>
      </c>
      <c r="BH7" s="159">
        <f t="shared" si="44"/>
        <v>9.587595121685931</v>
      </c>
      <c r="BI7" s="159">
        <f t="shared" si="45"/>
        <v>2.8465258541353302</v>
      </c>
      <c r="BJ7" s="159">
        <f t="shared" si="46"/>
        <v>7.1737856400648763</v>
      </c>
      <c r="BK7" s="159">
        <f t="shared" si="47"/>
        <v>3.9049059978909844</v>
      </c>
      <c r="BL7" s="159">
        <f t="shared" si="48"/>
        <v>3.7314418378653995</v>
      </c>
      <c r="BM7" s="159">
        <f t="shared" si="49"/>
        <v>9.2530154627148526</v>
      </c>
      <c r="BN7" s="159">
        <f t="shared" si="50"/>
        <v>0.61418815109973934</v>
      </c>
      <c r="BO7" s="159">
        <f t="shared" si="51"/>
        <v>2.6624359076529438</v>
      </c>
      <c r="BP7" s="159">
        <f t="shared" si="52"/>
        <v>1.0058091206688899</v>
      </c>
      <c r="BQ7" s="159">
        <f t="shared" si="53"/>
        <v>2.9871122324119339</v>
      </c>
      <c r="BR7" s="159">
        <f t="shared" si="54"/>
        <v>13.599345429120481</v>
      </c>
      <c r="BS7" s="159">
        <f t="shared" si="55"/>
        <v>1.5945269307397081</v>
      </c>
      <c r="BT7" s="159">
        <f t="shared" si="56"/>
        <v>4.200732209852422</v>
      </c>
      <c r="BU7" s="159">
        <f t="shared" si="57"/>
        <v>3.6090797859295458</v>
      </c>
      <c r="BV7" s="159">
        <f t="shared" si="58"/>
        <v>4.4561838221227212</v>
      </c>
      <c r="BW7" s="159">
        <f t="shared" si="59"/>
        <v>11.71317214266368</v>
      </c>
      <c r="BX7" s="159">
        <f t="shared" si="60"/>
        <v>1.4291685823667011</v>
      </c>
      <c r="BY7" s="159">
        <f t="shared" si="61"/>
        <v>4.200732209852422</v>
      </c>
      <c r="BZ7" s="159">
        <f t="shared" si="62"/>
        <v>3.6090797859295458</v>
      </c>
      <c r="CA7" s="159">
        <f t="shared" si="63"/>
        <v>6.1798944873833781</v>
      </c>
      <c r="CB7" s="159">
        <f t="shared" si="64"/>
        <v>9.4549429852743625</v>
      </c>
      <c r="CC7" s="159">
        <f t="shared" si="65"/>
        <v>1.7480739685146427</v>
      </c>
      <c r="CD7" s="159">
        <f t="shared" si="66"/>
        <v>3.9762871028171975</v>
      </c>
      <c r="CE7" s="159">
        <f t="shared" si="67"/>
        <v>5.3659328215954654</v>
      </c>
      <c r="CF7" s="159">
        <f t="shared" si="68"/>
        <v>10.734335733428971</v>
      </c>
      <c r="CG7" s="159">
        <f t="shared" si="69"/>
        <v>5.3659328215954654</v>
      </c>
      <c r="CH7" s="159">
        <f t="shared" si="70"/>
        <v>5.7330565025988012</v>
      </c>
      <c r="CI7" s="159">
        <f t="shared" si="71"/>
        <v>11.769684208760445</v>
      </c>
      <c r="CJ7" s="159">
        <f t="shared" si="72"/>
        <v>5.7330565025988012</v>
      </c>
      <c r="CK7" s="159">
        <f t="shared" si="73"/>
        <v>2.4484526495179786</v>
      </c>
    </row>
    <row r="8" spans="1:89" x14ac:dyDescent="0.25">
      <c r="A8" t="str">
        <f>PLANTILLA!D11</f>
        <v>F. Lasprilla</v>
      </c>
      <c r="B8" s="488">
        <f>PLANTILLA!E11</f>
        <v>27</v>
      </c>
      <c r="C8" s="488">
        <f ca="1">PLANTILLA!F11</f>
        <v>46</v>
      </c>
      <c r="D8" s="488"/>
      <c r="E8" s="290">
        <v>42106</v>
      </c>
      <c r="F8" s="341">
        <f>PLANTILLA!Q11</f>
        <v>6</v>
      </c>
      <c r="G8" s="407">
        <f t="shared" si="74"/>
        <v>0.92582009977255142</v>
      </c>
      <c r="H8" s="407">
        <f t="shared" si="75"/>
        <v>0.99928545900129484</v>
      </c>
      <c r="I8" s="497">
        <v>1.5</v>
      </c>
      <c r="J8" s="498">
        <f>PLANTILLA!I11</f>
        <v>4.9000000000000004</v>
      </c>
      <c r="K8" s="163">
        <f>PLANTILLA!X11</f>
        <v>0</v>
      </c>
      <c r="L8" s="163">
        <f>PLANTILLA!Y11</f>
        <v>9.6046666666666667</v>
      </c>
      <c r="M8" s="163">
        <f>PLANTILLA!Z11</f>
        <v>7.7507222222222225</v>
      </c>
      <c r="N8" s="163">
        <f>PLANTILLA!AA11</f>
        <v>6.1499999999999986</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14.034646069994215</v>
      </c>
      <c r="W8" s="163">
        <f t="shared" ca="1" si="7"/>
        <v>15.148318494511354</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2.4206941116179372</v>
      </c>
      <c r="AE8" s="159">
        <f t="shared" si="15"/>
        <v>4.5454228243343708</v>
      </c>
      <c r="AF8" s="159">
        <f t="shared" si="16"/>
        <v>8.6940230211474869</v>
      </c>
      <c r="AG8" s="159">
        <f t="shared" si="17"/>
        <v>2.2727114121671854</v>
      </c>
      <c r="AH8" s="159">
        <f t="shared" si="18"/>
        <v>3.9158287099701927</v>
      </c>
      <c r="AI8" s="159">
        <f t="shared" si="19"/>
        <v>11.062933858168311</v>
      </c>
      <c r="AJ8" s="159">
        <f t="shared" si="20"/>
        <v>4.9783202361757395</v>
      </c>
      <c r="AK8" s="159">
        <f t="shared" si="21"/>
        <v>1.6985542715974604</v>
      </c>
      <c r="AL8" s="159">
        <f t="shared" si="22"/>
        <v>5.0393137267423533</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9.6014085771736664</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10.170983662260241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8.9606366064512724</v>
      </c>
      <c r="BH8" s="159">
        <f t="shared" si="44"/>
        <v>8.4736624201937971</v>
      </c>
      <c r="BI8" s="159">
        <f t="shared" si="45"/>
        <v>2.7193463403824953</v>
      </c>
      <c r="BJ8" s="159">
        <f t="shared" si="46"/>
        <v>5.8320901317517722</v>
      </c>
      <c r="BK8" s="159">
        <f t="shared" si="47"/>
        <v>3.1745810201700371</v>
      </c>
      <c r="BL8" s="159">
        <f t="shared" si="48"/>
        <v>3.8751447753211519</v>
      </c>
      <c r="BM8" s="159">
        <f t="shared" si="49"/>
        <v>8.0357884985932273</v>
      </c>
      <c r="BN8" s="159">
        <f t="shared" si="50"/>
        <v>0.58674692821531016</v>
      </c>
      <c r="BO8" s="159">
        <f t="shared" si="51"/>
        <v>2.1644870592068433</v>
      </c>
      <c r="BP8" s="159">
        <f t="shared" si="52"/>
        <v>0.81769511125591865</v>
      </c>
      <c r="BQ8" s="159">
        <f t="shared" si="53"/>
        <v>3.1021500169893734</v>
      </c>
      <c r="BR8" s="159">
        <f t="shared" si="54"/>
        <v>11.797369545222223</v>
      </c>
      <c r="BS8" s="159">
        <f t="shared" si="55"/>
        <v>1.5232852944051323</v>
      </c>
      <c r="BT8" s="159">
        <f t="shared" si="56"/>
        <v>3.4150795823041302</v>
      </c>
      <c r="BU8" s="159">
        <f t="shared" si="57"/>
        <v>2.934082458035943</v>
      </c>
      <c r="BV8" s="159">
        <f t="shared" si="58"/>
        <v>4.6277975663284101</v>
      </c>
      <c r="BW8" s="159">
        <f t="shared" si="59"/>
        <v>10.157903008895456</v>
      </c>
      <c r="BX8" s="159">
        <f t="shared" si="60"/>
        <v>1.3653149675779332</v>
      </c>
      <c r="BY8" s="159">
        <f t="shared" si="61"/>
        <v>3.4150795823041302</v>
      </c>
      <c r="BZ8" s="159">
        <f t="shared" si="62"/>
        <v>2.934082458035943</v>
      </c>
      <c r="CA8" s="159">
        <f t="shared" si="63"/>
        <v>6.4178906908862121</v>
      </c>
      <c r="CB8" s="159">
        <f t="shared" si="64"/>
        <v>8.1940573221673585</v>
      </c>
      <c r="CC8" s="159">
        <f t="shared" si="65"/>
        <v>1.6699720264589597</v>
      </c>
      <c r="CD8" s="159">
        <f t="shared" si="66"/>
        <v>4.1294193668776584</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2.5427459155650602</v>
      </c>
    </row>
    <row r="9" spans="1:89" x14ac:dyDescent="0.25">
      <c r="A9" t="str">
        <f>PLANTILLA!D7</f>
        <v>B. Pinczehelyi</v>
      </c>
      <c r="B9" s="488">
        <f>PLANTILLA!E7</f>
        <v>30</v>
      </c>
      <c r="C9" s="488">
        <f ca="1">PLANTILLA!F7</f>
        <v>39</v>
      </c>
      <c r="D9" s="488" t="str">
        <f>PLANTILLA!G7</f>
        <v>CAB</v>
      </c>
      <c r="E9" s="290">
        <v>42716</v>
      </c>
      <c r="F9" s="341">
        <f>PLANTILLA!Q7</f>
        <v>6</v>
      </c>
      <c r="G9" s="407">
        <f>(F9/7)^0.5</f>
        <v>0.92582009977255142</v>
      </c>
      <c r="H9" s="407">
        <f>IF(F9=7,1,((F9+0.99)/7)^0.5)</f>
        <v>0.99928545900129484</v>
      </c>
      <c r="I9" s="497">
        <v>1</v>
      </c>
      <c r="J9" s="498">
        <f>PLANTILLA!I7</f>
        <v>14.1</v>
      </c>
      <c r="K9" s="163">
        <f>PLANTILLA!X7</f>
        <v>0</v>
      </c>
      <c r="L9" s="163">
        <f>PLANTILLA!Y7</f>
        <v>14.300000000000004</v>
      </c>
      <c r="M9" s="163">
        <f>PLANTILLA!Z7</f>
        <v>9.3193333333333346</v>
      </c>
      <c r="N9" s="163">
        <f>PLANTILLA!AA7</f>
        <v>14.291666666666663</v>
      </c>
      <c r="O9" s="163">
        <f>PLANTILLA!AB7</f>
        <v>9.4199999999999982</v>
      </c>
      <c r="P9" s="163">
        <f>PLANTILLA!AC7</f>
        <v>1.1428571428571428</v>
      </c>
      <c r="Q9" s="163">
        <f>PLANTILLA!AD7</f>
        <v>9.4</v>
      </c>
      <c r="R9" s="163">
        <f>((2*(O9+1))+(L9+1))/8</f>
        <v>4.5175000000000001</v>
      </c>
      <c r="S9" s="163">
        <f t="shared" si="3"/>
        <v>5.0635085091007106</v>
      </c>
      <c r="T9" s="163">
        <f>(0.5*P9+ 0.3*Q9)/10</f>
        <v>0.33914285714285713</v>
      </c>
      <c r="U9" s="163">
        <f>(0.4*L9+0.3*Q9)/10</f>
        <v>0.85400000000000031</v>
      </c>
      <c r="V9" s="163">
        <f t="shared" ref="V9" ca="1" si="76">IF(TODAY()-E9&gt;335,(Q9+1+(LOG(J9)*4/3))*(F9/7)^0.5,(Q9+((TODAY()-E9)^0.5)/(336^0.5)+(LOG(J9)*4/3))*(F9/7)^0.5)</f>
        <v>11.047155909020038</v>
      </c>
      <c r="W9" s="163">
        <f t="shared" ref="W9" ca="1" si="77">IF(F9=7,V9,IF(TODAY()-E9&gt;335,(Q9+1+(LOG(J9)*4/3))*((F9+0.99)/7)^0.5,(Q9+((TODAY()-E9)^0.5)/(336^0.5)+(LOG(J9)*4/3))*((F9+0.99)/7)^0.5))</f>
        <v>11.923766038257323</v>
      </c>
      <c r="X9" s="159">
        <f>((K9+I9+(LOG(J9)*4/3))*0.597)+((L9+I9+(LOG(J9)*4/3))*0.276)</f>
        <v>6.1574910471308639</v>
      </c>
      <c r="Y9" s="159">
        <f>((K9+I9+(LOG(J9)*4/3))*0.866)+((L9+I9+(LOG(J9)*4/3))*0.425)</f>
        <v>9.3466891659174625</v>
      </c>
      <c r="Z9" s="159">
        <f>X9</f>
        <v>6.1574910471308639</v>
      </c>
      <c r="AA9" s="159">
        <f>((L9+I9+(LOG(J9)*4/3))*0.516)</f>
        <v>8.6854627495069039</v>
      </c>
      <c r="AB9" s="159">
        <f>(L9+I9+(LOG(J9)*4/3))*1</f>
        <v>16.832292150207177</v>
      </c>
      <c r="AC9" s="159">
        <f>AA9/2</f>
        <v>4.3427313747534519</v>
      </c>
      <c r="AD9" s="159">
        <f>(M9+I9+(LOG(J9)*4/3))*0.238</f>
        <v>2.8206868650826404</v>
      </c>
      <c r="AE9" s="159">
        <f>((L9+I9+(LOG(J9)*4/3))*0.378)</f>
        <v>6.3626064327783132</v>
      </c>
      <c r="AF9" s="159">
        <f>(L9+I9+(LOG(J9)*4/3))*0.723</f>
        <v>12.169747224599789</v>
      </c>
      <c r="AG9" s="159">
        <f>AE9/2</f>
        <v>3.1813032163891566</v>
      </c>
      <c r="AH9" s="159">
        <f>(M9+I9+(LOG(J9)*4/3))*0.385</f>
        <v>4.5628758111630958</v>
      </c>
      <c r="AI9" s="159">
        <f>((L9+I9+(LOG(J9)*4/3))*0.92)</f>
        <v>15.485708778190604</v>
      </c>
      <c r="AJ9" s="159">
        <f>(L9+I9+(LOG(J9)*4/3))*0.414</f>
        <v>6.9685689501857713</v>
      </c>
      <c r="AK9" s="159">
        <f>((M9+I9+(LOG(J9)*4/3))*0.167)</f>
        <v>1.9792214557512648</v>
      </c>
      <c r="AL9" s="159">
        <f>(N9+I9+(LOG(J9)*4/3))*0.588</f>
        <v>9.8924877843218155</v>
      </c>
      <c r="AM9" s="159">
        <f>((L9+I9+(LOG(J9)*4/3))*0.754)</f>
        <v>12.691548281256212</v>
      </c>
      <c r="AN9" s="159">
        <f>((L9+I9+(LOG(J9)*4/3))*0.708)</f>
        <v>11.91726284234668</v>
      </c>
      <c r="AO9" s="159">
        <f>((Q9+I9+(LOG(J9)*4/3))*0.167)</f>
        <v>1.992692789084598</v>
      </c>
      <c r="AP9" s="159">
        <f>((R9+I9+(LOG(J9)*4/3))*0.288)</f>
        <v>2.0303401392596658</v>
      </c>
      <c r="AQ9" s="159">
        <f>((L9+I9+(LOG(J9)*4/3))*0.27)</f>
        <v>4.544718880555938</v>
      </c>
      <c r="AR9" s="159">
        <f>((L9+I9+(LOG(J9)*4/3))*0.594)</f>
        <v>9.9983815372230627</v>
      </c>
      <c r="AS9" s="159">
        <f>AQ9/2</f>
        <v>2.272359440277969</v>
      </c>
      <c r="AT9" s="159">
        <f>((M9+I9+(LOG(J9)*4/3))*0.944)</f>
        <v>11.187934456462239</v>
      </c>
      <c r="AU9" s="159">
        <f>((O9+I9+(LOG(J9)*4/3))*0.13)</f>
        <v>1.5537979795269323</v>
      </c>
      <c r="AV9" s="159">
        <f>((P9+I9+(LOG(J9)*4/3))*0.173)+((O9+I9+(LOG(J9)*4/3))*0.12)</f>
        <v>2.0700758857249872</v>
      </c>
      <c r="AW9" s="159">
        <f>AU9/2</f>
        <v>0.77689898976346616</v>
      </c>
      <c r="AX9" s="159">
        <f>((L9+I9+(LOG(J9)*4/3))*0.189)</f>
        <v>3.1813032163891566</v>
      </c>
      <c r="AY9" s="159">
        <f>((L9+I9+(LOG(J9)*4/3))*0.4)</f>
        <v>6.732916860082871</v>
      </c>
      <c r="AZ9" s="159">
        <f>AX9/2</f>
        <v>1.5906516081945783</v>
      </c>
      <c r="BA9" s="159">
        <f>((M9+I9+(LOG(J9)*4/3))*1)</f>
        <v>11.851625483540507</v>
      </c>
      <c r="BB9" s="159">
        <f>((O9+I9+(LOG(J9)*4/3))*0.253)</f>
        <v>3.0239299140024145</v>
      </c>
      <c r="BC9" s="159">
        <f>((P9+I9+(LOG(J9)*4/3))*0.21)+((O9+I9+(LOG(J9)*4/3))*0.341)</f>
        <v>4.8475129747641521</v>
      </c>
      <c r="BD9" s="159">
        <f>BB9/2</f>
        <v>1.5119649570012073</v>
      </c>
      <c r="BE9" s="159">
        <f>((L9+I9+(LOG(J9)*4/3))*0.291)</f>
        <v>4.8981970157102879</v>
      </c>
      <c r="BF9" s="159">
        <f>((L9+I9+(LOG(J9)*4/3))*0.348)</f>
        <v>5.8576376682720976</v>
      </c>
      <c r="BG9" s="159">
        <f>((M9+I9+(LOG(J9)*4/3))*0.881)</f>
        <v>10.441282050999186</v>
      </c>
      <c r="BH9" s="159">
        <f>((N9+I9+(LOG(J9)*4/3))*0.574)+((O9+I9+(LOG(J9)*4/3))*0.315)</f>
        <v>13.421924388200839</v>
      </c>
      <c r="BI9" s="159">
        <f>((O9+I9+(LOG(J9)*4/3))*0.241)</f>
        <v>2.880502408199928</v>
      </c>
      <c r="BJ9" s="159">
        <f>((L9+I9+(LOG(J9)*4/3))*0.485)</f>
        <v>8.1636616928504804</v>
      </c>
      <c r="BK9" s="159">
        <f>((L9+I9+(LOG(J9)*4/3))*0.264)</f>
        <v>4.4437251276546954</v>
      </c>
      <c r="BL9" s="159">
        <f>((M9+I9+(LOG(J9)*4/3))*0.381)</f>
        <v>4.5154693092289335</v>
      </c>
      <c r="BM9" s="159">
        <f>((N9+I9+(LOG(J9)*4/3))*0.673)+((O9+I9+(LOG(J9)*4/3))*0.201)</f>
        <v>13.724935005947735</v>
      </c>
      <c r="BN9" s="159">
        <f>((O9+I9+(LOG(J9)*4/3))*0.052)</f>
        <v>0.62151919181077286</v>
      </c>
      <c r="BO9" s="159">
        <f>((L9+I9+(LOG(J9)*4/3))*0.18)</f>
        <v>3.0298125870372918</v>
      </c>
      <c r="BP9" s="159">
        <f>(L9+I9+(LOG(J9)*4/3))*0.068</f>
        <v>1.144595866214088</v>
      </c>
      <c r="BQ9" s="159">
        <f>((M9+I9+(LOG(J9)*4/3))*0.305)</f>
        <v>3.6147457724798548</v>
      </c>
      <c r="BR9" s="159">
        <f>((N9+I9+(LOG(J9)*4/3))*1)+((O9+I9+(LOG(J9)*4/3))*0.286)</f>
        <v>20.242314371833089</v>
      </c>
      <c r="BS9" s="159">
        <f>((O9+I9+(LOG(J9)*4/3))*0.135)</f>
        <v>1.6135594402779683</v>
      </c>
      <c r="BT9" s="159">
        <f t="shared" si="56"/>
        <v>4.7803709706588382</v>
      </c>
      <c r="BU9" s="159">
        <f t="shared" si="57"/>
        <v>4.1070792846505508</v>
      </c>
      <c r="BV9" s="159">
        <f t="shared" si="58"/>
        <v>5.3924895950109315</v>
      </c>
      <c r="BW9" s="159">
        <f t="shared" si="59"/>
        <v>17.452259702429544</v>
      </c>
      <c r="BX9" s="159">
        <f t="shared" si="60"/>
        <v>1.4462273501750678</v>
      </c>
      <c r="BY9" s="159">
        <f>((L9+I9+(LOG(J9)*4/3))*0.284)</f>
        <v>4.7803709706588382</v>
      </c>
      <c r="BZ9" s="159">
        <f>((L9+I9+(LOG(J9)*4/3))*0.244)</f>
        <v>4.1070792846505508</v>
      </c>
      <c r="CA9" s="159">
        <f>((M9+I9+(LOG(J9)*4/3))*0.631)</f>
        <v>7.47837568011406</v>
      </c>
      <c r="CB9" s="159">
        <f>((N9+I9+(LOG(J9)*4/3))*0.702)+((O9+I9+(LOG(J9)*4/3))*0.193)</f>
        <v>14.117211474435418</v>
      </c>
      <c r="CC9" s="159">
        <f>((O9+I9+(LOG(J9)*4/3))*0.148)</f>
        <v>1.7689392382306612</v>
      </c>
      <c r="CD9" s="159">
        <f>((M9+I9+(LOG(J9)*4/3))*0.406)</f>
        <v>4.8117599463174461</v>
      </c>
      <c r="CE9" s="159">
        <f>IF(D9="TEC",((N9+I9+(LOG(J9)*4/3))*0.15)+((O9+I9+(LOG(J9)*4/3))*0.324)+((P9+I9+(LOG(J9)*4/3))*0.127),(((N9+I9+(LOG(J9)*4/3))*0.144)+((O9+I9+(LOG(J9)*4/3))*0.25)+((P9+I9+(LOG(J9)*4/3))*0.127)))</f>
        <v>5.8774670674007936</v>
      </c>
      <c r="CF9" s="159">
        <f>((O9+I9+(LOG(J9)*4/3))*0.543)+((P9+I9+(LOG(J9)*4/3))*0.583)</f>
        <v>8.6327066754189907</v>
      </c>
      <c r="CG9" s="159">
        <f>CE9</f>
        <v>5.8774670674007936</v>
      </c>
      <c r="CH9" s="159">
        <f>((P9+1+(LOG(J9)*4/3))*0.26)+((N9+I9+(LOG(J9)*4/3))*0.221)+((O9+I9+(LOG(J9)*4/3))*0.142)</f>
        <v>6.370859200055258</v>
      </c>
      <c r="CI9" s="159">
        <f>((P9+I9+(LOG(J9)*4/3))*1)+((O9+I9+(LOG(J9)*4/3))*0.369)</f>
        <v>8.0855450964907618</v>
      </c>
      <c r="CJ9" s="159">
        <f>CH9</f>
        <v>6.370859200055258</v>
      </c>
      <c r="CK9" s="159">
        <f>((M9+I9+(LOG(J9)*4/3))*0.25)</f>
        <v>2.9629063708851269</v>
      </c>
    </row>
    <row r="10" spans="1:89" x14ac:dyDescent="0.25">
      <c r="A10" t="str">
        <f>PLANTILLA!D12</f>
        <v>E. Romweber</v>
      </c>
      <c r="B10" s="488">
        <f>PLANTILLA!E12</f>
        <v>31</v>
      </c>
      <c r="C10" s="488">
        <f ca="1">PLANTILLA!F12</f>
        <v>0</v>
      </c>
      <c r="D10" s="488" t="str">
        <f>PLANTILLA!G12</f>
        <v>IMP</v>
      </c>
      <c r="E10" s="290">
        <v>41583</v>
      </c>
      <c r="F10" s="341">
        <f>PLANTILLA!Q12</f>
        <v>4</v>
      </c>
      <c r="G10" s="407">
        <f t="shared" si="74"/>
        <v>0.7559289460184544</v>
      </c>
      <c r="H10" s="407">
        <f t="shared" si="75"/>
        <v>0.84430867747355465</v>
      </c>
      <c r="I10" s="497">
        <v>1.5</v>
      </c>
      <c r="J10" s="498">
        <f>PLANTILLA!I12</f>
        <v>12.3</v>
      </c>
      <c r="K10" s="163">
        <f>PLANTILLA!X12</f>
        <v>0</v>
      </c>
      <c r="L10" s="163">
        <f>PLANTILLA!Y12</f>
        <v>12.06111111111111</v>
      </c>
      <c r="M10" s="163">
        <f>PLANTILLA!Z12</f>
        <v>12.534111111111114</v>
      </c>
      <c r="N10" s="163">
        <f>PLANTILLA!AA12</f>
        <v>13.133333333333335</v>
      </c>
      <c r="O10" s="163">
        <f>PLANTILLA!AB12</f>
        <v>10.91</v>
      </c>
      <c r="P10" s="163">
        <f>PLANTILLA!AC12</f>
        <v>7.7700000000000005</v>
      </c>
      <c r="Q10" s="163">
        <f>PLANTILLA!AD12</f>
        <v>17.13</v>
      </c>
      <c r="R10" s="163">
        <f t="shared" si="2"/>
        <v>4.6101388888888888</v>
      </c>
      <c r="S10" s="163">
        <f t="shared" si="3"/>
        <v>21.246287061708095</v>
      </c>
      <c r="T10" s="163">
        <f t="shared" si="4"/>
        <v>0.90239999999999987</v>
      </c>
      <c r="U10" s="163">
        <f t="shared" si="5"/>
        <v>0.99634444444444448</v>
      </c>
      <c r="V10" s="163">
        <f t="shared" ca="1" si="6"/>
        <v>14.803512887515259</v>
      </c>
      <c r="W10" s="163">
        <f t="shared" ca="1" si="7"/>
        <v>16.534271446876968</v>
      </c>
      <c r="X10" s="159">
        <f t="shared" si="8"/>
        <v>5.907016216382126</v>
      </c>
      <c r="Y10" s="159">
        <f t="shared" si="9"/>
        <v>8.9385622207132389</v>
      </c>
      <c r="Z10" s="159">
        <f t="shared" si="10"/>
        <v>5.907016216382126</v>
      </c>
      <c r="AA10" s="159">
        <f t="shared" si="11"/>
        <v>7.7473880500036385</v>
      </c>
      <c r="AB10" s="159">
        <f t="shared" si="12"/>
        <v>15.01431792636364</v>
      </c>
      <c r="AC10" s="159">
        <f t="shared" si="13"/>
        <v>3.8736940250018193</v>
      </c>
      <c r="AD10" s="159">
        <f t="shared" si="14"/>
        <v>3.6859816664745471</v>
      </c>
      <c r="AE10" s="159">
        <f t="shared" si="15"/>
        <v>5.6754121761654561</v>
      </c>
      <c r="AF10" s="159">
        <f t="shared" si="16"/>
        <v>10.855351860760912</v>
      </c>
      <c r="AG10" s="159">
        <f t="shared" si="17"/>
        <v>2.8377060880827281</v>
      </c>
      <c r="AH10" s="159">
        <f t="shared" si="18"/>
        <v>5.9626174016500029</v>
      </c>
      <c r="AI10" s="159">
        <f t="shared" si="19"/>
        <v>13.81317249225455</v>
      </c>
      <c r="AJ10" s="159">
        <f t="shared" si="20"/>
        <v>6.2159276215145471</v>
      </c>
      <c r="AK10" s="159">
        <f t="shared" si="21"/>
        <v>2.5863820937027286</v>
      </c>
      <c r="AL10" s="159">
        <f t="shared" si="22"/>
        <v>9.4588856073684884</v>
      </c>
      <c r="AM10" s="159">
        <f t="shared" si="23"/>
        <v>11.320795716478186</v>
      </c>
      <c r="AN10" s="159">
        <f t="shared" si="24"/>
        <v>10.630137091865457</v>
      </c>
      <c r="AO10" s="159">
        <f t="shared" si="25"/>
        <v>3.3538955381471727</v>
      </c>
      <c r="AP10" s="159">
        <f t="shared" si="26"/>
        <v>2.1782435627927286</v>
      </c>
      <c r="AQ10" s="159">
        <f t="shared" si="27"/>
        <v>4.0538658401181831</v>
      </c>
      <c r="AR10" s="159">
        <f t="shared" si="28"/>
        <v>8.9185048482600013</v>
      </c>
      <c r="AS10" s="159">
        <f t="shared" si="29"/>
        <v>2.0269329200590915</v>
      </c>
      <c r="AT10" s="159">
        <f t="shared" si="30"/>
        <v>14.62002812248728</v>
      </c>
      <c r="AU10" s="159">
        <f t="shared" si="31"/>
        <v>1.8022168859828289</v>
      </c>
      <c r="AV10" s="159">
        <f t="shared" si="32"/>
        <v>3.5186995968689914</v>
      </c>
      <c r="AW10" s="159">
        <f t="shared" si="33"/>
        <v>0.90110844299141446</v>
      </c>
      <c r="AX10" s="159">
        <f t="shared" si="34"/>
        <v>2.8377060880827281</v>
      </c>
      <c r="AY10" s="159">
        <f t="shared" si="35"/>
        <v>6.0057271705454562</v>
      </c>
      <c r="AZ10" s="159">
        <f t="shared" si="36"/>
        <v>1.418853044041364</v>
      </c>
      <c r="BA10" s="159">
        <f t="shared" si="37"/>
        <v>15.487317926363644</v>
      </c>
      <c r="BB10" s="159">
        <f t="shared" si="38"/>
        <v>3.5073913242588901</v>
      </c>
      <c r="BC10" s="159">
        <f t="shared" si="39"/>
        <v>6.9792269552041448</v>
      </c>
      <c r="BD10" s="159">
        <f t="shared" si="40"/>
        <v>1.7536956621294451</v>
      </c>
      <c r="BE10" s="159">
        <f t="shared" si="41"/>
        <v>4.369166516571819</v>
      </c>
      <c r="BF10" s="159">
        <f t="shared" si="42"/>
        <v>5.2249826383745468</v>
      </c>
      <c r="BG10" s="159">
        <f t="shared" si="43"/>
        <v>13.644327093126371</v>
      </c>
      <c r="BH10" s="159">
        <f t="shared" si="44"/>
        <v>13.600584192092832</v>
      </c>
      <c r="BI10" s="159">
        <f t="shared" si="45"/>
        <v>3.3410328424758595</v>
      </c>
      <c r="BJ10" s="159">
        <f t="shared" si="46"/>
        <v>7.281944194286365</v>
      </c>
      <c r="BK10" s="159">
        <f t="shared" si="47"/>
        <v>3.9637799325600014</v>
      </c>
      <c r="BL10" s="159">
        <f t="shared" si="48"/>
        <v>5.9006681299445489</v>
      </c>
      <c r="BM10" s="159">
        <f t="shared" si="49"/>
        <v>13.612746089864046</v>
      </c>
      <c r="BN10" s="159">
        <f t="shared" si="50"/>
        <v>0.72088675439313155</v>
      </c>
      <c r="BO10" s="159">
        <f t="shared" si="51"/>
        <v>2.7025772267454551</v>
      </c>
      <c r="BP10" s="159">
        <f t="shared" si="52"/>
        <v>1.0209736189927276</v>
      </c>
      <c r="BQ10" s="159">
        <f t="shared" si="53"/>
        <v>4.7236319675409115</v>
      </c>
      <c r="BR10" s="159">
        <f t="shared" si="54"/>
        <v>20.051417297748088</v>
      </c>
      <c r="BS10" s="159">
        <f t="shared" si="55"/>
        <v>1.8715329200590918</v>
      </c>
      <c r="BT10" s="159">
        <f t="shared" si="56"/>
        <v>4.2640662910872731</v>
      </c>
      <c r="BU10" s="159">
        <f t="shared" si="57"/>
        <v>3.6634935740327279</v>
      </c>
      <c r="BV10" s="159">
        <f t="shared" si="58"/>
        <v>7.0467296564954589</v>
      </c>
      <c r="BW10" s="159">
        <f t="shared" si="59"/>
        <v>17.281393151299806</v>
      </c>
      <c r="BX10" s="159">
        <f t="shared" si="60"/>
        <v>1.6774480246455561</v>
      </c>
      <c r="BY10" s="159">
        <f t="shared" si="61"/>
        <v>4.2640662910872731</v>
      </c>
      <c r="BZ10" s="159">
        <f t="shared" si="62"/>
        <v>3.6634935740327279</v>
      </c>
      <c r="CA10" s="159">
        <f t="shared" si="63"/>
        <v>9.77249761153546</v>
      </c>
      <c r="CB10" s="159">
        <f t="shared" si="64"/>
        <v>13.968350099651015</v>
      </c>
      <c r="CC10" s="159">
        <f t="shared" si="65"/>
        <v>2.0517546086573746</v>
      </c>
      <c r="CD10" s="159">
        <f t="shared" si="66"/>
        <v>6.2878510781036399</v>
      </c>
      <c r="CE10" s="159">
        <f t="shared" si="67"/>
        <v>7.1441107507465684</v>
      </c>
      <c r="CF10" s="159">
        <f t="shared" si="68"/>
        <v>13.779350873974348</v>
      </c>
      <c r="CG10" s="159">
        <f t="shared" si="69"/>
        <v>7.1441107507465684</v>
      </c>
      <c r="CH10" s="159">
        <f t="shared" si="70"/>
        <v>8.181734512568994</v>
      </c>
      <c r="CI10" s="159">
        <f t="shared" si="71"/>
        <v>15.838730130080712</v>
      </c>
      <c r="CJ10" s="159">
        <f t="shared" si="72"/>
        <v>8.181734512568994</v>
      </c>
      <c r="CK10" s="159">
        <f t="shared" si="73"/>
        <v>3.8718294815909111</v>
      </c>
    </row>
    <row r="11" spans="1:89" x14ac:dyDescent="0.25">
      <c r="A11" t="str">
        <f>PLANTILLA!D13</f>
        <v>K. Helms</v>
      </c>
      <c r="B11" s="488">
        <f>PLANTILLA!E13</f>
        <v>30</v>
      </c>
      <c r="C11" s="488">
        <f ca="1">PLANTILLA!F13</f>
        <v>59</v>
      </c>
      <c r="D11" s="488" t="str">
        <f>PLANTILLA!G13</f>
        <v>TEC</v>
      </c>
      <c r="E11" s="290">
        <v>41722</v>
      </c>
      <c r="F11" s="341">
        <f>PLANTILLA!Q13</f>
        <v>6</v>
      </c>
      <c r="G11" s="407">
        <f t="shared" ref="G11:G21" si="78">(F11/7)^0.5</f>
        <v>0.92582009977255142</v>
      </c>
      <c r="H11" s="407">
        <f t="shared" si="75"/>
        <v>0.99928545900129484</v>
      </c>
      <c r="I11" s="497">
        <v>1.5</v>
      </c>
      <c r="J11" s="498">
        <f>PLANTILLA!I13</f>
        <v>10.3</v>
      </c>
      <c r="K11" s="163">
        <f>PLANTILLA!X13</f>
        <v>0</v>
      </c>
      <c r="L11" s="163">
        <f>PLANTILLA!Y13</f>
        <v>7.2503030303030309</v>
      </c>
      <c r="M11" s="163">
        <f>PLANTILLA!Z13</f>
        <v>10.500000000000004</v>
      </c>
      <c r="N11" s="163">
        <f>PLANTILLA!AA13</f>
        <v>13.388333333333334</v>
      </c>
      <c r="O11" s="163">
        <f>PLANTILLA!AB13</f>
        <v>10.359999999999998</v>
      </c>
      <c r="P11" s="163">
        <f>PLANTILLA!AC13</f>
        <v>5.4050000000000002</v>
      </c>
      <c r="Q11" s="163">
        <f>PLANTILLA!AD13</f>
        <v>17.300000000000004</v>
      </c>
      <c r="R11" s="163">
        <f t="shared" si="2"/>
        <v>3.8712878787878782</v>
      </c>
      <c r="S11" s="163">
        <f t="shared" si="3"/>
        <v>17.186793688797913</v>
      </c>
      <c r="T11" s="163">
        <f t="shared" si="4"/>
        <v>0.78925000000000023</v>
      </c>
      <c r="U11" s="163">
        <f t="shared" si="5"/>
        <v>0.80901212121212152</v>
      </c>
      <c r="V11" s="163">
        <f t="shared" ca="1" si="6"/>
        <v>18.192781239744225</v>
      </c>
      <c r="W11" s="163">
        <f t="shared" ca="1" si="7"/>
        <v>19.636408581034509</v>
      </c>
      <c r="X11" s="159">
        <f t="shared" si="8"/>
        <v>4.4895261659204566</v>
      </c>
      <c r="Y11" s="159">
        <f t="shared" si="9"/>
        <v>6.7613092640046233</v>
      </c>
      <c r="Z11" s="159">
        <f t="shared" si="10"/>
        <v>4.4895261659204566</v>
      </c>
      <c r="AA11" s="159">
        <f t="shared" si="11"/>
        <v>5.2119883742335222</v>
      </c>
      <c r="AB11" s="159">
        <f t="shared" si="12"/>
        <v>10.100752663243259</v>
      </c>
      <c r="AC11" s="159">
        <f t="shared" si="13"/>
        <v>2.6059941871167611</v>
      </c>
      <c r="AD11" s="159">
        <f t="shared" si="14"/>
        <v>3.1774070126397751</v>
      </c>
      <c r="AE11" s="159">
        <f t="shared" si="15"/>
        <v>3.8180845067059521</v>
      </c>
      <c r="AF11" s="159">
        <f t="shared" si="16"/>
        <v>7.3028441755248759</v>
      </c>
      <c r="AG11" s="159">
        <f t="shared" si="17"/>
        <v>1.9090422533529761</v>
      </c>
      <c r="AH11" s="159">
        <f t="shared" si="18"/>
        <v>5.1399231086819901</v>
      </c>
      <c r="AI11" s="159">
        <f t="shared" si="19"/>
        <v>9.2926924501837984</v>
      </c>
      <c r="AJ11" s="159">
        <f t="shared" si="20"/>
        <v>4.181711602582709</v>
      </c>
      <c r="AK11" s="159">
        <f t="shared" si="21"/>
        <v>2.2295250887010192</v>
      </c>
      <c r="AL11" s="159">
        <f t="shared" si="22"/>
        <v>9.5484043841688564</v>
      </c>
      <c r="AM11" s="159">
        <f t="shared" si="23"/>
        <v>7.6159675080854177</v>
      </c>
      <c r="AN11" s="159">
        <f t="shared" si="24"/>
        <v>7.1513328855762275</v>
      </c>
      <c r="AO11" s="159">
        <f t="shared" si="25"/>
        <v>3.3651250887010193</v>
      </c>
      <c r="AP11" s="159">
        <f t="shared" si="26"/>
        <v>1.9358604033776949</v>
      </c>
      <c r="AQ11" s="159">
        <f t="shared" si="27"/>
        <v>2.7272032190756801</v>
      </c>
      <c r="AR11" s="159">
        <f t="shared" si="28"/>
        <v>5.9998470819664957</v>
      </c>
      <c r="AS11" s="159">
        <f t="shared" si="29"/>
        <v>1.36360160953784</v>
      </c>
      <c r="AT11" s="159">
        <f t="shared" si="30"/>
        <v>12.602824453495579</v>
      </c>
      <c r="AU11" s="159">
        <f t="shared" si="31"/>
        <v>1.7173584522822296</v>
      </c>
      <c r="AV11" s="159">
        <f t="shared" si="32"/>
        <v>3.013446742451487</v>
      </c>
      <c r="AW11" s="159">
        <f t="shared" si="33"/>
        <v>0.8586792261411148</v>
      </c>
      <c r="AX11" s="159">
        <f t="shared" si="34"/>
        <v>1.9090422533529761</v>
      </c>
      <c r="AY11" s="159">
        <f t="shared" si="35"/>
        <v>4.0403010652973039</v>
      </c>
      <c r="AZ11" s="159">
        <f t="shared" si="36"/>
        <v>0.95452112667648803</v>
      </c>
      <c r="BA11" s="159">
        <f t="shared" si="37"/>
        <v>13.350449632940233</v>
      </c>
      <c r="BB11" s="159">
        <f t="shared" si="38"/>
        <v>3.3422437571338777</v>
      </c>
      <c r="BC11" s="159">
        <f t="shared" si="39"/>
        <v>6.2384077477500659</v>
      </c>
      <c r="BD11" s="159">
        <f t="shared" si="40"/>
        <v>1.6711218785669388</v>
      </c>
      <c r="BE11" s="159">
        <f t="shared" si="41"/>
        <v>2.9393190250037882</v>
      </c>
      <c r="BF11" s="159">
        <f t="shared" si="42"/>
        <v>3.515061926808654</v>
      </c>
      <c r="BG11" s="159">
        <f t="shared" si="43"/>
        <v>11.761746126620345</v>
      </c>
      <c r="BH11" s="159">
        <f t="shared" si="44"/>
        <v>13.482353057017196</v>
      </c>
      <c r="BI11" s="159">
        <f t="shared" si="45"/>
        <v>3.1837183615385944</v>
      </c>
      <c r="BJ11" s="159">
        <f t="shared" si="46"/>
        <v>4.8988650416729804</v>
      </c>
      <c r="BK11" s="159">
        <f t="shared" si="47"/>
        <v>2.6665987030962204</v>
      </c>
      <c r="BL11" s="159">
        <f t="shared" si="48"/>
        <v>5.0865213101502285</v>
      </c>
      <c r="BM11" s="159">
        <f t="shared" si="49"/>
        <v>13.584001312523096</v>
      </c>
      <c r="BN11" s="159">
        <f t="shared" si="50"/>
        <v>0.68694338091289175</v>
      </c>
      <c r="BO11" s="159">
        <f t="shared" si="51"/>
        <v>1.8181354793837867</v>
      </c>
      <c r="BP11" s="159">
        <f t="shared" si="52"/>
        <v>0.68685118110054166</v>
      </c>
      <c r="BQ11" s="159">
        <f t="shared" si="53"/>
        <v>4.0718871380467707</v>
      </c>
      <c r="BR11" s="159">
        <f t="shared" si="54"/>
        <v>20.016971561294469</v>
      </c>
      <c r="BS11" s="159">
        <f t="shared" si="55"/>
        <v>1.7834107004469308</v>
      </c>
      <c r="BT11" s="159">
        <f t="shared" si="56"/>
        <v>2.8686137563610856</v>
      </c>
      <c r="BU11" s="159">
        <f t="shared" si="57"/>
        <v>2.4645836498313551</v>
      </c>
      <c r="BV11" s="159">
        <f t="shared" si="58"/>
        <v>6.0744545829878058</v>
      </c>
      <c r="BW11" s="159">
        <f t="shared" si="59"/>
        <v>17.253658193297774</v>
      </c>
      <c r="BX11" s="159">
        <f t="shared" si="60"/>
        <v>1.5984644055857675</v>
      </c>
      <c r="BY11" s="159">
        <f t="shared" si="61"/>
        <v>2.8686137563610856</v>
      </c>
      <c r="BZ11" s="159">
        <f t="shared" si="62"/>
        <v>2.4645836498313551</v>
      </c>
      <c r="CA11" s="159">
        <f t="shared" si="63"/>
        <v>8.4241337183852867</v>
      </c>
      <c r="CB11" s="159">
        <f t="shared" si="64"/>
        <v>13.949242421481506</v>
      </c>
      <c r="CC11" s="159">
        <f t="shared" si="65"/>
        <v>1.9551465456751536</v>
      </c>
      <c r="CD11" s="159">
        <f t="shared" si="66"/>
        <v>5.4202825509737353</v>
      </c>
      <c r="CE11" s="159">
        <f t="shared" si="67"/>
        <v>7.7644452293970767</v>
      </c>
      <c r="CF11" s="159">
        <f t="shared" si="68"/>
        <v>11.986201286690697</v>
      </c>
      <c r="CG11" s="159">
        <f t="shared" si="69"/>
        <v>7.7644452293970767</v>
      </c>
      <c r="CH11" s="159">
        <f t="shared" si="70"/>
        <v>7.4810717879884301</v>
      </c>
      <c r="CI11" s="159">
        <f t="shared" si="71"/>
        <v>13.130105547495173</v>
      </c>
      <c r="CJ11" s="159">
        <f t="shared" si="72"/>
        <v>7.4810717879884301</v>
      </c>
      <c r="CK11" s="159">
        <f t="shared" si="73"/>
        <v>3.3376124082350582</v>
      </c>
    </row>
    <row r="12" spans="1:89" x14ac:dyDescent="0.25">
      <c r="A12" t="str">
        <f>PLANTILLA!D14</f>
        <v>S. Zobbe</v>
      </c>
      <c r="B12" s="488">
        <f>PLANTILLA!E14</f>
        <v>27</v>
      </c>
      <c r="C12" s="488">
        <f ca="1">PLANTILLA!F14</f>
        <v>74</v>
      </c>
      <c r="D12" s="488" t="str">
        <f>PLANTILLA!G14</f>
        <v>CAB</v>
      </c>
      <c r="E12" s="290">
        <v>41911</v>
      </c>
      <c r="F12" s="341">
        <f>PLANTILLA!Q14</f>
        <v>4</v>
      </c>
      <c r="G12" s="407">
        <f t="shared" si="78"/>
        <v>0.7559289460184544</v>
      </c>
      <c r="H12" s="407">
        <f t="shared" si="75"/>
        <v>0.84430867747355465</v>
      </c>
      <c r="I12" s="497">
        <v>1.5</v>
      </c>
      <c r="J12" s="498">
        <f>PLANTILLA!I14</f>
        <v>8.6999999999999993</v>
      </c>
      <c r="K12" s="163">
        <f>PLANTILLA!X14</f>
        <v>0</v>
      </c>
      <c r="L12" s="163">
        <f>PLANTILLA!Y14</f>
        <v>8.3599999999999977</v>
      </c>
      <c r="M12" s="163">
        <f>PLANTILLA!Z14</f>
        <v>12.158412698412699</v>
      </c>
      <c r="N12" s="163">
        <f>PLANTILLA!AA14</f>
        <v>12.25</v>
      </c>
      <c r="O12" s="163">
        <f>PLANTILLA!AB14</f>
        <v>10.24</v>
      </c>
      <c r="P12" s="163">
        <f>PLANTILLA!AC14</f>
        <v>7.4766666666666666</v>
      </c>
      <c r="Q12" s="163">
        <f>PLANTILLA!AD14</f>
        <v>15.270000000000001</v>
      </c>
      <c r="R12" s="163">
        <f t="shared" si="2"/>
        <v>3.9799999999999995</v>
      </c>
      <c r="S12" s="163">
        <f t="shared" si="3"/>
        <v>19.293216731049526</v>
      </c>
      <c r="T12" s="163">
        <f t="shared" si="4"/>
        <v>0.8319333333333333</v>
      </c>
      <c r="U12" s="163">
        <f t="shared" si="5"/>
        <v>0.79249999999999998</v>
      </c>
      <c r="V12" s="163">
        <f t="shared" ca="1" si="6"/>
        <v>13.24591034958164</v>
      </c>
      <c r="W12" s="163">
        <f t="shared" ca="1" si="7"/>
        <v>14.794561192680561</v>
      </c>
      <c r="X12" s="159">
        <f t="shared" si="8"/>
        <v>4.7104604100480714</v>
      </c>
      <c r="Y12" s="159">
        <f t="shared" si="9"/>
        <v>7.1067258068408474</v>
      </c>
      <c r="Z12" s="159">
        <f t="shared" si="10"/>
        <v>4.7104604100480714</v>
      </c>
      <c r="AA12" s="159">
        <f t="shared" si="11"/>
        <v>5.7341492458016079</v>
      </c>
      <c r="AB12" s="159">
        <f t="shared" si="12"/>
        <v>11.112692336824821</v>
      </c>
      <c r="AC12" s="159">
        <f t="shared" si="13"/>
        <v>2.8670746229008039</v>
      </c>
      <c r="AD12" s="159">
        <f t="shared" si="14"/>
        <v>3.5488429983865299</v>
      </c>
      <c r="AE12" s="159">
        <f t="shared" si="15"/>
        <v>4.2005977033197821</v>
      </c>
      <c r="AF12" s="159">
        <f t="shared" si="16"/>
        <v>8.0344765595243448</v>
      </c>
      <c r="AG12" s="159">
        <f t="shared" si="17"/>
        <v>2.1002988516598911</v>
      </c>
      <c r="AH12" s="159">
        <f t="shared" si="18"/>
        <v>5.7407754385664465</v>
      </c>
      <c r="AI12" s="159">
        <f t="shared" si="19"/>
        <v>10.223676949878836</v>
      </c>
      <c r="AJ12" s="159">
        <f t="shared" si="20"/>
        <v>4.6006546274454756</v>
      </c>
      <c r="AK12" s="159">
        <f t="shared" si="21"/>
        <v>2.4901545408846664</v>
      </c>
      <c r="AL12" s="159">
        <f t="shared" si="22"/>
        <v>8.8215830940529969</v>
      </c>
      <c r="AM12" s="159">
        <f t="shared" si="23"/>
        <v>8.378970021965916</v>
      </c>
      <c r="AN12" s="159">
        <f t="shared" si="24"/>
        <v>7.8677861744719735</v>
      </c>
      <c r="AO12" s="159">
        <f t="shared" si="25"/>
        <v>3.0097896202497467</v>
      </c>
      <c r="AP12" s="159">
        <f t="shared" si="26"/>
        <v>1.9390153930055491</v>
      </c>
      <c r="AQ12" s="159">
        <f t="shared" si="27"/>
        <v>3.0004269309427021</v>
      </c>
      <c r="AR12" s="159">
        <f t="shared" si="28"/>
        <v>6.6009392480739439</v>
      </c>
      <c r="AS12" s="159">
        <f t="shared" si="29"/>
        <v>1.500213465471351</v>
      </c>
      <c r="AT12" s="159">
        <f t="shared" si="30"/>
        <v>14.07608315326422</v>
      </c>
      <c r="AU12" s="159">
        <f t="shared" si="31"/>
        <v>1.6890500037872271</v>
      </c>
      <c r="AV12" s="159">
        <f t="shared" si="32"/>
        <v>3.3288021880230065</v>
      </c>
      <c r="AW12" s="159">
        <f t="shared" si="33"/>
        <v>0.84452500189361357</v>
      </c>
      <c r="AX12" s="159">
        <f t="shared" si="34"/>
        <v>2.1002988516598911</v>
      </c>
      <c r="AY12" s="159">
        <f t="shared" si="35"/>
        <v>4.4450769347299284</v>
      </c>
      <c r="AZ12" s="159">
        <f t="shared" si="36"/>
        <v>1.0501494258299455</v>
      </c>
      <c r="BA12" s="159">
        <f t="shared" si="37"/>
        <v>14.911105035237522</v>
      </c>
      <c r="BB12" s="159">
        <f t="shared" si="38"/>
        <v>3.2871511612166806</v>
      </c>
      <c r="BC12" s="159">
        <f t="shared" si="39"/>
        <v>6.5786734775904785</v>
      </c>
      <c r="BD12" s="159">
        <f t="shared" si="40"/>
        <v>1.6435755806083403</v>
      </c>
      <c r="BE12" s="159">
        <f t="shared" si="41"/>
        <v>3.2337934700160229</v>
      </c>
      <c r="BF12" s="159">
        <f t="shared" si="42"/>
        <v>3.8672169332150377</v>
      </c>
      <c r="BG12" s="159">
        <f t="shared" si="43"/>
        <v>13.136683536044258</v>
      </c>
      <c r="BH12" s="159">
        <f t="shared" si="44"/>
        <v>12.704243487437269</v>
      </c>
      <c r="BI12" s="159">
        <f t="shared" si="45"/>
        <v>3.1312388531747826</v>
      </c>
      <c r="BJ12" s="159">
        <f t="shared" si="46"/>
        <v>5.3896557833600385</v>
      </c>
      <c r="BK12" s="159">
        <f t="shared" si="47"/>
        <v>2.933750776921753</v>
      </c>
      <c r="BL12" s="159">
        <f t="shared" si="48"/>
        <v>5.6811310184254964</v>
      </c>
      <c r="BM12" s="159">
        <f t="shared" si="49"/>
        <v>12.708343102384898</v>
      </c>
      <c r="BN12" s="159">
        <f t="shared" si="50"/>
        <v>0.67562000151489077</v>
      </c>
      <c r="BO12" s="159">
        <f t="shared" si="51"/>
        <v>2.0002846206284679</v>
      </c>
      <c r="BP12" s="159">
        <f t="shared" si="52"/>
        <v>0.7556630789040879</v>
      </c>
      <c r="BQ12" s="159">
        <f t="shared" si="53"/>
        <v>4.5478870357474444</v>
      </c>
      <c r="BR12" s="159">
        <f t="shared" si="54"/>
        <v>18.718602345156725</v>
      </c>
      <c r="BS12" s="159">
        <f t="shared" si="55"/>
        <v>1.7540134654713513</v>
      </c>
      <c r="BT12" s="159">
        <f t="shared" si="56"/>
        <v>3.1560046236582489</v>
      </c>
      <c r="BU12" s="159">
        <f t="shared" si="57"/>
        <v>2.7114969301852563</v>
      </c>
      <c r="BV12" s="159">
        <f t="shared" si="58"/>
        <v>6.7845527910330725</v>
      </c>
      <c r="BW12" s="159">
        <f t="shared" si="59"/>
        <v>16.132543109201908</v>
      </c>
      <c r="BX12" s="159">
        <f t="shared" si="60"/>
        <v>1.5721157727558037</v>
      </c>
      <c r="BY12" s="159">
        <f t="shared" si="61"/>
        <v>3.1560046236582489</v>
      </c>
      <c r="BZ12" s="159">
        <f t="shared" si="62"/>
        <v>2.7114969301852563</v>
      </c>
      <c r="CA12" s="159">
        <f t="shared" si="63"/>
        <v>9.4089072772348761</v>
      </c>
      <c r="CB12" s="159">
        <f t="shared" si="64"/>
        <v>13.039479641458218</v>
      </c>
      <c r="CC12" s="159">
        <f t="shared" si="65"/>
        <v>1.9229184658500738</v>
      </c>
      <c r="CD12" s="159">
        <f t="shared" si="66"/>
        <v>6.0539086443064347</v>
      </c>
      <c r="CE12" s="159">
        <f t="shared" si="67"/>
        <v>6.7076893741524</v>
      </c>
      <c r="CF12" s="159">
        <f t="shared" si="68"/>
        <v>13.018748237931419</v>
      </c>
      <c r="CG12" s="159">
        <f t="shared" si="69"/>
        <v>6.7076893741524</v>
      </c>
      <c r="CH12" s="159">
        <f t="shared" si="70"/>
        <v>7.6901906591751992</v>
      </c>
      <c r="CI12" s="159">
        <f t="shared" si="71"/>
        <v>15.023662475779851</v>
      </c>
      <c r="CJ12" s="159">
        <f t="shared" si="72"/>
        <v>7.6901906591751992</v>
      </c>
      <c r="CK12" s="159">
        <f t="shared" si="73"/>
        <v>3.7277762588093806</v>
      </c>
    </row>
    <row r="13" spans="1:89" x14ac:dyDescent="0.25">
      <c r="A13" t="str">
        <f>PLANTILLA!D15</f>
        <v>S. Buschelman</v>
      </c>
      <c r="B13" s="488">
        <f>PLANTILLA!E15</f>
        <v>29</v>
      </c>
      <c r="C13" s="488">
        <f ca="1">PLANTILLA!F15</f>
        <v>71</v>
      </c>
      <c r="D13" s="488" t="str">
        <f>PLANTILLA!G15</f>
        <v>TEC</v>
      </c>
      <c r="E13" s="290">
        <v>41747</v>
      </c>
      <c r="F13" s="341">
        <f>PLANTILLA!Q15</f>
        <v>5</v>
      </c>
      <c r="G13" s="407">
        <f t="shared" si="78"/>
        <v>0.84515425472851657</v>
      </c>
      <c r="H13" s="407">
        <f t="shared" si="75"/>
        <v>0.92504826128926143</v>
      </c>
      <c r="I13" s="497">
        <v>1.5</v>
      </c>
      <c r="J13" s="498">
        <f>PLANTILLA!I15</f>
        <v>10.4</v>
      </c>
      <c r="K13" s="163">
        <f>PLANTILLA!X15</f>
        <v>0</v>
      </c>
      <c r="L13" s="163">
        <f>PLANTILLA!Y15</f>
        <v>9.3036666666666648</v>
      </c>
      <c r="M13" s="163">
        <f>PLANTILLA!Z15</f>
        <v>13.759999999999998</v>
      </c>
      <c r="N13" s="163">
        <f>PLANTILLA!AA15</f>
        <v>12.835000000000001</v>
      </c>
      <c r="O13" s="163">
        <f>PLANTILLA!AB15</f>
        <v>9.6733333333333356</v>
      </c>
      <c r="P13" s="163">
        <f>PLANTILLA!AC15</f>
        <v>5.0296666666666656</v>
      </c>
      <c r="Q13" s="163">
        <f>PLANTILLA!AD15</f>
        <v>15.2</v>
      </c>
      <c r="R13" s="163">
        <f t="shared" si="2"/>
        <v>3.956291666666667</v>
      </c>
      <c r="S13" s="163">
        <f t="shared" si="3"/>
        <v>15.421104906467074</v>
      </c>
      <c r="T13" s="163">
        <f t="shared" si="4"/>
        <v>0.70748333333333324</v>
      </c>
      <c r="U13" s="163">
        <f t="shared" si="5"/>
        <v>0.8281466666666667</v>
      </c>
      <c r="V13" s="163">
        <f t="shared" ca="1" si="6"/>
        <v>14.837565665147457</v>
      </c>
      <c r="W13" s="163">
        <f t="shared" ca="1" si="7"/>
        <v>16.240188395808101</v>
      </c>
      <c r="X13" s="159">
        <f t="shared" si="8"/>
        <v>5.0611388069437799</v>
      </c>
      <c r="Y13" s="159">
        <f t="shared" si="9"/>
        <v>7.6412117213796327</v>
      </c>
      <c r="Z13" s="159">
        <f t="shared" si="10"/>
        <v>5.0611388069437799</v>
      </c>
      <c r="AA13" s="159">
        <f t="shared" si="11"/>
        <v>6.2744109374375601</v>
      </c>
      <c r="AB13" s="159">
        <f t="shared" si="12"/>
        <v>12.159711119065038</v>
      </c>
      <c r="AC13" s="159">
        <f t="shared" si="13"/>
        <v>3.13720546871878</v>
      </c>
      <c r="AD13" s="159">
        <f t="shared" si="14"/>
        <v>3.9546185796708118</v>
      </c>
      <c r="AE13" s="159">
        <f t="shared" si="15"/>
        <v>4.5963708030065842</v>
      </c>
      <c r="AF13" s="159">
        <f t="shared" si="16"/>
        <v>8.7914711390840221</v>
      </c>
      <c r="AG13" s="159">
        <f t="shared" si="17"/>
        <v>2.2981854015032921</v>
      </c>
      <c r="AH13" s="159">
        <f t="shared" si="18"/>
        <v>6.3971771141733722</v>
      </c>
      <c r="AI13" s="159">
        <f t="shared" si="19"/>
        <v>11.186934229539835</v>
      </c>
      <c r="AJ13" s="159">
        <f t="shared" si="20"/>
        <v>5.0341204032929259</v>
      </c>
      <c r="AK13" s="159">
        <f t="shared" si="21"/>
        <v>2.7748794235505279</v>
      </c>
      <c r="AL13" s="159">
        <f t="shared" si="22"/>
        <v>9.2263341380102428</v>
      </c>
      <c r="AM13" s="159">
        <f t="shared" si="23"/>
        <v>9.1684221837750393</v>
      </c>
      <c r="AN13" s="159">
        <f t="shared" si="24"/>
        <v>8.6090754722980467</v>
      </c>
      <c r="AO13" s="159">
        <f t="shared" si="25"/>
        <v>3.0153594235505286</v>
      </c>
      <c r="AP13" s="159">
        <f t="shared" si="26"/>
        <v>1.9619528022907315</v>
      </c>
      <c r="AQ13" s="159">
        <f t="shared" si="27"/>
        <v>3.2831220021475604</v>
      </c>
      <c r="AR13" s="159">
        <f t="shared" si="28"/>
        <v>7.2228684047246325</v>
      </c>
      <c r="AS13" s="159">
        <f t="shared" si="29"/>
        <v>1.6415610010737802</v>
      </c>
      <c r="AT13" s="159">
        <f t="shared" si="30"/>
        <v>15.68554596306406</v>
      </c>
      <c r="AU13" s="159">
        <f t="shared" si="31"/>
        <v>1.6288191121451223</v>
      </c>
      <c r="AV13" s="159">
        <f t="shared" si="32"/>
        <v>2.8677533578860568</v>
      </c>
      <c r="AW13" s="159">
        <f t="shared" si="33"/>
        <v>0.81440955607256116</v>
      </c>
      <c r="AX13" s="159">
        <f t="shared" si="34"/>
        <v>2.2981854015032921</v>
      </c>
      <c r="AY13" s="159">
        <f t="shared" si="35"/>
        <v>4.8638844476260159</v>
      </c>
      <c r="AZ13" s="159">
        <f t="shared" si="36"/>
        <v>1.149092700751646</v>
      </c>
      <c r="BA13" s="159">
        <f t="shared" si="37"/>
        <v>16.61604445239837</v>
      </c>
      <c r="BB13" s="159">
        <f t="shared" si="38"/>
        <v>3.1699325797901223</v>
      </c>
      <c r="BC13" s="159">
        <f t="shared" si="39"/>
        <v>5.9285171599381714</v>
      </c>
      <c r="BD13" s="159">
        <f t="shared" si="40"/>
        <v>1.5849662898950612</v>
      </c>
      <c r="BE13" s="159">
        <f t="shared" si="41"/>
        <v>3.5384759356479258</v>
      </c>
      <c r="BF13" s="159">
        <f t="shared" si="42"/>
        <v>4.2315794694346334</v>
      </c>
      <c r="BG13" s="159">
        <f t="shared" si="43"/>
        <v>14.638735162562964</v>
      </c>
      <c r="BH13" s="159">
        <f t="shared" si="44"/>
        <v>12.953413518182156</v>
      </c>
      <c r="BI13" s="159">
        <f t="shared" si="45"/>
        <v>3.0195800463613418</v>
      </c>
      <c r="BJ13" s="159">
        <f t="shared" si="46"/>
        <v>5.8974598927465438</v>
      </c>
      <c r="BK13" s="159">
        <f t="shared" si="47"/>
        <v>3.2101637354331705</v>
      </c>
      <c r="BL13" s="159">
        <f t="shared" si="48"/>
        <v>6.3307129363637786</v>
      </c>
      <c r="BM13" s="159">
        <f t="shared" si="49"/>
        <v>13.07847785139618</v>
      </c>
      <c r="BN13" s="159">
        <f t="shared" si="50"/>
        <v>0.65152764485804882</v>
      </c>
      <c r="BO13" s="159">
        <f t="shared" si="51"/>
        <v>2.1887480014317067</v>
      </c>
      <c r="BP13" s="159">
        <f t="shared" si="52"/>
        <v>0.82686035609642272</v>
      </c>
      <c r="BQ13" s="159">
        <f t="shared" si="53"/>
        <v>5.0678935579815025</v>
      </c>
      <c r="BR13" s="159">
        <f t="shared" si="54"/>
        <v>19.274446499117644</v>
      </c>
      <c r="BS13" s="159">
        <f t="shared" si="55"/>
        <v>1.6914660010737808</v>
      </c>
      <c r="BT13" s="159">
        <f t="shared" si="56"/>
        <v>3.4533579578144704</v>
      </c>
      <c r="BU13" s="159">
        <f t="shared" si="57"/>
        <v>2.9669695130518692</v>
      </c>
      <c r="BV13" s="159">
        <f t="shared" si="58"/>
        <v>7.5603002258412584</v>
      </c>
      <c r="BW13" s="159">
        <f t="shared" si="59"/>
        <v>16.614230586590732</v>
      </c>
      <c r="BX13" s="159">
        <f t="shared" si="60"/>
        <v>1.5160547120735368</v>
      </c>
      <c r="BY13" s="159">
        <f t="shared" si="61"/>
        <v>3.4533579578144704</v>
      </c>
      <c r="BZ13" s="159">
        <f t="shared" si="62"/>
        <v>2.9669695130518692</v>
      </c>
      <c r="CA13" s="159">
        <f t="shared" si="63"/>
        <v>10.484724049463372</v>
      </c>
      <c r="CB13" s="159">
        <f t="shared" si="64"/>
        <v>13.433283118229879</v>
      </c>
      <c r="CC13" s="159">
        <f t="shared" si="65"/>
        <v>1.8543479122882929</v>
      </c>
      <c r="CD13" s="159">
        <f t="shared" si="66"/>
        <v>6.7461140476737382</v>
      </c>
      <c r="CE13" s="159">
        <f t="shared" si="67"/>
        <v>7.4146603825580897</v>
      </c>
      <c r="CF13" s="159">
        <f t="shared" si="68"/>
        <v>11.400821720067237</v>
      </c>
      <c r="CG13" s="159">
        <f t="shared" si="69"/>
        <v>7.4146603825580897</v>
      </c>
      <c r="CH13" s="159">
        <f t="shared" si="70"/>
        <v>7.1671773605108537</v>
      </c>
      <c r="CI13" s="159">
        <f t="shared" si="71"/>
        <v>12.509051522000039</v>
      </c>
      <c r="CJ13" s="159">
        <f t="shared" si="72"/>
        <v>7.1671773605108537</v>
      </c>
      <c r="CK13" s="159">
        <f t="shared" si="73"/>
        <v>4.1540111130995925</v>
      </c>
    </row>
    <row r="14" spans="1:89" x14ac:dyDescent="0.25">
      <c r="A14" t="str">
        <f>PLANTILLA!D16</f>
        <v>C. Rojas</v>
      </c>
      <c r="B14" s="488">
        <f>PLANTILLA!E16</f>
        <v>31</v>
      </c>
      <c r="C14" s="488">
        <f ca="1">PLANTILLA!F16</f>
        <v>105</v>
      </c>
      <c r="D14" s="488" t="str">
        <f>PLANTILLA!G16</f>
        <v>TEC</v>
      </c>
      <c r="E14" s="290">
        <v>41653</v>
      </c>
      <c r="F14" s="341">
        <f>PLANTILLA!Q16</f>
        <v>5</v>
      </c>
      <c r="G14" s="407">
        <f t="shared" si="78"/>
        <v>0.84515425472851657</v>
      </c>
      <c r="H14" s="407">
        <f t="shared" si="75"/>
        <v>0.92504826128926143</v>
      </c>
      <c r="I14" s="497">
        <v>1.5</v>
      </c>
      <c r="J14" s="498">
        <f>PLANTILLA!I16</f>
        <v>11</v>
      </c>
      <c r="K14" s="163">
        <f>PLANTILLA!X16</f>
        <v>0</v>
      </c>
      <c r="L14" s="163">
        <f>PLANTILLA!Y16</f>
        <v>8.6275555555555581</v>
      </c>
      <c r="M14" s="163">
        <f>PLANTILLA!Z16</f>
        <v>14.238017460317453</v>
      </c>
      <c r="N14" s="163">
        <f>PLANTILLA!AA16</f>
        <v>9.99</v>
      </c>
      <c r="O14" s="163">
        <f>PLANTILLA!AB16</f>
        <v>10.09</v>
      </c>
      <c r="P14" s="163">
        <f>PLANTILLA!AC16</f>
        <v>4.3999999999999995</v>
      </c>
      <c r="Q14" s="163">
        <f>PLANTILLA!AD16</f>
        <v>16.544444444444441</v>
      </c>
      <c r="R14" s="163">
        <f t="shared" si="2"/>
        <v>3.9759444444444449</v>
      </c>
      <c r="S14" s="163">
        <f t="shared" si="3"/>
        <v>15.187081556710682</v>
      </c>
      <c r="T14" s="163">
        <f t="shared" si="4"/>
        <v>0.71633333333333327</v>
      </c>
      <c r="U14" s="163">
        <f t="shared" si="5"/>
        <v>0.8414355555555556</v>
      </c>
      <c r="V14" s="163">
        <f t="shared" ca="1" si="6"/>
        <v>16.001278480676476</v>
      </c>
      <c r="W14" s="163">
        <f t="shared" ca="1" si="7"/>
        <v>17.513909152252669</v>
      </c>
      <c r="X14" s="159">
        <f t="shared" si="8"/>
        <v>4.9028864188575083</v>
      </c>
      <c r="Y14" s="159">
        <f t="shared" si="9"/>
        <v>7.3957950531634697</v>
      </c>
      <c r="Z14" s="159">
        <f t="shared" si="10"/>
        <v>4.9028864188575083</v>
      </c>
      <c r="AA14" s="159">
        <f t="shared" si="11"/>
        <v>5.9422968340555267</v>
      </c>
      <c r="AB14" s="159">
        <f t="shared" si="12"/>
        <v>11.516079135766525</v>
      </c>
      <c r="AC14" s="159">
        <f t="shared" si="13"/>
        <v>2.9711484170277633</v>
      </c>
      <c r="AD14" s="159">
        <f t="shared" si="14"/>
        <v>4.0761167676457637</v>
      </c>
      <c r="AE14" s="159">
        <f t="shared" si="15"/>
        <v>4.3530779133197459</v>
      </c>
      <c r="AF14" s="159">
        <f t="shared" si="16"/>
        <v>8.3261252151591965</v>
      </c>
      <c r="AG14" s="159">
        <f t="shared" si="17"/>
        <v>2.176538956659873</v>
      </c>
      <c r="AH14" s="159">
        <f t="shared" si="18"/>
        <v>6.5937183006034417</v>
      </c>
      <c r="AI14" s="159">
        <f t="shared" si="19"/>
        <v>10.594792804905204</v>
      </c>
      <c r="AJ14" s="159">
        <f t="shared" si="20"/>
        <v>4.7676567622073414</v>
      </c>
      <c r="AK14" s="159">
        <f t="shared" si="21"/>
        <v>2.8601323537682464</v>
      </c>
      <c r="AL14" s="159">
        <f t="shared" si="22"/>
        <v>7.5725718651640479</v>
      </c>
      <c r="AM14" s="159">
        <f t="shared" si="23"/>
        <v>8.6831236683679602</v>
      </c>
      <c r="AN14" s="159">
        <f t="shared" si="24"/>
        <v>8.1533840281226997</v>
      </c>
      <c r="AO14" s="159">
        <f t="shared" si="25"/>
        <v>3.2453056601174537</v>
      </c>
      <c r="AP14" s="159">
        <f t="shared" si="26"/>
        <v>1.9769667911007585</v>
      </c>
      <c r="AQ14" s="159">
        <f t="shared" si="27"/>
        <v>3.1093413666569618</v>
      </c>
      <c r="AR14" s="159">
        <f t="shared" si="28"/>
        <v>6.840551006645315</v>
      </c>
      <c r="AS14" s="159">
        <f t="shared" si="29"/>
        <v>1.5546706833284809</v>
      </c>
      <c r="AT14" s="159">
        <f t="shared" si="30"/>
        <v>16.167454742258826</v>
      </c>
      <c r="AU14" s="159">
        <f t="shared" si="31"/>
        <v>1.6872080654274257</v>
      </c>
      <c r="AV14" s="159">
        <f t="shared" si="32"/>
        <v>2.818337409001813</v>
      </c>
      <c r="AW14" s="159">
        <f t="shared" si="33"/>
        <v>0.84360403271371287</v>
      </c>
      <c r="AX14" s="159">
        <f t="shared" si="34"/>
        <v>2.176538956659873</v>
      </c>
      <c r="AY14" s="159">
        <f t="shared" si="35"/>
        <v>4.6064316543066104</v>
      </c>
      <c r="AZ14" s="159">
        <f t="shared" si="36"/>
        <v>1.0882694783299365</v>
      </c>
      <c r="BA14" s="159">
        <f t="shared" si="37"/>
        <v>17.126541040528419</v>
      </c>
      <c r="BB14" s="159">
        <f t="shared" si="38"/>
        <v>3.2835664657933745</v>
      </c>
      <c r="BC14" s="159">
        <f t="shared" si="39"/>
        <v>5.9562664926962432</v>
      </c>
      <c r="BD14" s="159">
        <f t="shared" si="40"/>
        <v>1.6417832328966873</v>
      </c>
      <c r="BE14" s="159">
        <f t="shared" si="41"/>
        <v>3.3511790285080583</v>
      </c>
      <c r="BF14" s="159">
        <f t="shared" si="42"/>
        <v>4.0075955392467506</v>
      </c>
      <c r="BG14" s="159">
        <f t="shared" si="43"/>
        <v>15.088482656705537</v>
      </c>
      <c r="BH14" s="159">
        <f t="shared" si="44"/>
        <v>11.480507462807548</v>
      </c>
      <c r="BI14" s="159">
        <f t="shared" si="45"/>
        <v>3.1278241828308428</v>
      </c>
      <c r="BJ14" s="159">
        <f t="shared" si="46"/>
        <v>5.5852983808467647</v>
      </c>
      <c r="BK14" s="159">
        <f t="shared" si="47"/>
        <v>3.0402448918423626</v>
      </c>
      <c r="BL14" s="159">
        <f t="shared" si="48"/>
        <v>6.5252121364413282</v>
      </c>
      <c r="BM14" s="159">
        <f t="shared" si="49"/>
        <v>11.275929609104386</v>
      </c>
      <c r="BN14" s="159">
        <f t="shared" si="50"/>
        <v>0.67488322617097019</v>
      </c>
      <c r="BO14" s="159">
        <f t="shared" si="51"/>
        <v>2.0728942444379745</v>
      </c>
      <c r="BP14" s="159">
        <f t="shared" si="52"/>
        <v>0.78309338123212369</v>
      </c>
      <c r="BQ14" s="159">
        <f t="shared" si="53"/>
        <v>5.223595017361168</v>
      </c>
      <c r="BR14" s="159">
        <f t="shared" si="54"/>
        <v>16.590381324151302</v>
      </c>
      <c r="BS14" s="159">
        <f t="shared" si="55"/>
        <v>1.7521006833284807</v>
      </c>
      <c r="BT14" s="159">
        <f t="shared" si="56"/>
        <v>3.2705664745576928</v>
      </c>
      <c r="BU14" s="159">
        <f t="shared" si="57"/>
        <v>2.8099233091270319</v>
      </c>
      <c r="BV14" s="159">
        <f t="shared" si="58"/>
        <v>7.7925761734404313</v>
      </c>
      <c r="BW14" s="159">
        <f t="shared" si="59"/>
        <v>14.293804126873752</v>
      </c>
      <c r="BX14" s="159">
        <f t="shared" si="60"/>
        <v>1.570401353205527</v>
      </c>
      <c r="BY14" s="159">
        <f t="shared" si="61"/>
        <v>3.2705664745576928</v>
      </c>
      <c r="BZ14" s="159">
        <f t="shared" si="62"/>
        <v>2.8099233091270319</v>
      </c>
      <c r="CA14" s="159">
        <f t="shared" si="63"/>
        <v>10.806847396573433</v>
      </c>
      <c r="CB14" s="159">
        <f t="shared" si="64"/>
        <v>11.545578604288814</v>
      </c>
      <c r="CC14" s="159">
        <f t="shared" si="65"/>
        <v>1.920821489871223</v>
      </c>
      <c r="CD14" s="159">
        <f t="shared" si="66"/>
        <v>6.9533756624545386</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4.2816352601321048</v>
      </c>
    </row>
    <row r="15" spans="1:89" x14ac:dyDescent="0.25">
      <c r="A15" t="str">
        <f>PLANTILLA!D17</f>
        <v>E. Gross</v>
      </c>
      <c r="B15" s="488">
        <f>PLANTILLA!E17</f>
        <v>30</v>
      </c>
      <c r="C15" s="488">
        <f ca="1">PLANTILLA!F17</f>
        <v>99</v>
      </c>
      <c r="D15" s="488"/>
      <c r="E15" s="290">
        <v>41552</v>
      </c>
      <c r="F15" s="341">
        <f>PLANTILLA!Q17</f>
        <v>7</v>
      </c>
      <c r="G15" s="407">
        <f t="shared" si="78"/>
        <v>1</v>
      </c>
      <c r="H15" s="407">
        <f t="shared" si="75"/>
        <v>1</v>
      </c>
      <c r="I15" s="497">
        <v>1.5</v>
      </c>
      <c r="J15" s="498">
        <f>PLANTILLA!I17</f>
        <v>9.1</v>
      </c>
      <c r="K15" s="163">
        <f>PLANTILLA!X17</f>
        <v>0</v>
      </c>
      <c r="L15" s="163">
        <f>PLANTILLA!Y17</f>
        <v>10.549999999999995</v>
      </c>
      <c r="M15" s="163">
        <f>PLANTILLA!Z17</f>
        <v>12.869777777777777</v>
      </c>
      <c r="N15" s="163">
        <f>PLANTILLA!AA17</f>
        <v>5.1299999999999981</v>
      </c>
      <c r="O15" s="163">
        <f>PLANTILLA!AB17</f>
        <v>9.24</v>
      </c>
      <c r="P15" s="163">
        <f>PLANTILLA!AC17</f>
        <v>2.98</v>
      </c>
      <c r="Q15" s="163">
        <f>PLANTILLA!AD17</f>
        <v>16.959999999999997</v>
      </c>
      <c r="R15" s="163">
        <f t="shared" si="2"/>
        <v>4.0037499999999993</v>
      </c>
      <c r="S15" s="163">
        <f t="shared" si="3"/>
        <v>12.815775302706152</v>
      </c>
      <c r="T15" s="163">
        <f t="shared" si="4"/>
        <v>0.65779999999999994</v>
      </c>
      <c r="U15" s="163">
        <f t="shared" si="5"/>
        <v>0.93079999999999963</v>
      </c>
      <c r="V15" s="163">
        <f t="shared" ca="1" si="6"/>
        <v>19.238721856428121</v>
      </c>
      <c r="W15" s="163">
        <f t="shared" ca="1" si="7"/>
        <v>19.238721856428121</v>
      </c>
      <c r="X15" s="159">
        <f t="shared" si="8"/>
        <v>5.3376241806617513</v>
      </c>
      <c r="Y15" s="159">
        <f t="shared" si="9"/>
        <v>8.0710799166487064</v>
      </c>
      <c r="Z15" s="159">
        <f t="shared" si="10"/>
        <v>5.3376241806617513</v>
      </c>
      <c r="AA15" s="159">
        <f t="shared" si="11"/>
        <v>6.8776204779169099</v>
      </c>
      <c r="AB15" s="159">
        <f t="shared" si="12"/>
        <v>13.328721856428119</v>
      </c>
      <c r="AC15" s="159">
        <f t="shared" si="13"/>
        <v>3.4388102389584549</v>
      </c>
      <c r="AD15" s="159">
        <f t="shared" si="14"/>
        <v>3.7243429129410042</v>
      </c>
      <c r="AE15" s="159">
        <f t="shared" si="15"/>
        <v>5.0382568617298293</v>
      </c>
      <c r="AF15" s="159">
        <f t="shared" si="16"/>
        <v>9.6366659021975298</v>
      </c>
      <c r="AG15" s="159">
        <f t="shared" si="17"/>
        <v>2.5191284308649147</v>
      </c>
      <c r="AH15" s="159">
        <f t="shared" si="18"/>
        <v>6.0246723591692719</v>
      </c>
      <c r="AI15" s="159">
        <f t="shared" si="19"/>
        <v>12.262424107913871</v>
      </c>
      <c r="AJ15" s="159">
        <f t="shared" si="20"/>
        <v>5.5180908485612408</v>
      </c>
      <c r="AK15" s="159">
        <f t="shared" si="21"/>
        <v>2.6132994389123856</v>
      </c>
      <c r="AL15" s="159">
        <f t="shared" si="22"/>
        <v>4.6503284515797363</v>
      </c>
      <c r="AM15" s="159">
        <f t="shared" si="23"/>
        <v>10.049856279746802</v>
      </c>
      <c r="AN15" s="159">
        <f t="shared" si="24"/>
        <v>9.4367350743511071</v>
      </c>
      <c r="AO15" s="159">
        <f t="shared" si="25"/>
        <v>3.2963665500234964</v>
      </c>
      <c r="AP15" s="159">
        <f t="shared" si="26"/>
        <v>1.9533518946512995</v>
      </c>
      <c r="AQ15" s="159">
        <f t="shared" si="27"/>
        <v>3.5987549012355924</v>
      </c>
      <c r="AR15" s="159">
        <f t="shared" si="28"/>
        <v>7.9172607827183024</v>
      </c>
      <c r="AS15" s="159">
        <f t="shared" si="29"/>
        <v>1.7993774506177962</v>
      </c>
      <c r="AT15" s="159">
        <f t="shared" si="30"/>
        <v>14.77218365469037</v>
      </c>
      <c r="AU15" s="159">
        <f t="shared" si="31"/>
        <v>1.5624338413356562</v>
      </c>
      <c r="AV15" s="159">
        <f t="shared" si="32"/>
        <v>2.4385055039334405</v>
      </c>
      <c r="AW15" s="159">
        <f t="shared" si="33"/>
        <v>0.78121692066782811</v>
      </c>
      <c r="AX15" s="159">
        <f t="shared" si="34"/>
        <v>2.5191284308649147</v>
      </c>
      <c r="AY15" s="159">
        <f t="shared" si="35"/>
        <v>5.3314887425712483</v>
      </c>
      <c r="AZ15" s="159">
        <f t="shared" si="36"/>
        <v>1.2595642154324573</v>
      </c>
      <c r="BA15" s="159">
        <f t="shared" si="37"/>
        <v>15.648499634205901</v>
      </c>
      <c r="BB15" s="159">
        <f t="shared" si="38"/>
        <v>3.0407366296763154</v>
      </c>
      <c r="BC15" s="159">
        <f t="shared" si="39"/>
        <v>5.3077157428918973</v>
      </c>
      <c r="BD15" s="159">
        <f t="shared" si="40"/>
        <v>1.5203683148381577</v>
      </c>
      <c r="BE15" s="159">
        <f t="shared" si="41"/>
        <v>3.8786580602205825</v>
      </c>
      <c r="BF15" s="159">
        <f t="shared" si="42"/>
        <v>4.6383952060369849</v>
      </c>
      <c r="BG15" s="159">
        <f t="shared" si="43"/>
        <v>13.786328177735399</v>
      </c>
      <c r="BH15" s="159">
        <f t="shared" si="44"/>
        <v>8.325503730364602</v>
      </c>
      <c r="BI15" s="159">
        <f t="shared" si="45"/>
        <v>2.8965119673991779</v>
      </c>
      <c r="BJ15" s="159">
        <f t="shared" si="46"/>
        <v>6.4644301003676379</v>
      </c>
      <c r="BK15" s="159">
        <f t="shared" si="47"/>
        <v>3.5187825700970237</v>
      </c>
      <c r="BL15" s="159">
        <f t="shared" si="48"/>
        <v>5.9620783606324483</v>
      </c>
      <c r="BM15" s="159">
        <f t="shared" si="49"/>
        <v>7.73833290251818</v>
      </c>
      <c r="BN15" s="159">
        <f t="shared" si="50"/>
        <v>0.62497353653426246</v>
      </c>
      <c r="BO15" s="159">
        <f t="shared" si="51"/>
        <v>2.3991699341570616</v>
      </c>
      <c r="BP15" s="159">
        <f t="shared" si="52"/>
        <v>0.90635308623711219</v>
      </c>
      <c r="BQ15" s="159">
        <f t="shared" si="53"/>
        <v>4.7727923884327996</v>
      </c>
      <c r="BR15" s="159">
        <f t="shared" si="54"/>
        <v>11.346076307366566</v>
      </c>
      <c r="BS15" s="159">
        <f t="shared" si="55"/>
        <v>1.6225274506177969</v>
      </c>
      <c r="BT15" s="159">
        <f t="shared" si="56"/>
        <v>3.7853570072255858</v>
      </c>
      <c r="BU15" s="159">
        <f t="shared" si="57"/>
        <v>3.2522081329684611</v>
      </c>
      <c r="BV15" s="159">
        <f t="shared" si="58"/>
        <v>7.1200673335636857</v>
      </c>
      <c r="BW15" s="159">
        <f t="shared" si="59"/>
        <v>9.7657038169223611</v>
      </c>
      <c r="BX15" s="159">
        <f t="shared" si="60"/>
        <v>1.4542653446278029</v>
      </c>
      <c r="BY15" s="159">
        <f t="shared" si="61"/>
        <v>3.7853570072255858</v>
      </c>
      <c r="BZ15" s="159">
        <f t="shared" si="62"/>
        <v>3.2522081329684611</v>
      </c>
      <c r="CA15" s="159">
        <f t="shared" si="63"/>
        <v>9.8742032691839245</v>
      </c>
      <c r="CB15" s="159">
        <f t="shared" si="64"/>
        <v>7.8715360615031704</v>
      </c>
      <c r="CC15" s="159">
        <f t="shared" si="65"/>
        <v>1.7787708347513622</v>
      </c>
      <c r="CD15" s="159">
        <f t="shared" si="66"/>
        <v>6.3532908514875963</v>
      </c>
      <c r="CE15" s="159">
        <f t="shared" si="67"/>
        <v>4.8748940871990527</v>
      </c>
      <c r="CF15" s="159">
        <f t="shared" si="68"/>
        <v>9.8835008103380684</v>
      </c>
      <c r="CG15" s="159">
        <f t="shared" si="69"/>
        <v>4.8748940871990527</v>
      </c>
      <c r="CH15" s="159">
        <f t="shared" si="70"/>
        <v>4.8217537165547206</v>
      </c>
      <c r="CI15" s="159">
        <f t="shared" si="71"/>
        <v>10.193630221450103</v>
      </c>
      <c r="CJ15" s="159">
        <f t="shared" si="72"/>
        <v>4.8217537165547206</v>
      </c>
      <c r="CK15" s="159">
        <f t="shared" si="73"/>
        <v>3.9121249085514753</v>
      </c>
    </row>
    <row r="16" spans="1:89" x14ac:dyDescent="0.25">
      <c r="A16" t="str">
        <f>PLANTILLA!D18</f>
        <v>L. Bauman</v>
      </c>
      <c r="B16" s="488">
        <f>PLANTILLA!E18</f>
        <v>30</v>
      </c>
      <c r="C16" s="488">
        <f ca="1">PLANTILLA!F18</f>
        <v>74</v>
      </c>
      <c r="D16" s="488"/>
      <c r="E16" s="290">
        <v>41686</v>
      </c>
      <c r="F16" s="341">
        <f>PLANTILLA!Q18</f>
        <v>5</v>
      </c>
      <c r="G16" s="407">
        <f t="shared" si="78"/>
        <v>0.84515425472851657</v>
      </c>
      <c r="H16" s="407">
        <f t="shared" si="75"/>
        <v>0.92504826128926143</v>
      </c>
      <c r="I16" s="497">
        <v>1.5</v>
      </c>
      <c r="J16" s="498">
        <f>PLANTILLA!I18</f>
        <v>8.1</v>
      </c>
      <c r="K16" s="163">
        <f>PLANTILLA!X18</f>
        <v>0</v>
      </c>
      <c r="L16" s="163">
        <f>PLANTILLA!Y18</f>
        <v>5.4644444444444451</v>
      </c>
      <c r="M16" s="163">
        <f>PLANTILLA!Z18</f>
        <v>14.331408994708985</v>
      </c>
      <c r="N16" s="163">
        <f>PLANTILLA!AA18</f>
        <v>3.5124999999999993</v>
      </c>
      <c r="O16" s="163">
        <f>PLANTILLA!AB18</f>
        <v>9.1400000000000041</v>
      </c>
      <c r="P16" s="163">
        <f>PLANTILLA!AC18</f>
        <v>7.4318888888888894</v>
      </c>
      <c r="Q16" s="163">
        <f>PLANTILLA!AD18</f>
        <v>16.07</v>
      </c>
      <c r="R16" s="163">
        <f t="shared" si="2"/>
        <v>3.3430555555555568</v>
      </c>
      <c r="S16" s="163">
        <f t="shared" si="3"/>
        <v>19.567438077851307</v>
      </c>
      <c r="T16" s="163">
        <f t="shared" si="4"/>
        <v>0.85369444444444442</v>
      </c>
      <c r="U16" s="163">
        <f t="shared" si="5"/>
        <v>0.70067777777777773</v>
      </c>
      <c r="V16" s="163">
        <f t="shared" ca="1" si="6"/>
        <v>15.450529766965655</v>
      </c>
      <c r="W16" s="163">
        <f t="shared" ca="1" si="7"/>
        <v>16.911097136369076</v>
      </c>
      <c r="X16" s="159">
        <f t="shared" si="8"/>
        <v>3.8751632286414157</v>
      </c>
      <c r="Y16" s="159">
        <f t="shared" si="9"/>
        <v>5.822694434718672</v>
      </c>
      <c r="Z16" s="159">
        <f t="shared" si="10"/>
        <v>3.8751632286414157</v>
      </c>
      <c r="AA16" s="159">
        <f t="shared" si="11"/>
        <v>4.2186910263218449</v>
      </c>
      <c r="AB16" s="159">
        <f t="shared" si="12"/>
        <v>8.1757578029493114</v>
      </c>
      <c r="AC16" s="159">
        <f t="shared" si="13"/>
        <v>2.1093455131609224</v>
      </c>
      <c r="AD16" s="159">
        <f t="shared" si="14"/>
        <v>4.0561679200648966</v>
      </c>
      <c r="AE16" s="159">
        <f t="shared" si="15"/>
        <v>3.0904364495148395</v>
      </c>
      <c r="AF16" s="159">
        <f t="shared" si="16"/>
        <v>5.9110728915323518</v>
      </c>
      <c r="AG16" s="159">
        <f t="shared" si="17"/>
        <v>1.5452182247574198</v>
      </c>
      <c r="AH16" s="159">
        <f t="shared" si="18"/>
        <v>6.5614481059873322</v>
      </c>
      <c r="AI16" s="159">
        <f t="shared" si="19"/>
        <v>7.5216971787133664</v>
      </c>
      <c r="AJ16" s="159">
        <f t="shared" si="20"/>
        <v>3.3847637304210147</v>
      </c>
      <c r="AK16" s="159">
        <f t="shared" si="21"/>
        <v>2.846134632986713</v>
      </c>
      <c r="AL16" s="159">
        <f t="shared" si="22"/>
        <v>3.6596022548008609</v>
      </c>
      <c r="AM16" s="159">
        <f t="shared" si="23"/>
        <v>6.1645213834237804</v>
      </c>
      <c r="AN16" s="159">
        <f t="shared" si="24"/>
        <v>5.7884365244881124</v>
      </c>
      <c r="AO16" s="159">
        <f t="shared" si="25"/>
        <v>3.1364793308703129</v>
      </c>
      <c r="AP16" s="159">
        <f t="shared" si="26"/>
        <v>1.7436582472494018</v>
      </c>
      <c r="AQ16" s="159">
        <f t="shared" si="27"/>
        <v>2.2074546067963143</v>
      </c>
      <c r="AR16" s="159">
        <f t="shared" si="28"/>
        <v>4.8564001349518904</v>
      </c>
      <c r="AS16" s="159">
        <f t="shared" si="29"/>
        <v>1.1037273033981572</v>
      </c>
      <c r="AT16" s="159">
        <f t="shared" si="30"/>
        <v>16.088329901433873</v>
      </c>
      <c r="AU16" s="159">
        <f t="shared" si="31"/>
        <v>1.5406707366056334</v>
      </c>
      <c r="AV16" s="159">
        <f t="shared" si="32"/>
        <v>3.1769315918197041</v>
      </c>
      <c r="AW16" s="159">
        <f t="shared" si="33"/>
        <v>0.77033536830281668</v>
      </c>
      <c r="AX16" s="159">
        <f t="shared" si="34"/>
        <v>1.5452182247574198</v>
      </c>
      <c r="AY16" s="159">
        <f t="shared" si="35"/>
        <v>3.2703031211797247</v>
      </c>
      <c r="AZ16" s="159">
        <f t="shared" si="36"/>
        <v>0.77260911237870988</v>
      </c>
      <c r="BA16" s="159">
        <f t="shared" si="37"/>
        <v>17.042722353213851</v>
      </c>
      <c r="BB16" s="159">
        <f t="shared" si="38"/>
        <v>2.9983822797017323</v>
      </c>
      <c r="BC16" s="159">
        <f t="shared" si="39"/>
        <v>6.1713703272028502</v>
      </c>
      <c r="BD16" s="159">
        <f t="shared" si="40"/>
        <v>1.4991911398508662</v>
      </c>
      <c r="BE16" s="159">
        <f t="shared" si="41"/>
        <v>2.3791455206582497</v>
      </c>
      <c r="BF16" s="159">
        <f t="shared" si="42"/>
        <v>2.8451637154263603</v>
      </c>
      <c r="BG16" s="159">
        <f t="shared" si="43"/>
        <v>15.014638393181402</v>
      </c>
      <c r="BH16" s="159">
        <f t="shared" si="44"/>
        <v>7.3056325757108267</v>
      </c>
      <c r="BI16" s="159">
        <f t="shared" si="45"/>
        <v>2.8561665193996739</v>
      </c>
      <c r="BJ16" s="159">
        <f t="shared" si="46"/>
        <v>3.9652425344304159</v>
      </c>
      <c r="BK16" s="159">
        <f t="shared" si="47"/>
        <v>2.1584000599786184</v>
      </c>
      <c r="BL16" s="159">
        <f t="shared" si="48"/>
        <v>6.4932772165744774</v>
      </c>
      <c r="BM16" s="159">
        <f t="shared" si="49"/>
        <v>6.5707403753332549</v>
      </c>
      <c r="BN16" s="159">
        <f t="shared" si="50"/>
        <v>0.6162682946422533</v>
      </c>
      <c r="BO16" s="159">
        <f t="shared" si="51"/>
        <v>1.4716364045308761</v>
      </c>
      <c r="BP16" s="159">
        <f t="shared" si="52"/>
        <v>0.55595153060055325</v>
      </c>
      <c r="BQ16" s="159">
        <f t="shared" si="53"/>
        <v>5.1980303177302245</v>
      </c>
      <c r="BR16" s="159">
        <f t="shared" si="54"/>
        <v>9.6132889790372591</v>
      </c>
      <c r="BS16" s="159">
        <f t="shared" si="55"/>
        <v>1.5999273033981578</v>
      </c>
      <c r="BT16" s="159">
        <f t="shared" si="56"/>
        <v>2.3219152160376044</v>
      </c>
      <c r="BU16" s="159">
        <f t="shared" si="57"/>
        <v>1.9948849039196319</v>
      </c>
      <c r="BV16" s="159">
        <f t="shared" si="58"/>
        <v>7.7544386707123021</v>
      </c>
      <c r="BW16" s="159">
        <f t="shared" si="59"/>
        <v>8.2690952012233918</v>
      </c>
      <c r="BX16" s="159">
        <f t="shared" si="60"/>
        <v>1.4340089163790894</v>
      </c>
      <c r="BY16" s="159">
        <f t="shared" si="61"/>
        <v>2.3219152160376044</v>
      </c>
      <c r="BZ16" s="159">
        <f t="shared" si="62"/>
        <v>1.9948849039196319</v>
      </c>
      <c r="CA16" s="159">
        <f t="shared" si="63"/>
        <v>10.75395780487794</v>
      </c>
      <c r="CB16" s="159">
        <f t="shared" si="64"/>
        <v>6.6564204558618556</v>
      </c>
      <c r="CC16" s="159">
        <f t="shared" si="65"/>
        <v>1.753994377058721</v>
      </c>
      <c r="CD16" s="159">
        <f t="shared" si="66"/>
        <v>6.9193452754048241</v>
      </c>
      <c r="CE16" s="159">
        <f t="shared" si="67"/>
        <v>5.147244148669925</v>
      </c>
      <c r="CF16" s="159">
        <f t="shared" si="68"/>
        <v>12.348750063898706</v>
      </c>
      <c r="CG16" s="159">
        <f t="shared" si="69"/>
        <v>5.147244148669925</v>
      </c>
      <c r="CH16" s="159">
        <f t="shared" si="70"/>
        <v>5.5655818334596434</v>
      </c>
      <c r="CI16" s="159">
        <f t="shared" si="71"/>
        <v>14.516336876682054</v>
      </c>
      <c r="CJ16" s="159">
        <f t="shared" si="72"/>
        <v>5.5655818334596434</v>
      </c>
      <c r="CK16" s="159">
        <f t="shared" si="73"/>
        <v>4.2606805883034626</v>
      </c>
    </row>
    <row r="17" spans="1:89" x14ac:dyDescent="0.25">
      <c r="A17" t="str">
        <f>PLANTILLA!D19</f>
        <v>W. Gelifini</v>
      </c>
      <c r="B17" s="488">
        <f>PLANTILLA!E19</f>
        <v>29</v>
      </c>
      <c r="C17" s="488">
        <f ca="1">PLANTILLA!F19</f>
        <v>24</v>
      </c>
      <c r="D17" s="488"/>
      <c r="E17" s="290">
        <v>41737</v>
      </c>
      <c r="F17" s="341">
        <f>PLANTILLA!Q19</f>
        <v>5</v>
      </c>
      <c r="G17" s="407">
        <f t="shared" si="78"/>
        <v>0.84515425472851657</v>
      </c>
      <c r="H17" s="407">
        <f t="shared" si="75"/>
        <v>0.92504826128926143</v>
      </c>
      <c r="I17" s="497">
        <v>1.5</v>
      </c>
      <c r="J17" s="498">
        <f>PLANTILLA!I19</f>
        <v>4</v>
      </c>
      <c r="K17" s="163">
        <f>PLANTILLA!X19</f>
        <v>0</v>
      </c>
      <c r="L17" s="163">
        <f>PLANTILLA!Y19</f>
        <v>5.6515555555555519</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12.045769477128738</v>
      </c>
      <c r="W17" s="163">
        <f t="shared" ca="1" si="7"/>
        <v>13.184478511900247</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2.8952903594702954</v>
      </c>
      <c r="AE17" s="159">
        <f t="shared" si="15"/>
        <v>3.0067262356292916</v>
      </c>
      <c r="AF17" s="159">
        <f t="shared" si="16"/>
        <v>5.7509604983068199</v>
      </c>
      <c r="AG17" s="159">
        <f t="shared" si="17"/>
        <v>1.5033631178146458</v>
      </c>
      <c r="AH17" s="159">
        <f t="shared" si="18"/>
        <v>4.6835579344372427</v>
      </c>
      <c r="AI17" s="159">
        <f t="shared" si="19"/>
        <v>7.3179580338067414</v>
      </c>
      <c r="AJ17" s="159">
        <f t="shared" si="20"/>
        <v>3.2930811152130337</v>
      </c>
      <c r="AK17" s="159">
        <f t="shared" si="21"/>
        <v>2.0315692858468042</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11.483840753529238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12.165085543992838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10.717440364257691</v>
      </c>
      <c r="BH17" s="159">
        <f t="shared" si="44"/>
        <v>9.0258524430540774</v>
      </c>
      <c r="BI17" s="159">
        <f t="shared" si="45"/>
        <v>2.7882286105467182</v>
      </c>
      <c r="BJ17" s="159">
        <f t="shared" si="46"/>
        <v>3.857836572169858</v>
      </c>
      <c r="BK17" s="159">
        <f t="shared" si="47"/>
        <v>2.0999357836141086</v>
      </c>
      <c r="BL17" s="159">
        <f t="shared" si="48"/>
        <v>4.6348975922612716</v>
      </c>
      <c r="BM17" s="159">
        <f t="shared" si="49"/>
        <v>8.6351052432275193</v>
      </c>
      <c r="BN17" s="159">
        <f t="shared" si="50"/>
        <v>0.60160949273207198</v>
      </c>
      <c r="BO17" s="159">
        <f t="shared" si="51"/>
        <v>1.4317743979187103</v>
      </c>
      <c r="BP17" s="159">
        <f t="shared" si="52"/>
        <v>0.54089255032484618</v>
      </c>
      <c r="BQ17" s="159">
        <f t="shared" si="53"/>
        <v>3.7103510909178152</v>
      </c>
      <c r="BR17" s="159">
        <f t="shared" si="54"/>
        <v>12.684265531797013</v>
      </c>
      <c r="BS17" s="159">
        <f t="shared" si="55"/>
        <v>1.561870798439033</v>
      </c>
      <c r="BT17" s="159">
        <f t="shared" si="56"/>
        <v>2.2590218278272984</v>
      </c>
      <c r="BU17" s="159">
        <f t="shared" si="57"/>
        <v>1.9408497394009183</v>
      </c>
      <c r="BV17" s="159">
        <f t="shared" si="58"/>
        <v>5.5351139225167412</v>
      </c>
      <c r="BW17" s="159">
        <f t="shared" si="59"/>
        <v>10.923293960521843</v>
      </c>
      <c r="BX17" s="159">
        <f t="shared" si="60"/>
        <v>1.3998990119342443</v>
      </c>
      <c r="BY17" s="159">
        <f t="shared" si="61"/>
        <v>2.2590218278272984</v>
      </c>
      <c r="BZ17" s="159">
        <f t="shared" si="62"/>
        <v>1.9408497394009183</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str">
        <f>PLANTILLA!D20</f>
        <v>M. Amico</v>
      </c>
      <c r="B18" s="488">
        <f>PLANTILLA!E20</f>
        <v>29</v>
      </c>
      <c r="C18" s="488">
        <f ca="1">PLANTILLA!F20</f>
        <v>31</v>
      </c>
      <c r="D18" s="488" t="str">
        <f>PLANTILLA!G20</f>
        <v>IMP</v>
      </c>
      <c r="E18" s="290">
        <v>41730</v>
      </c>
      <c r="F18" s="341">
        <f>PLANTILLA!Q20</f>
        <v>5</v>
      </c>
      <c r="G18" s="407">
        <f t="shared" si="78"/>
        <v>0.84515425472851657</v>
      </c>
      <c r="H18" s="407">
        <f t="shared" si="75"/>
        <v>0.92504826128926143</v>
      </c>
      <c r="I18" s="497">
        <v>1.5</v>
      </c>
      <c r="J18" s="498">
        <f>PLANTILLA!I20</f>
        <v>1.2</v>
      </c>
      <c r="K18" s="163">
        <f>PLANTILLA!X20</f>
        <v>0</v>
      </c>
      <c r="L18" s="163">
        <f>PLANTILLA!Y20</f>
        <v>2.4961111111111101</v>
      </c>
      <c r="M18" s="163">
        <f>PLANTILLA!Z20</f>
        <v>7.3299999999999974</v>
      </c>
      <c r="N18" s="163">
        <f>PLANTILLA!AA20</f>
        <v>4.17</v>
      </c>
      <c r="O18" s="163">
        <f>PLANTILLA!AB20</f>
        <v>7.2649999999999988</v>
      </c>
      <c r="P18" s="163">
        <f>PLANTILLA!AC20</f>
        <v>4.3299999999999983</v>
      </c>
      <c r="Q18" s="163">
        <f>PLANTILLA!AD20</f>
        <v>9.5</v>
      </c>
      <c r="R18" s="163">
        <f t="shared" si="2"/>
        <v>2.5032638888888883</v>
      </c>
      <c r="S18" s="163">
        <f t="shared" si="3"/>
        <v>8.3611207383536659</v>
      </c>
      <c r="T18" s="163">
        <f t="shared" si="4"/>
        <v>0.50149999999999983</v>
      </c>
      <c r="U18" s="163">
        <f t="shared" si="5"/>
        <v>0.38484444444444443</v>
      </c>
      <c r="V18" s="163">
        <f t="shared" ca="1" si="6"/>
        <v>8.9633468306385637</v>
      </c>
      <c r="W18" s="163">
        <f t="shared" ca="1" si="7"/>
        <v>9.8106687088480076</v>
      </c>
      <c r="X18" s="159">
        <f t="shared" si="8"/>
        <v>2.0905936370661018</v>
      </c>
      <c r="Y18" s="159">
        <f t="shared" si="9"/>
        <v>3.1336445404188664</v>
      </c>
      <c r="Z18" s="159">
        <f t="shared" si="10"/>
        <v>2.0905936370661018</v>
      </c>
      <c r="AA18" s="159">
        <f t="shared" si="11"/>
        <v>2.1164700306140984</v>
      </c>
      <c r="AB18" s="159">
        <f t="shared" si="12"/>
        <v>4.1016861058412761</v>
      </c>
      <c r="AC18" s="159">
        <f t="shared" si="13"/>
        <v>1.0582350153070492</v>
      </c>
      <c r="AD18" s="159">
        <f t="shared" si="14"/>
        <v>2.1266668487457787</v>
      </c>
      <c r="AE18" s="159">
        <f t="shared" si="15"/>
        <v>1.5504373480080025</v>
      </c>
      <c r="AF18" s="159">
        <f t="shared" si="16"/>
        <v>2.9655190545232424</v>
      </c>
      <c r="AG18" s="159">
        <f t="shared" si="17"/>
        <v>0.77521867400400124</v>
      </c>
      <c r="AH18" s="159">
        <f t="shared" si="18"/>
        <v>3.4401963729711134</v>
      </c>
      <c r="AI18" s="159">
        <f t="shared" si="19"/>
        <v>3.7735512173739743</v>
      </c>
      <c r="AJ18" s="159">
        <f t="shared" si="20"/>
        <v>1.6980980478182883</v>
      </c>
      <c r="AK18" s="159">
        <f t="shared" si="21"/>
        <v>1.4922410241199375</v>
      </c>
      <c r="AL18" s="159">
        <f t="shared" si="22"/>
        <v>3.3960380969013375</v>
      </c>
      <c r="AM18" s="159">
        <f t="shared" si="23"/>
        <v>3.0926713238043222</v>
      </c>
      <c r="AN18" s="159">
        <f t="shared" si="24"/>
        <v>2.9039937629356234</v>
      </c>
      <c r="AO18" s="159">
        <f t="shared" si="25"/>
        <v>1.8546310241199377</v>
      </c>
      <c r="AP18" s="159">
        <f t="shared" si="26"/>
        <v>1.1833455984822876</v>
      </c>
      <c r="AQ18" s="159">
        <f t="shared" si="27"/>
        <v>1.1074552485771447</v>
      </c>
      <c r="AR18" s="159">
        <f t="shared" si="28"/>
        <v>2.436401546869718</v>
      </c>
      <c r="AS18" s="159">
        <f t="shared" si="29"/>
        <v>0.55372762428857236</v>
      </c>
      <c r="AT18" s="159">
        <f t="shared" si="30"/>
        <v>8.4351827950252751</v>
      </c>
      <c r="AU18" s="159">
        <f t="shared" si="31"/>
        <v>1.1531747493149214</v>
      </c>
      <c r="AV18" s="159">
        <f t="shared" si="32"/>
        <v>2.0913234734559385</v>
      </c>
      <c r="AW18" s="159">
        <f t="shared" si="33"/>
        <v>0.57658737465746068</v>
      </c>
      <c r="AX18" s="159">
        <f t="shared" si="34"/>
        <v>0.77521867400400124</v>
      </c>
      <c r="AY18" s="159">
        <f t="shared" si="35"/>
        <v>1.6406744423365105</v>
      </c>
      <c r="AZ18" s="159">
        <f t="shared" si="36"/>
        <v>0.38760933700200062</v>
      </c>
      <c r="BA18" s="159">
        <f t="shared" si="37"/>
        <v>8.9355749947301639</v>
      </c>
      <c r="BB18" s="159">
        <f t="shared" si="38"/>
        <v>2.2442554736667315</v>
      </c>
      <c r="BC18" s="159">
        <f t="shared" si="39"/>
        <v>4.2713368220963206</v>
      </c>
      <c r="BD18" s="159">
        <f t="shared" si="40"/>
        <v>1.1221277368333658</v>
      </c>
      <c r="BE18" s="159">
        <f t="shared" si="41"/>
        <v>1.1935906567998114</v>
      </c>
      <c r="BF18" s="159">
        <f t="shared" si="42"/>
        <v>1.4273867648327641</v>
      </c>
      <c r="BG18" s="159">
        <f t="shared" si="43"/>
        <v>7.8722415703572741</v>
      </c>
      <c r="BH18" s="159">
        <f t="shared" si="44"/>
        <v>6.1094111703151164</v>
      </c>
      <c r="BI18" s="159">
        <f t="shared" si="45"/>
        <v>2.1378085737299695</v>
      </c>
      <c r="BJ18" s="159">
        <f t="shared" si="46"/>
        <v>1.9893177613330189</v>
      </c>
      <c r="BK18" s="159">
        <f t="shared" si="47"/>
        <v>1.0828451319420969</v>
      </c>
      <c r="BL18" s="159">
        <f t="shared" si="48"/>
        <v>3.4044540729921926</v>
      </c>
      <c r="BM18" s="159">
        <f t="shared" si="49"/>
        <v>5.669947545394165</v>
      </c>
      <c r="BN18" s="159">
        <f t="shared" si="50"/>
        <v>0.46126989972596855</v>
      </c>
      <c r="BO18" s="159">
        <f t="shared" si="51"/>
        <v>0.73830349905142967</v>
      </c>
      <c r="BP18" s="159">
        <f t="shared" si="52"/>
        <v>0.27891465519720682</v>
      </c>
      <c r="BQ18" s="159">
        <f t="shared" si="53"/>
        <v>2.7253503733927</v>
      </c>
      <c r="BR18" s="159">
        <f t="shared" si="54"/>
        <v>8.3125594432229928</v>
      </c>
      <c r="BS18" s="159">
        <f t="shared" si="55"/>
        <v>1.1975276242885722</v>
      </c>
      <c r="BT18" s="159">
        <f t="shared" si="56"/>
        <v>1.1648788540589223</v>
      </c>
      <c r="BU18" s="159">
        <f t="shared" si="57"/>
        <v>1.0008114098252714</v>
      </c>
      <c r="BV18" s="159">
        <f t="shared" si="58"/>
        <v>4.0656866226022244</v>
      </c>
      <c r="BW18" s="159">
        <f t="shared" si="59"/>
        <v>7.1545170941610232</v>
      </c>
      <c r="BX18" s="159">
        <f t="shared" si="60"/>
        <v>1.0733395743623499</v>
      </c>
      <c r="BY18" s="159">
        <f t="shared" si="61"/>
        <v>1.1648788540589223</v>
      </c>
      <c r="BZ18" s="159">
        <f t="shared" si="62"/>
        <v>1.0008114098252714</v>
      </c>
      <c r="CA18" s="159">
        <f t="shared" si="63"/>
        <v>5.6383478216747331</v>
      </c>
      <c r="CB18" s="159">
        <f t="shared" si="64"/>
        <v>5.766474620283498</v>
      </c>
      <c r="CC18" s="159">
        <f t="shared" si="65"/>
        <v>1.3128450992200642</v>
      </c>
      <c r="CD18" s="159">
        <f t="shared" si="66"/>
        <v>3.6278434478604469</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2.233893748682541</v>
      </c>
    </row>
    <row r="19" spans="1:89" x14ac:dyDescent="0.25">
      <c r="A19" t="str">
        <f>PLANTILLA!D22</f>
        <v>J. Limon</v>
      </c>
      <c r="B19" s="488">
        <f>PLANTILLA!E22</f>
        <v>29</v>
      </c>
      <c r="C19" s="488">
        <f ca="1">PLANTILLA!F22</f>
        <v>111</v>
      </c>
      <c r="D19" s="488" t="str">
        <f>PLANTILLA!G22</f>
        <v>RAP</v>
      </c>
      <c r="E19" s="290">
        <v>41664</v>
      </c>
      <c r="F19" s="341">
        <f>PLANTILLA!Q22</f>
        <v>7</v>
      </c>
      <c r="G19" s="407">
        <f t="shared" si="78"/>
        <v>1</v>
      </c>
      <c r="H19" s="407">
        <f t="shared" si="75"/>
        <v>1</v>
      </c>
      <c r="I19" s="497">
        <v>1.5</v>
      </c>
      <c r="J19" s="498">
        <f>PLANTILLA!I22</f>
        <v>10</v>
      </c>
      <c r="K19" s="163">
        <f>PLANTILLA!X22</f>
        <v>0</v>
      </c>
      <c r="L19" s="163">
        <f>PLANTILLA!Y22</f>
        <v>6.8376190476190493</v>
      </c>
      <c r="M19" s="163">
        <f>PLANTILLA!Z22</f>
        <v>8.625</v>
      </c>
      <c r="N19" s="163">
        <f>PLANTILLA!AA22</f>
        <v>8.7299999999999969</v>
      </c>
      <c r="O19" s="163">
        <f>PLANTILLA!AB22</f>
        <v>9.6900000000000013</v>
      </c>
      <c r="P19" s="163">
        <f>PLANTILLA!AC22</f>
        <v>8.5625000000000018</v>
      </c>
      <c r="Q19" s="163">
        <f>PLANTILLA!AD22</f>
        <v>18.639999999999993</v>
      </c>
      <c r="R19" s="163">
        <f t="shared" si="2"/>
        <v>3.6522023809523816</v>
      </c>
      <c r="S19" s="163">
        <f t="shared" si="3"/>
        <v>23.127416666666669</v>
      </c>
      <c r="T19" s="163">
        <f t="shared" si="4"/>
        <v>0.9873249999999999</v>
      </c>
      <c r="U19" s="163">
        <f t="shared" si="5"/>
        <v>0.83270476190476184</v>
      </c>
      <c r="V19" s="163">
        <f t="shared" ca="1" si="6"/>
        <v>20.973333333333326</v>
      </c>
      <c r="W19" s="163">
        <f t="shared" ca="1" si="7"/>
        <v>20.973333333333326</v>
      </c>
      <c r="X19" s="159">
        <f t="shared" si="8"/>
        <v>4.3606828571428577</v>
      </c>
      <c r="Y19" s="159">
        <f t="shared" si="9"/>
        <v>6.5638214285714298</v>
      </c>
      <c r="Z19" s="159">
        <f t="shared" si="10"/>
        <v>4.3606828571428577</v>
      </c>
      <c r="AA19" s="159">
        <f t="shared" si="11"/>
        <v>4.9902114285714303</v>
      </c>
      <c r="AB19" s="159">
        <f t="shared" si="12"/>
        <v>9.6709523809523841</v>
      </c>
      <c r="AC19" s="159">
        <f t="shared" si="13"/>
        <v>2.4951057142857151</v>
      </c>
      <c r="AD19" s="159">
        <f t="shared" si="14"/>
        <v>2.7270833333333333</v>
      </c>
      <c r="AE19" s="159">
        <f t="shared" si="15"/>
        <v>3.6556200000000012</v>
      </c>
      <c r="AF19" s="159">
        <f t="shared" si="16"/>
        <v>6.9920985714285733</v>
      </c>
      <c r="AG19" s="159">
        <f t="shared" si="17"/>
        <v>1.8278100000000006</v>
      </c>
      <c r="AH19" s="159">
        <f t="shared" si="18"/>
        <v>4.4114583333333339</v>
      </c>
      <c r="AI19" s="159">
        <f t="shared" si="19"/>
        <v>8.8972761904761946</v>
      </c>
      <c r="AJ19" s="159">
        <f t="shared" si="20"/>
        <v>4.0037742857142868</v>
      </c>
      <c r="AK19" s="159">
        <f t="shared" si="21"/>
        <v>1.9135416666666669</v>
      </c>
      <c r="AL19" s="159">
        <f t="shared" si="22"/>
        <v>6.7992399999999984</v>
      </c>
      <c r="AM19" s="159">
        <f t="shared" si="23"/>
        <v>7.2918980952380981</v>
      </c>
      <c r="AN19" s="159">
        <f t="shared" si="24"/>
        <v>6.8470342857142876</v>
      </c>
      <c r="AO19" s="159">
        <f t="shared" si="25"/>
        <v>3.5860466666666655</v>
      </c>
      <c r="AP19" s="159">
        <f t="shared" si="26"/>
        <v>1.8678342857142858</v>
      </c>
      <c r="AQ19" s="159">
        <f t="shared" si="27"/>
        <v>2.6111571428571438</v>
      </c>
      <c r="AR19" s="159">
        <f t="shared" si="28"/>
        <v>5.7445457142857155</v>
      </c>
      <c r="AS19" s="159">
        <f t="shared" si="29"/>
        <v>1.3055785714285719</v>
      </c>
      <c r="AT19" s="159">
        <f t="shared" si="30"/>
        <v>10.816666666666666</v>
      </c>
      <c r="AU19" s="159">
        <f t="shared" si="31"/>
        <v>1.6280333333333337</v>
      </c>
      <c r="AV19" s="159">
        <f t="shared" si="32"/>
        <v>3.4742791666666673</v>
      </c>
      <c r="AW19" s="159">
        <f t="shared" si="33"/>
        <v>0.81401666666666683</v>
      </c>
      <c r="AX19" s="159">
        <f t="shared" si="34"/>
        <v>1.8278100000000006</v>
      </c>
      <c r="AY19" s="159">
        <f t="shared" si="35"/>
        <v>3.8683809523809538</v>
      </c>
      <c r="AZ19" s="159">
        <f t="shared" si="36"/>
        <v>0.9139050000000003</v>
      </c>
      <c r="BA19" s="159">
        <f t="shared" si="37"/>
        <v>11.458333333333334</v>
      </c>
      <c r="BB19" s="159">
        <f t="shared" si="38"/>
        <v>3.1684033333333339</v>
      </c>
      <c r="BC19" s="159">
        <f t="shared" si="39"/>
        <v>6.6635816666666683</v>
      </c>
      <c r="BD19" s="159">
        <f t="shared" si="40"/>
        <v>1.584201666666667</v>
      </c>
      <c r="BE19" s="159">
        <f t="shared" si="41"/>
        <v>2.8142471428571434</v>
      </c>
      <c r="BF19" s="159">
        <f t="shared" si="42"/>
        <v>3.3654914285714295</v>
      </c>
      <c r="BG19" s="159">
        <f t="shared" si="43"/>
        <v>10.094791666666667</v>
      </c>
      <c r="BH19" s="159">
        <f t="shared" si="44"/>
        <v>10.582203333333332</v>
      </c>
      <c r="BI19" s="159">
        <f t="shared" si="45"/>
        <v>3.0181233333333335</v>
      </c>
      <c r="BJ19" s="159">
        <f t="shared" si="46"/>
        <v>4.6904119047619064</v>
      </c>
      <c r="BK19" s="159">
        <f t="shared" si="47"/>
        <v>2.5531314285714295</v>
      </c>
      <c r="BL19" s="159">
        <f t="shared" si="48"/>
        <v>4.3656250000000005</v>
      </c>
      <c r="BM19" s="159">
        <f t="shared" si="49"/>
        <v>10.299313333333332</v>
      </c>
      <c r="BN19" s="159">
        <f t="shared" si="50"/>
        <v>0.65121333333333342</v>
      </c>
      <c r="BO19" s="159">
        <f t="shared" si="51"/>
        <v>1.7407714285714291</v>
      </c>
      <c r="BP19" s="159">
        <f t="shared" si="52"/>
        <v>0.65762476190476216</v>
      </c>
      <c r="BQ19" s="159">
        <f t="shared" si="53"/>
        <v>3.494791666666667</v>
      </c>
      <c r="BR19" s="159">
        <f t="shared" si="54"/>
        <v>15.145006666666664</v>
      </c>
      <c r="BS19" s="159">
        <f t="shared" si="55"/>
        <v>1.6906500000000004</v>
      </c>
      <c r="BT19" s="159">
        <f t="shared" si="56"/>
        <v>2.7465504761904769</v>
      </c>
      <c r="BU19" s="159">
        <f t="shared" si="57"/>
        <v>2.3597123809523817</v>
      </c>
      <c r="BV19" s="159">
        <f t="shared" si="58"/>
        <v>5.213541666666667</v>
      </c>
      <c r="BW19" s="159">
        <f t="shared" si="59"/>
        <v>13.046413333333332</v>
      </c>
      <c r="BX19" s="159">
        <f t="shared" si="60"/>
        <v>1.5153233333333336</v>
      </c>
      <c r="BY19" s="159">
        <f t="shared" si="61"/>
        <v>2.7465504761904769</v>
      </c>
      <c r="BZ19" s="159">
        <f t="shared" si="62"/>
        <v>2.3597123809523817</v>
      </c>
      <c r="CA19" s="159">
        <f t="shared" si="63"/>
        <v>7.2302083333333336</v>
      </c>
      <c r="CB19" s="159">
        <f t="shared" si="64"/>
        <v>10.534463333333331</v>
      </c>
      <c r="CC19" s="159">
        <f t="shared" si="65"/>
        <v>1.8534533333333336</v>
      </c>
      <c r="CD19" s="159">
        <f t="shared" si="66"/>
        <v>4.6520833333333336</v>
      </c>
      <c r="CE19" s="159">
        <f t="shared" si="67"/>
        <v>6.2432241666666668</v>
      </c>
      <c r="CF19" s="159">
        <f t="shared" si="68"/>
        <v>13.443940833333336</v>
      </c>
      <c r="CG19" s="159">
        <f t="shared" si="69"/>
        <v>6.2432241666666668</v>
      </c>
      <c r="CH19" s="159">
        <f t="shared" si="70"/>
        <v>7.1667266666666665</v>
      </c>
      <c r="CI19" s="159">
        <f t="shared" si="71"/>
        <v>16.016943333333337</v>
      </c>
      <c r="CJ19" s="159">
        <f t="shared" si="72"/>
        <v>7.1667266666666665</v>
      </c>
      <c r="CK19" s="159">
        <f t="shared" si="73"/>
        <v>2.8645833333333335</v>
      </c>
    </row>
    <row r="20" spans="1:89" x14ac:dyDescent="0.25">
      <c r="A20" t="str">
        <f>PLANTILLA!D23</f>
        <v>L. Calosso</v>
      </c>
      <c r="B20" s="488">
        <f>PLANTILLA!E23</f>
        <v>30</v>
      </c>
      <c r="C20" s="488">
        <f ca="1">PLANTILLA!F23</f>
        <v>68</v>
      </c>
      <c r="D20" s="488" t="str">
        <f>PLANTILLA!G23</f>
        <v>TEC</v>
      </c>
      <c r="E20" s="290">
        <v>41890</v>
      </c>
      <c r="F20" s="341">
        <f>PLANTILLA!Q23</f>
        <v>5</v>
      </c>
      <c r="G20" s="407">
        <f t="shared" si="78"/>
        <v>0.84515425472851657</v>
      </c>
      <c r="H20" s="407">
        <f t="shared" si="75"/>
        <v>0.92504826128926143</v>
      </c>
      <c r="I20" s="497">
        <v>1.5</v>
      </c>
      <c r="J20" s="498">
        <f>PLANTILLA!I23</f>
        <v>10.199999999999999</v>
      </c>
      <c r="K20" s="163">
        <f>PLANTILLA!X23</f>
        <v>0</v>
      </c>
      <c r="L20" s="163">
        <f>PLANTILLA!Y23</f>
        <v>3.02</v>
      </c>
      <c r="M20" s="163">
        <f>PLANTILLA!Z23</f>
        <v>14.137609523809523</v>
      </c>
      <c r="N20" s="163">
        <f>PLANTILLA!AA23</f>
        <v>3.02</v>
      </c>
      <c r="O20" s="163">
        <f>PLANTILLA!AB23</f>
        <v>15.02</v>
      </c>
      <c r="P20" s="163">
        <f>PLANTILLA!AC23</f>
        <v>10</v>
      </c>
      <c r="Q20" s="163">
        <f>PLANTILLA!AD23</f>
        <v>9.3000000000000007</v>
      </c>
      <c r="R20" s="163">
        <f t="shared" si="2"/>
        <v>4.5075000000000003</v>
      </c>
      <c r="S20" s="163">
        <f t="shared" si="3"/>
        <v>20.402008506125121</v>
      </c>
      <c r="T20" s="163">
        <f t="shared" si="4"/>
        <v>0.77900000000000003</v>
      </c>
      <c r="U20" s="163">
        <f t="shared" si="5"/>
        <v>0.39980000000000004</v>
      </c>
      <c r="V20" s="163">
        <f t="shared" ca="1" si="6"/>
        <v>9.8416524590163839</v>
      </c>
      <c r="W20" s="163">
        <f t="shared" ca="1" si="7"/>
        <v>10.772002204911942</v>
      </c>
      <c r="X20" s="159">
        <f t="shared" si="8"/>
        <v>3.317030599930872</v>
      </c>
      <c r="Y20" s="159">
        <f t="shared" si="9"/>
        <v>4.9561370956595141</v>
      </c>
      <c r="Z20" s="159">
        <f t="shared" si="10"/>
        <v>3.317030599930872</v>
      </c>
      <c r="AA20" s="159">
        <f t="shared" si="11"/>
        <v>3.0262369181721991</v>
      </c>
      <c r="AB20" s="159">
        <f t="shared" si="12"/>
        <v>5.8648002290158896</v>
      </c>
      <c r="AC20" s="159">
        <f t="shared" si="13"/>
        <v>1.5131184590860995</v>
      </c>
      <c r="AD20" s="159">
        <f t="shared" si="14"/>
        <v>4.0418135211724477</v>
      </c>
      <c r="AE20" s="159">
        <f t="shared" si="15"/>
        <v>2.2168944865680063</v>
      </c>
      <c r="AF20" s="159">
        <f t="shared" si="16"/>
        <v>4.2402505655784877</v>
      </c>
      <c r="AG20" s="159">
        <f t="shared" si="17"/>
        <v>1.1084472432840031</v>
      </c>
      <c r="AH20" s="159">
        <f t="shared" si="18"/>
        <v>6.5382277548377834</v>
      </c>
      <c r="AI20" s="159">
        <f t="shared" si="19"/>
        <v>5.3956162106946186</v>
      </c>
      <c r="AJ20" s="159">
        <f t="shared" si="20"/>
        <v>2.4280272948125781</v>
      </c>
      <c r="AK20" s="159">
        <f t="shared" si="21"/>
        <v>2.8360624287218439</v>
      </c>
      <c r="AL20" s="159">
        <f t="shared" si="22"/>
        <v>3.4485025346613427</v>
      </c>
      <c r="AM20" s="159">
        <f t="shared" si="23"/>
        <v>4.4220593726779809</v>
      </c>
      <c r="AN20" s="159">
        <f t="shared" si="24"/>
        <v>4.1522785621432492</v>
      </c>
      <c r="AO20" s="159">
        <f t="shared" si="25"/>
        <v>2.0281816382456537</v>
      </c>
      <c r="AP20" s="159">
        <f t="shared" si="26"/>
        <v>2.1174624659565762</v>
      </c>
      <c r="AQ20" s="159">
        <f t="shared" si="27"/>
        <v>1.5834960618342904</v>
      </c>
      <c r="AR20" s="159">
        <f t="shared" si="28"/>
        <v>3.4836913360354385</v>
      </c>
      <c r="AS20" s="159">
        <f t="shared" si="29"/>
        <v>0.79174803091714518</v>
      </c>
      <c r="AT20" s="159">
        <f t="shared" si="30"/>
        <v>16.031394806667187</v>
      </c>
      <c r="AU20" s="159">
        <f t="shared" si="31"/>
        <v>2.322424029772066</v>
      </c>
      <c r="AV20" s="159">
        <f t="shared" si="32"/>
        <v>4.3659264671016551</v>
      </c>
      <c r="AW20" s="159">
        <f t="shared" si="33"/>
        <v>1.161212014886033</v>
      </c>
      <c r="AX20" s="159">
        <f t="shared" si="34"/>
        <v>1.1084472432840031</v>
      </c>
      <c r="AY20" s="159">
        <f t="shared" si="35"/>
        <v>2.3459200916063558</v>
      </c>
      <c r="AZ20" s="159">
        <f t="shared" si="36"/>
        <v>0.55422362164200156</v>
      </c>
      <c r="BA20" s="159">
        <f t="shared" si="37"/>
        <v>16.982409752825411</v>
      </c>
      <c r="BB20" s="159">
        <f t="shared" si="38"/>
        <v>4.5197944579410203</v>
      </c>
      <c r="BC20" s="159">
        <f t="shared" si="39"/>
        <v>8.7893049261877572</v>
      </c>
      <c r="BD20" s="159">
        <f t="shared" si="40"/>
        <v>2.2598972289705102</v>
      </c>
      <c r="BE20" s="159">
        <f t="shared" si="41"/>
        <v>1.7066568666436237</v>
      </c>
      <c r="BF20" s="159">
        <f t="shared" si="42"/>
        <v>2.0409504796975293</v>
      </c>
      <c r="BG20" s="159">
        <f t="shared" si="43"/>
        <v>14.961502992239188</v>
      </c>
      <c r="BH20" s="159">
        <f t="shared" si="44"/>
        <v>8.9938074035951256</v>
      </c>
      <c r="BI20" s="159">
        <f t="shared" si="45"/>
        <v>4.3054168551928296</v>
      </c>
      <c r="BJ20" s="159">
        <f t="shared" si="46"/>
        <v>2.8444281110727063</v>
      </c>
      <c r="BK20" s="159">
        <f t="shared" si="47"/>
        <v>1.5483072604601948</v>
      </c>
      <c r="BL20" s="159">
        <f t="shared" si="48"/>
        <v>6.4702981158264823</v>
      </c>
      <c r="BM20" s="159">
        <f t="shared" si="49"/>
        <v>7.5378354001598886</v>
      </c>
      <c r="BN20" s="159">
        <f t="shared" si="50"/>
        <v>0.92896961190882632</v>
      </c>
      <c r="BO20" s="159">
        <f t="shared" si="51"/>
        <v>1.0556640412228602</v>
      </c>
      <c r="BP20" s="159">
        <f t="shared" si="52"/>
        <v>0.3988064155730805</v>
      </c>
      <c r="BQ20" s="159">
        <f t="shared" si="53"/>
        <v>5.1796349746117505</v>
      </c>
      <c r="BR20" s="159">
        <f t="shared" si="54"/>
        <v>10.974133094514434</v>
      </c>
      <c r="BS20" s="159">
        <f t="shared" si="55"/>
        <v>2.4117480309171455</v>
      </c>
      <c r="BT20" s="159">
        <f t="shared" si="56"/>
        <v>1.6656032650405126</v>
      </c>
      <c r="BU20" s="159">
        <f t="shared" si="57"/>
        <v>1.4310112558798771</v>
      </c>
      <c r="BV20" s="159">
        <f t="shared" si="58"/>
        <v>7.7269964375355622</v>
      </c>
      <c r="BW20" s="159">
        <f t="shared" si="59"/>
        <v>9.426198653749605</v>
      </c>
      <c r="BX20" s="159">
        <f t="shared" si="60"/>
        <v>2.1616408277109227</v>
      </c>
      <c r="BY20" s="159">
        <f t="shared" si="61"/>
        <v>1.6656032650405126</v>
      </c>
      <c r="BZ20" s="159">
        <f t="shared" si="62"/>
        <v>1.4310112558798771</v>
      </c>
      <c r="CA20" s="159">
        <f t="shared" si="63"/>
        <v>10.715900554032835</v>
      </c>
      <c r="CB20" s="159">
        <f t="shared" si="64"/>
        <v>7.564996204969221</v>
      </c>
      <c r="CC20" s="159">
        <f t="shared" si="65"/>
        <v>2.6439904338943516</v>
      </c>
      <c r="CD20" s="159">
        <f t="shared" si="66"/>
        <v>6.8948583596471176</v>
      </c>
      <c r="CE20" s="159">
        <f t="shared" si="67"/>
        <v>8.2992049376385495</v>
      </c>
      <c r="CF20" s="159">
        <f t="shared" si="68"/>
        <v>17.189105057871892</v>
      </c>
      <c r="CG20" s="159">
        <f t="shared" si="69"/>
        <v>8.2992049376385495</v>
      </c>
      <c r="CH20" s="159">
        <f t="shared" si="70"/>
        <v>7.0425705426768994</v>
      </c>
      <c r="CI20" s="159">
        <f t="shared" si="71"/>
        <v>19.436911513522752</v>
      </c>
      <c r="CJ20" s="159">
        <f t="shared" si="72"/>
        <v>7.0425705426768994</v>
      </c>
      <c r="CK20" s="159">
        <f t="shared" si="73"/>
        <v>4.2456024382063529</v>
      </c>
    </row>
    <row r="21" spans="1:89" x14ac:dyDescent="0.25">
      <c r="A21" t="str">
        <f>PLANTILLA!D24</f>
        <v>P .Trivadi</v>
      </c>
      <c r="B21" s="488">
        <f>PLANTILLA!E24</f>
        <v>27</v>
      </c>
      <c r="C21" s="488">
        <f ca="1">PLANTILLA!F24</f>
        <v>30</v>
      </c>
      <c r="D21" s="488"/>
      <c r="E21" s="290">
        <v>41973</v>
      </c>
      <c r="F21" s="341">
        <f>PLANTILLA!Q24</f>
        <v>6</v>
      </c>
      <c r="G21" s="407">
        <f t="shared" si="78"/>
        <v>0.92582009977255142</v>
      </c>
      <c r="H21" s="407">
        <f t="shared" si="75"/>
        <v>0.99928545900129484</v>
      </c>
      <c r="I21" s="497">
        <v>1.5</v>
      </c>
      <c r="J21" s="498">
        <f>PLANTILLA!I24</f>
        <v>5.3</v>
      </c>
      <c r="K21" s="163">
        <f>PLANTILLA!X24</f>
        <v>0</v>
      </c>
      <c r="L21" s="163">
        <f>PLANTILLA!Y24</f>
        <v>4.0199999999999996</v>
      </c>
      <c r="M21" s="163">
        <f>PLANTILLA!Z24</f>
        <v>5.5538722222222203</v>
      </c>
      <c r="N21" s="163">
        <f>PLANTILLA!AA24</f>
        <v>5.4899999999999993</v>
      </c>
      <c r="O21" s="163">
        <f>PLANTILLA!AB24</f>
        <v>10.799999999999999</v>
      </c>
      <c r="P21" s="163">
        <f>PLANTILLA!AC24</f>
        <v>8.384500000000001</v>
      </c>
      <c r="Q21" s="163">
        <f>PLANTILLA!AD24</f>
        <v>13.566666666666668</v>
      </c>
      <c r="R21" s="163">
        <f t="shared" si="2"/>
        <v>3.5774999999999997</v>
      </c>
      <c r="S21" s="163">
        <f t="shared" si="3"/>
        <v>19.229136229090329</v>
      </c>
      <c r="T21" s="163">
        <f t="shared" si="4"/>
        <v>0.82622500000000021</v>
      </c>
      <c r="U21" s="163">
        <f t="shared" si="5"/>
        <v>0.56779999999999997</v>
      </c>
      <c r="V21" s="163">
        <f t="shared" ca="1" si="6"/>
        <v>14.380178330495704</v>
      </c>
      <c r="W21" s="163">
        <f t="shared" ca="1" si="7"/>
        <v>15.521269312515644</v>
      </c>
      <c r="X21" s="159">
        <f t="shared" si="8"/>
        <v>3.2620771122153185</v>
      </c>
      <c r="Y21" s="159">
        <f t="shared" si="9"/>
        <v>4.891720196872825</v>
      </c>
      <c r="Z21" s="159">
        <f t="shared" si="10"/>
        <v>3.2620771122153185</v>
      </c>
      <c r="AA21" s="159">
        <f t="shared" si="11"/>
        <v>3.3466217982853426</v>
      </c>
      <c r="AB21" s="159">
        <f t="shared" si="12"/>
        <v>6.4857011594677179</v>
      </c>
      <c r="AC21" s="159">
        <f t="shared" si="13"/>
        <v>1.6733108991426713</v>
      </c>
      <c r="AD21" s="159">
        <f t="shared" si="14"/>
        <v>1.9086584648422056</v>
      </c>
      <c r="AE21" s="159">
        <f t="shared" si="15"/>
        <v>2.4515950382787972</v>
      </c>
      <c r="AF21" s="159">
        <f t="shared" si="16"/>
        <v>4.6891619382951601</v>
      </c>
      <c r="AG21" s="159">
        <f t="shared" si="17"/>
        <v>1.2257975191393986</v>
      </c>
      <c r="AH21" s="159">
        <f t="shared" si="18"/>
        <v>3.0875357519506266</v>
      </c>
      <c r="AI21" s="159">
        <f t="shared" si="19"/>
        <v>5.9668450667103006</v>
      </c>
      <c r="AJ21" s="159">
        <f t="shared" si="20"/>
        <v>2.6850802800196352</v>
      </c>
      <c r="AK21" s="159">
        <f t="shared" si="21"/>
        <v>1.33926875474222</v>
      </c>
      <c r="AL21" s="159">
        <f t="shared" si="22"/>
        <v>4.6779522817670181</v>
      </c>
      <c r="AM21" s="159">
        <f t="shared" si="23"/>
        <v>4.8902186742386595</v>
      </c>
      <c r="AN21" s="159">
        <f t="shared" si="24"/>
        <v>4.5918764209031444</v>
      </c>
      <c r="AO21" s="159">
        <f t="shared" si="25"/>
        <v>2.6774054269644427</v>
      </c>
      <c r="AP21" s="159">
        <f t="shared" si="26"/>
        <v>1.740441933926703</v>
      </c>
      <c r="AQ21" s="159">
        <f t="shared" si="27"/>
        <v>1.751139313056284</v>
      </c>
      <c r="AR21" s="159">
        <f t="shared" si="28"/>
        <v>3.8525064887238241</v>
      </c>
      <c r="AS21" s="159">
        <f t="shared" si="29"/>
        <v>0.875569656528142</v>
      </c>
      <c r="AT21" s="159">
        <f t="shared" si="30"/>
        <v>7.5704772723153022</v>
      </c>
      <c r="AU21" s="159">
        <f t="shared" si="31"/>
        <v>1.7245411507308033</v>
      </c>
      <c r="AV21" s="159">
        <f t="shared" si="32"/>
        <v>3.4689689397240411</v>
      </c>
      <c r="AW21" s="159">
        <f t="shared" si="33"/>
        <v>0.86227057536540164</v>
      </c>
      <c r="AX21" s="159">
        <f t="shared" si="34"/>
        <v>1.2257975191393986</v>
      </c>
      <c r="AY21" s="159">
        <f t="shared" si="35"/>
        <v>2.5942804637870873</v>
      </c>
      <c r="AZ21" s="159">
        <f t="shared" si="36"/>
        <v>0.6128987595696993</v>
      </c>
      <c r="BA21" s="159">
        <f t="shared" si="37"/>
        <v>8.0195733816899395</v>
      </c>
      <c r="BB21" s="159">
        <f t="shared" si="38"/>
        <v>3.3562223933453326</v>
      </c>
      <c r="BC21" s="159">
        <f t="shared" si="39"/>
        <v>6.8021463388667129</v>
      </c>
      <c r="BD21" s="159">
        <f t="shared" si="40"/>
        <v>1.6781111966726663</v>
      </c>
      <c r="BE21" s="159">
        <f t="shared" si="41"/>
        <v>1.8873390374051058</v>
      </c>
      <c r="BF21" s="159">
        <f t="shared" si="42"/>
        <v>2.2570240034947657</v>
      </c>
      <c r="BG21" s="159">
        <f t="shared" si="43"/>
        <v>7.0652441492688371</v>
      </c>
      <c r="BH21" s="159">
        <f t="shared" si="44"/>
        <v>8.7452683307668018</v>
      </c>
      <c r="BI21" s="159">
        <f t="shared" si="45"/>
        <v>3.19703397943172</v>
      </c>
      <c r="BJ21" s="159">
        <f t="shared" si="46"/>
        <v>3.1455650623418432</v>
      </c>
      <c r="BK21" s="159">
        <f t="shared" si="47"/>
        <v>1.7122251060994775</v>
      </c>
      <c r="BL21" s="159">
        <f t="shared" si="48"/>
        <v>3.055457458423867</v>
      </c>
      <c r="BM21" s="159">
        <f t="shared" si="49"/>
        <v>8.0205928133747868</v>
      </c>
      <c r="BN21" s="159">
        <f t="shared" si="50"/>
        <v>0.68981646029232124</v>
      </c>
      <c r="BO21" s="159">
        <f t="shared" si="51"/>
        <v>1.1674262087041891</v>
      </c>
      <c r="BP21" s="159">
        <f t="shared" si="52"/>
        <v>0.44102767884380484</v>
      </c>
      <c r="BQ21" s="159">
        <f t="shared" si="53"/>
        <v>2.4459698814154316</v>
      </c>
      <c r="BR21" s="159">
        <f t="shared" si="54"/>
        <v>11.749691691075485</v>
      </c>
      <c r="BS21" s="159">
        <f t="shared" si="55"/>
        <v>1.7908696565281419</v>
      </c>
      <c r="BT21" s="159">
        <f t="shared" si="56"/>
        <v>1.8419391292888316</v>
      </c>
      <c r="BU21" s="159">
        <f t="shared" si="57"/>
        <v>1.5825110829101232</v>
      </c>
      <c r="BV21" s="159">
        <f t="shared" si="58"/>
        <v>3.6489058886689225</v>
      </c>
      <c r="BW21" s="159">
        <f t="shared" si="59"/>
        <v>10.110556884690231</v>
      </c>
      <c r="BX21" s="159">
        <f t="shared" si="60"/>
        <v>1.6051498402955937</v>
      </c>
      <c r="BY21" s="159">
        <f t="shared" si="61"/>
        <v>1.8419391292888316</v>
      </c>
      <c r="BZ21" s="159">
        <f t="shared" si="62"/>
        <v>1.5825110829101232</v>
      </c>
      <c r="CA21" s="159">
        <f t="shared" si="63"/>
        <v>5.0603508038463518</v>
      </c>
      <c r="CB21" s="159">
        <f t="shared" si="64"/>
        <v>8.145182537723608</v>
      </c>
      <c r="CC21" s="159">
        <f t="shared" si="65"/>
        <v>1.963323771601222</v>
      </c>
      <c r="CD21" s="159">
        <f t="shared" si="66"/>
        <v>3.2559467929661157</v>
      </c>
      <c r="CE21" s="159">
        <f t="shared" si="67"/>
        <v>5.8400218040826815</v>
      </c>
      <c r="CF21" s="159">
        <f t="shared" si="68"/>
        <v>13.528943005560652</v>
      </c>
      <c r="CG21" s="159">
        <f t="shared" si="69"/>
        <v>5.8400218040826815</v>
      </c>
      <c r="CH21" s="159">
        <f t="shared" si="70"/>
        <v>6.3329918223483883</v>
      </c>
      <c r="CI21" s="159">
        <f t="shared" si="71"/>
        <v>15.745244887311307</v>
      </c>
      <c r="CJ21" s="159">
        <f t="shared" si="72"/>
        <v>6.3329918223483883</v>
      </c>
      <c r="CK21" s="159">
        <f t="shared" si="73"/>
        <v>2.0048933454224849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7.2916152856844301</v>
      </c>
      <c r="M27">
        <f>L14*H14</f>
        <v>7.9809052658431767</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0.3088516316886793</v>
      </c>
      <c r="M29" s="47">
        <f>(L25-M27)/M27</f>
        <v>0.32190517849548683</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27</v>
      </c>
      <c r="E3" s="633"/>
      <c r="F3" s="290">
        <v>42468</v>
      </c>
      <c r="G3" s="497">
        <v>1</v>
      </c>
      <c r="H3" s="498">
        <f>PLANTILLA!I5</f>
        <v>18.100000000000001</v>
      </c>
      <c r="I3" s="498"/>
      <c r="J3" s="163">
        <f>PLANTILLA!X5</f>
        <v>16.666666666666668</v>
      </c>
      <c r="K3" s="163">
        <f>PLANTILLA!Y5</f>
        <v>12.080559440559444</v>
      </c>
      <c r="L3" s="163">
        <f>PLANTILLA!Z5</f>
        <v>2.0499999999999989</v>
      </c>
      <c r="M3" s="163">
        <f>PLANTILLA!AA5</f>
        <v>2.1399999999999992</v>
      </c>
      <c r="N3" s="163">
        <f>PLANTILLA!AB5</f>
        <v>1.0400000000000003</v>
      </c>
      <c r="O3" s="163">
        <f>PLANTILLA!AC5</f>
        <v>0.14055555555555557</v>
      </c>
      <c r="P3" s="163">
        <f>PLANTILLA!AD5</f>
        <v>17.849999999999998</v>
      </c>
      <c r="Q3" s="163">
        <f>((2*(N3+1))+(K3+1))/8</f>
        <v>2.1450699300699307</v>
      </c>
      <c r="R3" s="163">
        <f>1.66*(O3+(LOG(H3)*4/3)+G3)+0.55*(P3+(LOG(H3)*4/3)+G3)-7.6</f>
        <v>8.3667817561700861</v>
      </c>
      <c r="S3" s="163">
        <f>(0.5*O3+ 0.3*P3)/10</f>
        <v>0.54252777777777772</v>
      </c>
      <c r="T3" s="163">
        <f>(0.4*K3+0.3*P3)/10</f>
        <v>1.0187223776223777</v>
      </c>
      <c r="U3" s="163">
        <f t="shared" ref="U3:U22" ca="1" si="0">IF(TODAY()-F3&gt;335,(P3+1+(LOG(H3)*4/3)),(P3+((TODAY()-F3)^0.5)/(336^0.5)+(LOG(H3)*4/3)))</f>
        <v>20.526904766492244</v>
      </c>
      <c r="V3" s="159">
        <f t="shared" ref="V3:V22" si="1">((J3+G3+(LOG(H3)*4/3))*0.597)+((K3+G3+(LOG(H3)*4/3))*0.276)</f>
        <v>15.621172266742139</v>
      </c>
      <c r="W3" s="159">
        <f t="shared" ref="W3:W22" si="2">((J3+G3+(LOG(H3)*4/3))*0.866)+((K3+G3+(LOG(H3)*4/3))*0.425)</f>
        <v>23.023455149112589</v>
      </c>
      <c r="X3" s="159">
        <f>V3</f>
        <v>15.621172266742139</v>
      </c>
      <c r="Y3" s="159">
        <f t="shared" ref="Y3:Y22" si="3">((K3+G3+(LOG(H3)*4/3))*0.516)</f>
        <v>7.6148515308386724</v>
      </c>
      <c r="Z3" s="159">
        <f t="shared" ref="Z3:Z22" si="4">(K3+G3+(LOG(H3)*4/3))*1</f>
        <v>14.75746420705169</v>
      </c>
      <c r="AA3" s="159">
        <f>Y3/2</f>
        <v>3.8074257654193362</v>
      </c>
      <c r="AB3" s="159">
        <f t="shared" ref="AB3:AB22" si="5">(L3+G3+(LOG(H3)*4/3))*0.238</f>
        <v>1.1250033344251542</v>
      </c>
      <c r="AC3" s="159">
        <f t="shared" ref="AC3:AC22" si="6">((K3+G3+(LOG(H3)*4/3))*0.378)</f>
        <v>5.5783214702655393</v>
      </c>
      <c r="AD3" s="159">
        <f t="shared" ref="AD3:AD22" si="7">(K3+G3+(LOG(H3)*4/3))*0.723</f>
        <v>10.669646621698371</v>
      </c>
      <c r="AE3" s="159">
        <f>AC3/2</f>
        <v>2.7891607351327696</v>
      </c>
      <c r="AF3" s="159">
        <f t="shared" ref="AF3:AF22" si="8">(L3+G3+(LOG(H3)*4/3))*0.385</f>
        <v>1.8198583350995143</v>
      </c>
      <c r="AG3" s="357">
        <f t="shared" ref="AG3:AG22" si="9">((K3+G3+(LOG(H3)*4/3))*0.92)</f>
        <v>13.576867070487555</v>
      </c>
      <c r="AH3" s="159">
        <f t="shared" ref="AH3:AH22" si="10">(K3+G3+(LOG(H3)*4/3))*0.414</f>
        <v>6.1095901817193994</v>
      </c>
      <c r="AI3" s="159">
        <f t="shared" ref="AI3:AI22" si="11">((L3+G3+(LOG(H3)*4/3))*0.167)</f>
        <v>0.78939309600420493</v>
      </c>
      <c r="AJ3" s="357">
        <f t="shared" ref="AJ3:AJ22" si="12">(M3+G3+(LOG(H3)*4/3))*0.588</f>
        <v>2.8323400026974399</v>
      </c>
      <c r="AK3" s="159">
        <f t="shared" ref="AK3:AK22" si="13">((K3+G3+(LOG(H3)*4/3))*0.754)</f>
        <v>11.127128012116975</v>
      </c>
      <c r="AL3" s="159">
        <f t="shared" ref="AL3:AL22" si="14">((K3+G3+(LOG(H3)*4/3))*0.708)</f>
        <v>10.448284658592597</v>
      </c>
      <c r="AM3" s="159">
        <f t="shared" ref="AM3:AM22" si="15">((P3+G3+(LOG(H3)*4/3))*0.167)</f>
        <v>3.4279930960042049</v>
      </c>
      <c r="AN3" s="159">
        <f t="shared" ref="AN3:AN22" si="16">((Q3+G3+(LOG(H3)*4/3))*0.288)</f>
        <v>1.3887287126099068</v>
      </c>
      <c r="AO3" s="159">
        <f t="shared" ref="AO3:AO22" si="17">((K3+G3+(LOG(H3)*4/3))*0.27)</f>
        <v>3.9845153359039567</v>
      </c>
      <c r="AP3" s="159">
        <f t="shared" ref="AP3:AP22" si="18">((K3+G3+(LOG(H3)*4/3))*0.594)</f>
        <v>8.7659337389887035</v>
      </c>
      <c r="AQ3" s="159">
        <f>AO3/2</f>
        <v>1.9922576679519783</v>
      </c>
      <c r="AR3" s="159">
        <f t="shared" ref="AR3:AR22" si="19">((L3+G3+(LOG(H3)*4/3))*0.944)</f>
        <v>4.4621980995686794</v>
      </c>
      <c r="AS3" s="159">
        <f t="shared" ref="AS3:AS22" si="20">((N3+G3+(LOG(H3)*4/3))*0.13)</f>
        <v>0.48319761964399199</v>
      </c>
      <c r="AT3" s="159">
        <f t="shared" ref="AT3:AT22" si="21">((O3+G3+(LOG(H3)*4/3))*0.173)+((N3+G3+(LOG(H3)*4/3))*0.12)</f>
        <v>0.93344920769333917</v>
      </c>
      <c r="AU3" s="159">
        <f>AS3/2</f>
        <v>0.241598809821996</v>
      </c>
      <c r="AV3" s="159">
        <f t="shared" ref="AV3:AV22" si="22">((K3+G3+(LOG(H3)*4/3))*0.189)</f>
        <v>2.7891607351327696</v>
      </c>
      <c r="AW3" s="159">
        <f t="shared" ref="AW3:AW22" si="23">((K3+G3+(LOG(H3)*4/3))*0.4)</f>
        <v>5.9029856828206766</v>
      </c>
      <c r="AX3" s="159">
        <f>AV3/2</f>
        <v>1.3945803675663848</v>
      </c>
      <c r="AY3" s="159">
        <f t="shared" ref="AY3:AY22" si="24">((L3+G3+(LOG(H3)*4/3))*1)</f>
        <v>4.726904766492245</v>
      </c>
      <c r="AZ3" s="159">
        <f t="shared" ref="AZ3:AZ22" si="25">((N3+G3+(LOG(H3)*4/3))*0.253)</f>
        <v>0.94037690592253831</v>
      </c>
      <c r="BA3" s="159">
        <f t="shared" ref="BA3:BA22" si="26">((O3+G3+(LOG(H3)*4/3))*0.21)+((N3+G3+(LOG(H3)*4/3))*0.341)</f>
        <v>1.8591311930038943</v>
      </c>
      <c r="BB3" s="159">
        <f>AZ3/2</f>
        <v>0.47018845296126915</v>
      </c>
      <c r="BC3" s="159">
        <f t="shared" ref="BC3:BC22" si="27">((K3+G3+(LOG(H3)*4/3))*0.291)</f>
        <v>4.2944220842520417</v>
      </c>
      <c r="BD3" s="159">
        <f t="shared" ref="BD3:BD22" si="28">((K3+G3+(LOG(H3)*4/3))*0.348)</f>
        <v>5.1355975440539874</v>
      </c>
      <c r="BE3" s="159">
        <f t="shared" ref="BE3:BE22" si="29">((L3+G3+(LOG(H3)*4/3))*0.881)</f>
        <v>4.1644030992796681</v>
      </c>
      <c r="BF3" s="159">
        <f t="shared" ref="BF3:BF22" si="30">((M3+G3+(LOG(H3)*4/3))*0.574)+((N3+G3+(LOG(H3)*4/3))*0.315)</f>
        <v>3.9357283374116059</v>
      </c>
      <c r="BG3" s="159">
        <f t="shared" ref="BG3:BG22" si="31">((N3+G3+(LOG(H3)*4/3))*0.241)</f>
        <v>0.89577404872463129</v>
      </c>
      <c r="BH3" s="159">
        <f t="shared" ref="BH3:BH22" si="32">((K3+G3+(LOG(H3)*4/3))*0.485)</f>
        <v>7.1573701404200696</v>
      </c>
      <c r="BI3" s="159">
        <f t="shared" ref="BI3:BI22" si="33">((K3+G3+(LOG(H3)*4/3))*0.264)</f>
        <v>3.8959705506616462</v>
      </c>
      <c r="BJ3" s="159">
        <f t="shared" ref="BJ3:BJ22" si="34">((L3+G3+(LOG(H3)*4/3))*0.381)</f>
        <v>1.8009507160335454</v>
      </c>
      <c r="BK3" s="159">
        <f t="shared" ref="BK3:BK22" si="35">((M3+G3+(LOG(H3)*4/3))*0.673)+((N3+G3+(LOG(H3)*4/3))*0.201)</f>
        <v>3.9888747659142223</v>
      </c>
      <c r="BL3" s="159">
        <f t="shared" ref="BL3:BL22" si="36">((N3+G3+(LOG(H3)*4/3))*0.052)</f>
        <v>0.19327904785759678</v>
      </c>
      <c r="BM3" s="159">
        <f t="shared" ref="BM3:BM22" si="37">((K3+G3+(LOG(H3)*4/3))*0.18)</f>
        <v>2.6563435572693042</v>
      </c>
      <c r="BN3" s="159">
        <f t="shared" ref="BN3:BN22" si="38">(K3+G3+(LOG(H3)*4/3))*0.068</f>
        <v>1.003507566079515</v>
      </c>
      <c r="BO3" s="159">
        <f t="shared" ref="BO3:BO22" si="39">((L3+G3+(LOG(H3)*4/3))*0.305)</f>
        <v>1.4417059537801347</v>
      </c>
      <c r="BP3" s="159">
        <f t="shared" ref="BP3:BP22" si="40">((M3+G3+(LOG(H3)*4/3))*1)+((N3+G3+(LOG(H3)*4/3))*0.286)</f>
        <v>5.8799395297090271</v>
      </c>
      <c r="BQ3" s="159">
        <f t="shared" ref="BQ3:BQ22" si="41">((N3+G3+(LOG(H3)*4/3))*0.135)</f>
        <v>0.50178214347645322</v>
      </c>
      <c r="BR3" s="159">
        <f t="shared" ref="BR3:BR22" si="42">((K3+G3+(LOG(H3)*4/3))*0.284)</f>
        <v>4.1911198348026799</v>
      </c>
      <c r="BS3" s="159">
        <f t="shared" ref="BS3:BS22" si="43">(K3+G3+(LOG(H3)*4/3))*0.244</f>
        <v>3.6008212665206125</v>
      </c>
      <c r="BT3" s="159">
        <f t="shared" ref="BT3:BT22" si="44">((L3+G3+(LOG(H3)*4/3))*0.455)</f>
        <v>2.1507416687539718</v>
      </c>
      <c r="BU3" s="159">
        <f t="shared" ref="BU3:BU22" si="45">((M3+G3+(LOG(H3)*4/3))*0.864)+((N3+G3+(LOG(H3)*4/3))*0.244)</f>
        <v>5.0687304812734073</v>
      </c>
      <c r="BV3" s="159">
        <f t="shared" ref="BV3:BV22" si="46">((N3+G3+(LOG(H3)*4/3))*0.121)</f>
        <v>0.44974547674556176</v>
      </c>
      <c r="BW3" s="159">
        <f t="shared" ref="BW3:BW22" si="47">((K3+G3+(LOG(H3)*4/3))*0.284)</f>
        <v>4.1911198348026799</v>
      </c>
      <c r="BX3" s="159">
        <f t="shared" ref="BX3:BX22" si="48">((K3+G3+(LOG(H3)*4/3))*0.244)</f>
        <v>3.6008212665206125</v>
      </c>
      <c r="BY3" s="159">
        <f t="shared" ref="BY3:BY22" si="49">((L3+G3+(LOG(H3)*4/3))*0.631)</f>
        <v>2.9826769076566064</v>
      </c>
      <c r="BZ3" s="159">
        <f t="shared" ref="BZ3:BZ22" si="50">((M3+G3+(LOG(H3)*4/3))*0.702)+((N3+G3+(LOG(H3)*4/3))*0.193)</f>
        <v>4.0988297660105593</v>
      </c>
      <c r="CA3" s="159">
        <f t="shared" ref="CA3:CA22" si="51">((N3+G3+(LOG(H3)*4/3))*0.148)</f>
        <v>0.55010190544085236</v>
      </c>
      <c r="CB3" s="159">
        <f t="shared" ref="CB3:CB22" si="52">((L3+G3+(LOG(H3)*4/3))*0.406)</f>
        <v>1.9191233351958517</v>
      </c>
      <c r="CC3" s="159">
        <f t="shared" ref="CC3:CC22" si="53">IF(E3="TEC",((M3+G3+(LOG(H3)*4/3))*0.15)+((N3+G3+(LOG(H3)*4/3))*0.324)+((O3+G3+(LOG(H3)*4/3))*0.127),(((M3+G3+(LOG(H3)*4/3))*0.144)+((N3+G3+(LOG(H3)*4/3))*0.25)+((O3+G3+(LOG(H3)*4/3))*0.127)))</f>
        <v>1.9806779388980156</v>
      </c>
      <c r="CD3" s="159">
        <f t="shared" ref="CD3:CD22" si="54">((N3+G3+(LOG(H3)*4/3))*0.543)+((O3+G3+(LOG(H3)*4/3))*0.583)</f>
        <v>3.6608586559591574</v>
      </c>
      <c r="CE3" s="159">
        <f>CC3</f>
        <v>1.9806779388980156</v>
      </c>
      <c r="CF3" s="159">
        <f t="shared" ref="CF3:CF22" si="55">((O3+1+(LOG(H3)*4/3))*0.26)+((M3+G3+(LOG(H3)*4/3))*0.221)+((N3+G3+(LOG(H3)*4/3))*0.142)</f>
        <v>2.3248761139691134</v>
      </c>
      <c r="CG3" s="159">
        <f t="shared" ref="CG3:CG22" si="56">((O3+G3+(LOG(H3)*4/3))*1)+((N3+G3+(LOG(H3)*4/3))*0.369)</f>
        <v>4.1889981808834404</v>
      </c>
      <c r="CH3" s="159">
        <f>CF3</f>
        <v>2.3248761139691134</v>
      </c>
      <c r="CI3" s="159">
        <f>((L3+G3+(LOG(H3)*4/3))*0.25)</f>
        <v>1.1817261916230613</v>
      </c>
    </row>
    <row r="4" spans="1:87" x14ac:dyDescent="0.25">
      <c r="A4" t="str">
        <f>PLANTILLA!D6</f>
        <v>T. Hammond</v>
      </c>
      <c r="B4" t="s">
        <v>855</v>
      </c>
      <c r="C4" s="633">
        <f>PLANTILLA!E6</f>
        <v>34</v>
      </c>
      <c r="D4" s="633">
        <f ca="1">PLANTILLA!F6</f>
        <v>36</v>
      </c>
      <c r="E4" s="633" t="str">
        <f>PLANTILLA!G6</f>
        <v>CAB</v>
      </c>
      <c r="F4" s="290">
        <v>41400</v>
      </c>
      <c r="G4" s="497">
        <v>1.5</v>
      </c>
      <c r="H4" s="498">
        <f>PLANTILLA!I6</f>
        <v>7.8</v>
      </c>
      <c r="I4" s="498"/>
      <c r="J4" s="163">
        <f>PLANTILLA!X6</f>
        <v>10.3</v>
      </c>
      <c r="K4" s="163">
        <f>PLANTILLA!Y6</f>
        <v>10.814999999999998</v>
      </c>
      <c r="L4" s="163">
        <f>PLANTILLA!Z6</f>
        <v>4.6400000000000006</v>
      </c>
      <c r="M4" s="163">
        <f>PLANTILLA!AA6</f>
        <v>4.95</v>
      </c>
      <c r="N4" s="163">
        <f>PLANTILLA!AB6</f>
        <v>6.5444444444444434</v>
      </c>
      <c r="O4" s="163">
        <f>PLANTILLA!AC6</f>
        <v>3.99</v>
      </c>
      <c r="P4" s="163">
        <f>PLANTILLA!AD6</f>
        <v>15.778888888888888</v>
      </c>
      <c r="Q4" s="163">
        <f t="shared" ref="Q4:Q22" si="57">((2*(N4+1))+(K4+1))/8</f>
        <v>3.3629861111111108</v>
      </c>
      <c r="R4" s="163">
        <f t="shared" ref="R4:R22" si="58">1.66*(O4+(LOG(H4)*4/3)+G4)+0.55*(P4+(LOG(H4)*4/3)+G4)-7.6</f>
        <v>13.645494318150172</v>
      </c>
      <c r="S4" s="163">
        <f t="shared" ref="S4:S22" si="59">(0.5*O4+ 0.3*P4)/10</f>
        <v>0.67286666666666661</v>
      </c>
      <c r="T4" s="163">
        <f t="shared" ref="T4:T22" si="60">(0.4*K4+0.3*P4)/10</f>
        <v>0.90596666666666648</v>
      </c>
      <c r="U4" s="163">
        <f t="shared" ca="1" si="0"/>
        <v>17.968348359142858</v>
      </c>
      <c r="V4" s="159">
        <f t="shared" si="1"/>
        <v>11.481938117531719</v>
      </c>
      <c r="W4" s="159">
        <f t="shared" si="2"/>
        <v>16.988267176097878</v>
      </c>
      <c r="X4" s="159">
        <f t="shared" ref="X4:X22" si="61">V4</f>
        <v>11.481938117531719</v>
      </c>
      <c r="Y4" s="159">
        <f t="shared" si="3"/>
        <v>6.9683010866510493</v>
      </c>
      <c r="Z4" s="159">
        <f t="shared" si="4"/>
        <v>13.504459470253972</v>
      </c>
      <c r="AA4" s="159">
        <f t="shared" ref="AA4:AA22" si="62">Y4/2</f>
        <v>3.4841505433255247</v>
      </c>
      <c r="AB4" s="159">
        <f t="shared" si="5"/>
        <v>1.7444113539204458</v>
      </c>
      <c r="AC4" s="159">
        <f t="shared" si="6"/>
        <v>5.1046856797560016</v>
      </c>
      <c r="AD4" s="159">
        <f t="shared" si="7"/>
        <v>9.7637241969936213</v>
      </c>
      <c r="AE4" s="159">
        <f t="shared" ref="AE4:AE22" si="63">AC4/2</f>
        <v>2.5523428398780008</v>
      </c>
      <c r="AF4" s="159">
        <f t="shared" si="8"/>
        <v>2.82184189604778</v>
      </c>
      <c r="AG4" s="357">
        <f t="shared" si="9"/>
        <v>12.424102712633655</v>
      </c>
      <c r="AH4" s="159">
        <f t="shared" si="10"/>
        <v>5.5908462206851439</v>
      </c>
      <c r="AI4" s="159">
        <f t="shared" si="11"/>
        <v>1.2240197315324137</v>
      </c>
      <c r="AJ4" s="357">
        <f t="shared" si="12"/>
        <v>4.4920021685093365</v>
      </c>
      <c r="AK4" s="159">
        <f t="shared" si="13"/>
        <v>10.182362440571495</v>
      </c>
      <c r="AL4" s="159">
        <f t="shared" si="14"/>
        <v>9.5611573049398118</v>
      </c>
      <c r="AM4" s="159">
        <f t="shared" si="15"/>
        <v>3.0842141759768573</v>
      </c>
      <c r="AN4" s="159">
        <f t="shared" si="16"/>
        <v>1.7431043274331441</v>
      </c>
      <c r="AO4" s="159">
        <f t="shared" si="17"/>
        <v>3.6462040569685725</v>
      </c>
      <c r="AP4" s="159">
        <f t="shared" si="18"/>
        <v>8.021648925330858</v>
      </c>
      <c r="AQ4" s="159">
        <f t="shared" ref="AQ4:AQ22" si="64">AO4/2</f>
        <v>1.8231020284842863</v>
      </c>
      <c r="AR4" s="159">
        <f t="shared" si="19"/>
        <v>6.9190097399197512</v>
      </c>
      <c r="AS4" s="159">
        <f t="shared" si="20"/>
        <v>1.2004075089107944</v>
      </c>
      <c r="AT4" s="159">
        <f t="shared" si="21"/>
        <v>2.2636149581177474</v>
      </c>
      <c r="AU4" s="159">
        <f t="shared" ref="AU4:AU22" si="65">AS4/2</f>
        <v>0.6002037544553972</v>
      </c>
      <c r="AV4" s="159">
        <f t="shared" si="22"/>
        <v>2.5523428398780008</v>
      </c>
      <c r="AW4" s="159">
        <f t="shared" si="23"/>
        <v>5.4017837881015893</v>
      </c>
      <c r="AX4" s="159">
        <f t="shared" ref="AX4:AX22" si="66">AV4/2</f>
        <v>1.2761714199390004</v>
      </c>
      <c r="AY4" s="159">
        <f t="shared" si="24"/>
        <v>7.3294594702539744</v>
      </c>
      <c r="AZ4" s="159">
        <f t="shared" si="25"/>
        <v>2.3361776904186997</v>
      </c>
      <c r="BA4" s="159">
        <f t="shared" si="26"/>
        <v>4.5514477236654951</v>
      </c>
      <c r="BB4" s="159">
        <f t="shared" ref="BB4:BB22" si="67">AZ4/2</f>
        <v>1.1680888452093499</v>
      </c>
      <c r="BC4" s="159">
        <f t="shared" si="27"/>
        <v>3.9297977058439053</v>
      </c>
      <c r="BD4" s="159">
        <f t="shared" si="28"/>
        <v>4.6995518956483817</v>
      </c>
      <c r="BE4" s="159">
        <f t="shared" si="29"/>
        <v>6.4572537932937513</v>
      </c>
      <c r="BF4" s="159">
        <f t="shared" si="30"/>
        <v>7.2937294690557817</v>
      </c>
      <c r="BG4" s="159">
        <f t="shared" si="31"/>
        <v>2.2253708434423185</v>
      </c>
      <c r="BH4" s="159">
        <f t="shared" si="32"/>
        <v>6.5496628430731763</v>
      </c>
      <c r="BI4" s="159">
        <f t="shared" si="33"/>
        <v>3.5651773001470488</v>
      </c>
      <c r="BJ4" s="159">
        <f t="shared" si="34"/>
        <v>2.7925240581667641</v>
      </c>
      <c r="BK4" s="159">
        <f t="shared" si="35"/>
        <v>6.9973709103353068</v>
      </c>
      <c r="BL4" s="159">
        <f t="shared" si="36"/>
        <v>0.48016300356431774</v>
      </c>
      <c r="BM4" s="159">
        <f t="shared" si="37"/>
        <v>2.4308027046457146</v>
      </c>
      <c r="BN4" s="159">
        <f t="shared" si="38"/>
        <v>0.91830324397727014</v>
      </c>
      <c r="BO4" s="159">
        <f t="shared" si="39"/>
        <v>2.2354851384274621</v>
      </c>
      <c r="BP4" s="159">
        <f t="shared" si="40"/>
        <v>10.280355989857721</v>
      </c>
      <c r="BQ4" s="159">
        <f t="shared" si="41"/>
        <v>1.2465770284842865</v>
      </c>
      <c r="BR4" s="159">
        <f t="shared" si="42"/>
        <v>3.8352664895521276</v>
      </c>
      <c r="BS4" s="159">
        <f t="shared" si="43"/>
        <v>3.2950881107419692</v>
      </c>
      <c r="BT4" s="159">
        <f t="shared" si="44"/>
        <v>3.3349040589655585</v>
      </c>
      <c r="BU4" s="159">
        <f t="shared" si="45"/>
        <v>8.8535655374858475</v>
      </c>
      <c r="BV4" s="159">
        <f t="shared" si="46"/>
        <v>1.1173023736785086</v>
      </c>
      <c r="BW4" s="159">
        <f t="shared" si="47"/>
        <v>3.8352664895521276</v>
      </c>
      <c r="BX4" s="159">
        <f t="shared" si="48"/>
        <v>3.2950881107419692</v>
      </c>
      <c r="BY4" s="159">
        <f t="shared" si="49"/>
        <v>4.6248889257302581</v>
      </c>
      <c r="BZ4" s="159">
        <f t="shared" si="50"/>
        <v>7.1450440036550837</v>
      </c>
      <c r="CA4" s="159">
        <f t="shared" si="51"/>
        <v>1.3666177793753658</v>
      </c>
      <c r="CB4" s="159">
        <f t="shared" si="52"/>
        <v>2.9757605449231139</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1.8323648675634936</v>
      </c>
    </row>
    <row r="5" spans="1:87" x14ac:dyDescent="0.25">
      <c r="A5" t="str">
        <f>PLANTILLA!D8</f>
        <v>D. Toh</v>
      </c>
      <c r="B5" t="s">
        <v>855</v>
      </c>
      <c r="C5" s="633">
        <f>PLANTILLA!E8</f>
        <v>31</v>
      </c>
      <c r="D5" s="633">
        <f ca="1">PLANTILLA!F8</f>
        <v>84</v>
      </c>
      <c r="E5" s="633" t="str">
        <f>PLANTILLA!G8</f>
        <v>CAB</v>
      </c>
      <c r="F5" s="290">
        <v>41519</v>
      </c>
      <c r="G5" s="497">
        <v>1.5</v>
      </c>
      <c r="H5" s="498">
        <f>PLANTILLA!I8</f>
        <v>7.5</v>
      </c>
      <c r="I5" s="341"/>
      <c r="J5" s="163">
        <f>PLANTILLA!X8</f>
        <v>0</v>
      </c>
      <c r="K5" s="163">
        <f>PLANTILLA!Y8</f>
        <v>11.077333333333334</v>
      </c>
      <c r="L5" s="163">
        <f>PLANTILLA!Z8</f>
        <v>6.199444444444441</v>
      </c>
      <c r="M5" s="163">
        <f>PLANTILLA!AA8</f>
        <v>6.04</v>
      </c>
      <c r="N5" s="163">
        <f>PLANTILLA!AB8</f>
        <v>7.7227777777777789</v>
      </c>
      <c r="O5" s="163">
        <f>PLANTILLA!AC8</f>
        <v>4.383333333333332</v>
      </c>
      <c r="P5" s="163">
        <f>PLANTILLA!AD8</f>
        <v>15.349999999999998</v>
      </c>
      <c r="Q5" s="163">
        <f t="shared" si="57"/>
        <v>3.6903611111111116</v>
      </c>
      <c r="R5" s="163">
        <f t="shared" si="58"/>
        <v>14.01234718946087</v>
      </c>
      <c r="S5" s="163">
        <f t="shared" si="59"/>
        <v>0.67966666666666653</v>
      </c>
      <c r="T5" s="163">
        <f t="shared" si="60"/>
        <v>0.90359333333333325</v>
      </c>
      <c r="U5" s="163">
        <f t="shared" ca="1" si="0"/>
        <v>17.51674835118893</v>
      </c>
      <c r="V5" s="159">
        <f t="shared" si="1"/>
        <v>5.3854153105879394</v>
      </c>
      <c r="W5" s="159">
        <f t="shared" si="2"/>
        <v>8.1506387880515803</v>
      </c>
      <c r="X5" s="159">
        <f t="shared" si="61"/>
        <v>5.3854153105879394</v>
      </c>
      <c r="Y5" s="159">
        <f t="shared" si="3"/>
        <v>7.0919461492134905</v>
      </c>
      <c r="Z5" s="159">
        <f t="shared" si="4"/>
        <v>13.744081684522268</v>
      </c>
      <c r="AA5" s="159">
        <f t="shared" si="62"/>
        <v>3.5459730746067453</v>
      </c>
      <c r="AB5" s="159">
        <f t="shared" si="5"/>
        <v>2.1101538853607429</v>
      </c>
      <c r="AC5" s="159">
        <f t="shared" si="6"/>
        <v>5.1952628767494176</v>
      </c>
      <c r="AD5" s="159">
        <f t="shared" si="7"/>
        <v>9.9369710579095987</v>
      </c>
      <c r="AE5" s="159">
        <f t="shared" si="63"/>
        <v>2.5976314383747088</v>
      </c>
      <c r="AF5" s="159">
        <f t="shared" si="8"/>
        <v>3.413484226318849</v>
      </c>
      <c r="AG5" s="357">
        <f t="shared" si="9"/>
        <v>12.644555149760487</v>
      </c>
      <c r="AH5" s="159">
        <f t="shared" si="10"/>
        <v>5.6900498173922189</v>
      </c>
      <c r="AI5" s="159">
        <f t="shared" si="11"/>
        <v>1.4806541968707736</v>
      </c>
      <c r="AJ5" s="357">
        <f t="shared" si="12"/>
        <v>5.1195680304990923</v>
      </c>
      <c r="AK5" s="159">
        <f t="shared" si="13"/>
        <v>10.363037590129791</v>
      </c>
      <c r="AL5" s="159">
        <f t="shared" si="14"/>
        <v>9.7308098326417642</v>
      </c>
      <c r="AM5" s="159">
        <f t="shared" si="15"/>
        <v>3.0087969746485514</v>
      </c>
      <c r="AN5" s="159">
        <f t="shared" si="16"/>
        <v>1.8308475251424128</v>
      </c>
      <c r="AO5" s="159">
        <f t="shared" si="17"/>
        <v>3.7109020548210125</v>
      </c>
      <c r="AP5" s="159">
        <f t="shared" si="18"/>
        <v>8.1639845206062258</v>
      </c>
      <c r="AQ5" s="159">
        <f t="shared" si="64"/>
        <v>1.8554510274105063</v>
      </c>
      <c r="AR5" s="159">
        <f t="shared" si="19"/>
        <v>8.3696859990779053</v>
      </c>
      <c r="AS5" s="159">
        <f t="shared" si="20"/>
        <v>1.3506383967656728</v>
      </c>
      <c r="AT5" s="159">
        <f t="shared" si="21"/>
        <v>2.466407266898357</v>
      </c>
      <c r="AU5" s="159">
        <f t="shared" si="65"/>
        <v>0.67531919838283638</v>
      </c>
      <c r="AV5" s="159">
        <f t="shared" si="22"/>
        <v>2.5976314383747088</v>
      </c>
      <c r="AW5" s="159">
        <f t="shared" si="23"/>
        <v>5.4976326738089076</v>
      </c>
      <c r="AX5" s="159">
        <f t="shared" si="66"/>
        <v>1.2988157191873544</v>
      </c>
      <c r="AY5" s="159">
        <f t="shared" si="24"/>
        <v>8.8661927956333741</v>
      </c>
      <c r="AZ5" s="159">
        <f t="shared" si="25"/>
        <v>2.6285501106285785</v>
      </c>
      <c r="BA5" s="159">
        <f t="shared" si="26"/>
        <v>5.0233455637273252</v>
      </c>
      <c r="BB5" s="159">
        <f t="shared" si="67"/>
        <v>1.3142750553142892</v>
      </c>
      <c r="BC5" s="159">
        <f t="shared" si="27"/>
        <v>3.9995277701959795</v>
      </c>
      <c r="BD5" s="159">
        <f t="shared" si="28"/>
        <v>4.7829404262137487</v>
      </c>
      <c r="BE5" s="159">
        <f t="shared" si="29"/>
        <v>7.8111158529530025</v>
      </c>
      <c r="BF5" s="159">
        <f t="shared" si="30"/>
        <v>8.2703742842069623</v>
      </c>
      <c r="BG5" s="159">
        <f t="shared" si="31"/>
        <v>2.5038757970809775</v>
      </c>
      <c r="BH5" s="159">
        <f t="shared" si="32"/>
        <v>6.6658796169932995</v>
      </c>
      <c r="BI5" s="159">
        <f t="shared" si="33"/>
        <v>3.6284375647138787</v>
      </c>
      <c r="BJ5" s="159">
        <f t="shared" si="34"/>
        <v>3.3780194551363154</v>
      </c>
      <c r="BK5" s="159">
        <f t="shared" si="35"/>
        <v>7.947936392272462</v>
      </c>
      <c r="BL5" s="159">
        <f t="shared" si="36"/>
        <v>0.54025535870626906</v>
      </c>
      <c r="BM5" s="159">
        <f t="shared" si="37"/>
        <v>2.4739347032140082</v>
      </c>
      <c r="BN5" s="159">
        <f t="shared" si="38"/>
        <v>0.93459755454751425</v>
      </c>
      <c r="BO5" s="159">
        <f t="shared" si="39"/>
        <v>2.7041888026681788</v>
      </c>
      <c r="BP5" s="159">
        <f t="shared" si="40"/>
        <v>11.678152824073413</v>
      </c>
      <c r="BQ5" s="159">
        <f t="shared" si="41"/>
        <v>1.4025860274105064</v>
      </c>
      <c r="BR5" s="159">
        <f t="shared" si="42"/>
        <v>3.9033191984043238</v>
      </c>
      <c r="BS5" s="159">
        <f t="shared" si="43"/>
        <v>3.3535559310234331</v>
      </c>
      <c r="BT5" s="159">
        <f t="shared" si="44"/>
        <v>4.0341177220131854</v>
      </c>
      <c r="BU5" s="159">
        <f t="shared" si="45"/>
        <v>10.057674950895116</v>
      </c>
      <c r="BV5" s="159">
        <f t="shared" si="46"/>
        <v>1.2571326616049723</v>
      </c>
      <c r="BW5" s="159">
        <f t="shared" si="47"/>
        <v>3.9033191984043238</v>
      </c>
      <c r="BX5" s="159">
        <f t="shared" si="48"/>
        <v>3.3535559310234331</v>
      </c>
      <c r="BY5" s="159">
        <f t="shared" si="49"/>
        <v>5.5945676540446589</v>
      </c>
      <c r="BZ5" s="159">
        <f t="shared" si="50"/>
        <v>8.1173158854252065</v>
      </c>
      <c r="CA5" s="159">
        <f t="shared" si="51"/>
        <v>1.5376498670870735</v>
      </c>
      <c r="CB5" s="159">
        <f t="shared" si="52"/>
        <v>3.5996742750271502</v>
      </c>
      <c r="CC5" s="159">
        <f t="shared" si="53"/>
        <v>4.7465136687472125</v>
      </c>
      <c r="CD5" s="159">
        <f t="shared" si="54"/>
        <v>9.7517103101054055</v>
      </c>
      <c r="CE5" s="159">
        <f t="shared" si="68"/>
        <v>4.7465136687472125</v>
      </c>
      <c r="CF5" s="159">
        <f t="shared" si="55"/>
        <v>5.1025253339018164</v>
      </c>
      <c r="CG5" s="159">
        <f t="shared" si="56"/>
        <v>10.883816826110982</v>
      </c>
      <c r="CH5" s="159">
        <f t="shared" si="69"/>
        <v>5.1025253339018164</v>
      </c>
      <c r="CI5" s="159">
        <f t="shared" si="70"/>
        <v>2.2165481989083435</v>
      </c>
    </row>
    <row r="6" spans="1:87" x14ac:dyDescent="0.25">
      <c r="A6" t="str">
        <f>PLANTILLA!D9</f>
        <v>E. Toney</v>
      </c>
      <c r="B6" t="s">
        <v>855</v>
      </c>
      <c r="C6" s="633">
        <f>PLANTILLA!E9</f>
        <v>31</v>
      </c>
      <c r="D6" s="633">
        <f ca="1">PLANTILLA!F9</f>
        <v>38</v>
      </c>
      <c r="E6" s="633"/>
      <c r="F6" s="290">
        <v>41539</v>
      </c>
      <c r="G6" s="497">
        <v>1.5</v>
      </c>
      <c r="H6" s="498">
        <f>PLANTILLA!I9</f>
        <v>12.2</v>
      </c>
      <c r="I6" s="341"/>
      <c r="J6" s="163">
        <f>PLANTILLA!X9</f>
        <v>0</v>
      </c>
      <c r="K6" s="163">
        <f>PLANTILLA!Y9</f>
        <v>12.200000000000005</v>
      </c>
      <c r="L6" s="163">
        <f>PLANTILLA!Z9</f>
        <v>13.156555555555553</v>
      </c>
      <c r="M6" s="163">
        <f>PLANTILLA!AA9</f>
        <v>9.8200000000000056</v>
      </c>
      <c r="N6" s="163">
        <f>PLANTILLA!AB9</f>
        <v>9.6</v>
      </c>
      <c r="O6" s="163">
        <f>PLANTILLA!AC9</f>
        <v>3.6816666666666658</v>
      </c>
      <c r="P6" s="163">
        <f>PLANTILLA!AD9</f>
        <v>16.627777777777773</v>
      </c>
      <c r="Q6" s="163">
        <f t="shared" si="57"/>
        <v>4.3000000000000007</v>
      </c>
      <c r="R6" s="163">
        <f t="shared" si="58"/>
        <v>14.172984745499365</v>
      </c>
      <c r="S6" s="163">
        <f t="shared" si="59"/>
        <v>0.68291666666666639</v>
      </c>
      <c r="T6" s="163">
        <f t="shared" si="60"/>
        <v>0.98683333333333345</v>
      </c>
      <c r="U6" s="163">
        <f t="shared" ca="1" si="0"/>
        <v>19.07625755201077</v>
      </c>
      <c r="V6" s="159">
        <f t="shared" si="1"/>
        <v>5.9412228429054093</v>
      </c>
      <c r="W6" s="159">
        <f t="shared" si="2"/>
        <v>8.9914873885348019</v>
      </c>
      <c r="X6" s="159">
        <f t="shared" si="61"/>
        <v>5.9412228429054093</v>
      </c>
      <c r="Y6" s="159">
        <f t="shared" si="3"/>
        <v>7.8166155635042296</v>
      </c>
      <c r="Z6" s="159">
        <f t="shared" si="4"/>
        <v>15.148479774233003</v>
      </c>
      <c r="AA6" s="159">
        <f t="shared" si="62"/>
        <v>3.9083077817521148</v>
      </c>
      <c r="AB6" s="159">
        <f t="shared" si="5"/>
        <v>3.8329984084896744</v>
      </c>
      <c r="AC6" s="159">
        <f t="shared" si="6"/>
        <v>5.7261253546600752</v>
      </c>
      <c r="AD6" s="159">
        <f t="shared" si="7"/>
        <v>10.952350876770462</v>
      </c>
      <c r="AE6" s="159">
        <f t="shared" si="63"/>
        <v>2.8630626773300376</v>
      </c>
      <c r="AF6" s="159">
        <f t="shared" si="8"/>
        <v>6.2004386019685915</v>
      </c>
      <c r="AG6" s="357">
        <f t="shared" si="9"/>
        <v>13.936601392294364</v>
      </c>
      <c r="AH6" s="159">
        <f t="shared" si="10"/>
        <v>6.2714706265324631</v>
      </c>
      <c r="AI6" s="159">
        <f t="shared" si="11"/>
        <v>2.6895409000746877</v>
      </c>
      <c r="AJ6" s="357">
        <f t="shared" si="12"/>
        <v>7.507866107249006</v>
      </c>
      <c r="AK6" s="159">
        <f t="shared" si="13"/>
        <v>11.421953749771685</v>
      </c>
      <c r="AL6" s="159">
        <f t="shared" si="14"/>
        <v>10.725123680156965</v>
      </c>
      <c r="AM6" s="159">
        <f t="shared" si="15"/>
        <v>3.2692350111857986</v>
      </c>
      <c r="AN6" s="159">
        <f t="shared" si="16"/>
        <v>2.0875621749791033</v>
      </c>
      <c r="AO6" s="159">
        <f t="shared" si="17"/>
        <v>4.0900895390429115</v>
      </c>
      <c r="AP6" s="159">
        <f t="shared" si="18"/>
        <v>8.9981969858944026</v>
      </c>
      <c r="AQ6" s="159">
        <f t="shared" si="64"/>
        <v>2.0450447695214558</v>
      </c>
      <c r="AR6" s="159">
        <f t="shared" si="19"/>
        <v>15.20315335132039</v>
      </c>
      <c r="AS6" s="159">
        <f t="shared" si="20"/>
        <v>1.6313023706502898</v>
      </c>
      <c r="AT6" s="159">
        <f t="shared" si="21"/>
        <v>2.6528329071836012</v>
      </c>
      <c r="AU6" s="159">
        <f t="shared" si="65"/>
        <v>0.81565118532514491</v>
      </c>
      <c r="AV6" s="159">
        <f t="shared" si="22"/>
        <v>2.8630626773300376</v>
      </c>
      <c r="AW6" s="159">
        <f t="shared" si="23"/>
        <v>6.0593919096932014</v>
      </c>
      <c r="AX6" s="159">
        <f t="shared" si="66"/>
        <v>1.4315313386650188</v>
      </c>
      <c r="AY6" s="159">
        <f t="shared" si="24"/>
        <v>16.105035329788549</v>
      </c>
      <c r="AZ6" s="159">
        <f t="shared" si="25"/>
        <v>3.1747653828809486</v>
      </c>
      <c r="BA6" s="159">
        <f t="shared" si="26"/>
        <v>5.6713623556023816</v>
      </c>
      <c r="BB6" s="159">
        <f t="shared" si="67"/>
        <v>1.5873826914404743</v>
      </c>
      <c r="BC6" s="159">
        <f t="shared" si="27"/>
        <v>4.4082076143018032</v>
      </c>
      <c r="BD6" s="159">
        <f t="shared" si="28"/>
        <v>5.2716709614330846</v>
      </c>
      <c r="BE6" s="159">
        <f t="shared" si="29"/>
        <v>14.188536125543711</v>
      </c>
      <c r="BF6" s="159">
        <f t="shared" si="30"/>
        <v>11.281878519293139</v>
      </c>
      <c r="BG6" s="159">
        <f t="shared" si="31"/>
        <v>3.0241836255901524</v>
      </c>
      <c r="BH6" s="159">
        <f t="shared" si="32"/>
        <v>7.3470126905030062</v>
      </c>
      <c r="BI6" s="159">
        <f t="shared" si="33"/>
        <v>3.9991986603975129</v>
      </c>
      <c r="BJ6" s="159">
        <f t="shared" si="34"/>
        <v>6.1360184606494377</v>
      </c>
      <c r="BK6" s="159">
        <f t="shared" si="35"/>
        <v>11.115431322679644</v>
      </c>
      <c r="BL6" s="159">
        <f t="shared" si="36"/>
        <v>0.65252094826011586</v>
      </c>
      <c r="BM6" s="159">
        <f t="shared" si="37"/>
        <v>2.7267263593619404</v>
      </c>
      <c r="BN6" s="159">
        <f t="shared" si="38"/>
        <v>1.0300966246478442</v>
      </c>
      <c r="BO6" s="159">
        <f t="shared" si="39"/>
        <v>4.9120357755855073</v>
      </c>
      <c r="BP6" s="159">
        <f t="shared" si="40"/>
        <v>16.357344989663641</v>
      </c>
      <c r="BQ6" s="159">
        <f t="shared" si="41"/>
        <v>1.6940447695214549</v>
      </c>
      <c r="BR6" s="159">
        <f t="shared" si="42"/>
        <v>4.3021682558821723</v>
      </c>
      <c r="BS6" s="159">
        <f t="shared" si="43"/>
        <v>3.6962290649128526</v>
      </c>
      <c r="BT6" s="159">
        <f t="shared" si="44"/>
        <v>7.3277910750537902</v>
      </c>
      <c r="BU6" s="159">
        <f t="shared" si="45"/>
        <v>14.093795589850167</v>
      </c>
      <c r="BV6" s="159">
        <f t="shared" si="46"/>
        <v>1.5183660526821927</v>
      </c>
      <c r="BW6" s="159">
        <f t="shared" si="47"/>
        <v>4.3021682558821723</v>
      </c>
      <c r="BX6" s="159">
        <f t="shared" si="48"/>
        <v>3.6962290649128526</v>
      </c>
      <c r="BY6" s="159">
        <f t="shared" si="49"/>
        <v>10.162277293096574</v>
      </c>
      <c r="BZ6" s="159">
        <f t="shared" si="50"/>
        <v>11.385329397938536</v>
      </c>
      <c r="CA6" s="159">
        <f t="shared" si="51"/>
        <v>1.8571750065864836</v>
      </c>
      <c r="CB6" s="159">
        <f t="shared" si="52"/>
        <v>6.5386443438941511</v>
      </c>
      <c r="CC6" s="159">
        <f t="shared" si="53"/>
        <v>5.8178096290420598</v>
      </c>
      <c r="CD6" s="159">
        <f t="shared" si="54"/>
        <v>10.679199892453022</v>
      </c>
      <c r="CE6" s="159">
        <f t="shared" si="68"/>
        <v>5.8178096290420598</v>
      </c>
      <c r="CF6" s="159">
        <f t="shared" si="55"/>
        <v>6.1975562326804923</v>
      </c>
      <c r="CG6" s="159">
        <f t="shared" si="56"/>
        <v>11.26053547759164</v>
      </c>
      <c r="CH6" s="159">
        <f t="shared" si="69"/>
        <v>6.1975562326804923</v>
      </c>
      <c r="CI6" s="159">
        <f t="shared" si="70"/>
        <v>4.0262588324471373</v>
      </c>
    </row>
    <row r="7" spans="1:87" x14ac:dyDescent="0.25">
      <c r="A7" t="str">
        <f>PLANTILLA!D10</f>
        <v>B. Bartolache</v>
      </c>
      <c r="B7" t="s">
        <v>855</v>
      </c>
      <c r="C7" s="633">
        <f>PLANTILLA!E10</f>
        <v>31</v>
      </c>
      <c r="D7" s="633">
        <f ca="1">PLANTILLA!F10</f>
        <v>23</v>
      </c>
      <c r="E7" s="633"/>
      <c r="F7" s="290">
        <v>41527</v>
      </c>
      <c r="G7" s="497">
        <v>1.5</v>
      </c>
      <c r="H7" s="498">
        <f>PLANTILLA!I10</f>
        <v>9.3000000000000007</v>
      </c>
      <c r="I7" s="341"/>
      <c r="J7" s="163">
        <f>PLANTILLA!X10</f>
        <v>0</v>
      </c>
      <c r="K7" s="163">
        <f>PLANTILLA!Y10</f>
        <v>11.999999999999996</v>
      </c>
      <c r="L7" s="163">
        <f>PLANTILLA!Z10</f>
        <v>7.0025000000000022</v>
      </c>
      <c r="M7" s="163">
        <f>PLANTILLA!AA10</f>
        <v>7.4300000000000015</v>
      </c>
      <c r="N7" s="163">
        <f>PLANTILLA!AB10</f>
        <v>9.0199999999999978</v>
      </c>
      <c r="O7" s="163">
        <f>PLANTILLA!AC10</f>
        <v>4.6199999999999966</v>
      </c>
      <c r="P7" s="163">
        <f>PLANTILLA!AD10</f>
        <v>15.6</v>
      </c>
      <c r="Q7" s="163">
        <f t="shared" si="57"/>
        <v>4.129999999999999</v>
      </c>
      <c r="R7" s="163">
        <f t="shared" si="58"/>
        <v>14.817996421738927</v>
      </c>
      <c r="S7" s="163">
        <f t="shared" si="59"/>
        <v>0.69899999999999984</v>
      </c>
      <c r="T7" s="163">
        <f t="shared" si="60"/>
        <v>0.94799999999999984</v>
      </c>
      <c r="U7" s="163">
        <f t="shared" ca="1" si="0"/>
        <v>17.891310598071914</v>
      </c>
      <c r="V7" s="159">
        <f t="shared" si="1"/>
        <v>5.7488141521167799</v>
      </c>
      <c r="W7" s="159">
        <f t="shared" si="2"/>
        <v>8.7035819821108387</v>
      </c>
      <c r="X7" s="159">
        <f t="shared" si="61"/>
        <v>5.7488141521167799</v>
      </c>
      <c r="Y7" s="159">
        <f t="shared" si="3"/>
        <v>7.6323162686051056</v>
      </c>
      <c r="Z7" s="159">
        <f t="shared" si="4"/>
        <v>14.79131059807191</v>
      </c>
      <c r="AA7" s="159">
        <f t="shared" si="62"/>
        <v>3.8161581343025528</v>
      </c>
      <c r="AB7" s="159">
        <f t="shared" si="5"/>
        <v>2.3309269223411153</v>
      </c>
      <c r="AC7" s="159">
        <f t="shared" si="6"/>
        <v>5.5911154060711814</v>
      </c>
      <c r="AD7" s="159">
        <f t="shared" si="7"/>
        <v>10.694117562405991</v>
      </c>
      <c r="AE7" s="159">
        <f t="shared" si="63"/>
        <v>2.7955577030355907</v>
      </c>
      <c r="AF7" s="159">
        <f t="shared" si="8"/>
        <v>3.7706170802576873</v>
      </c>
      <c r="AG7" s="357">
        <f t="shared" si="9"/>
        <v>13.608005750226157</v>
      </c>
      <c r="AH7" s="159">
        <f t="shared" si="10"/>
        <v>6.1236025876017699</v>
      </c>
      <c r="AI7" s="159">
        <f t="shared" si="11"/>
        <v>1.6355663698780099</v>
      </c>
      <c r="AJ7" s="357">
        <f t="shared" si="12"/>
        <v>6.0101306316662857</v>
      </c>
      <c r="AK7" s="159">
        <f t="shared" si="13"/>
        <v>11.15264819094622</v>
      </c>
      <c r="AL7" s="159">
        <f t="shared" si="14"/>
        <v>10.472247903434912</v>
      </c>
      <c r="AM7" s="159">
        <f t="shared" si="15"/>
        <v>3.07134886987801</v>
      </c>
      <c r="AN7" s="159">
        <f t="shared" si="16"/>
        <v>1.9933374522447105</v>
      </c>
      <c r="AO7" s="159">
        <f t="shared" si="17"/>
        <v>3.9936538614794159</v>
      </c>
      <c r="AP7" s="159">
        <f t="shared" si="18"/>
        <v>8.7860384952547133</v>
      </c>
      <c r="AQ7" s="159">
        <f t="shared" si="64"/>
        <v>1.996826930739708</v>
      </c>
      <c r="AR7" s="159">
        <f t="shared" si="19"/>
        <v>9.2453572045798875</v>
      </c>
      <c r="AS7" s="159">
        <f t="shared" si="20"/>
        <v>1.5354703777493484</v>
      </c>
      <c r="AT7" s="159">
        <f t="shared" si="21"/>
        <v>2.6995140052350699</v>
      </c>
      <c r="AU7" s="159">
        <f t="shared" si="65"/>
        <v>0.76773518887467418</v>
      </c>
      <c r="AV7" s="159">
        <f t="shared" si="22"/>
        <v>2.7955577030355907</v>
      </c>
      <c r="AW7" s="159">
        <f t="shared" si="23"/>
        <v>5.9165242392287638</v>
      </c>
      <c r="AX7" s="159">
        <f t="shared" si="66"/>
        <v>1.3977788515177954</v>
      </c>
      <c r="AY7" s="159">
        <f t="shared" si="24"/>
        <v>9.7938105980719143</v>
      </c>
      <c r="AZ7" s="159">
        <f t="shared" si="25"/>
        <v>2.9882615813121935</v>
      </c>
      <c r="BA7" s="159">
        <f t="shared" si="26"/>
        <v>5.5840321395376229</v>
      </c>
      <c r="BB7" s="159">
        <f t="shared" si="67"/>
        <v>1.4941307906560968</v>
      </c>
      <c r="BC7" s="159">
        <f t="shared" si="27"/>
        <v>4.3042713840389251</v>
      </c>
      <c r="BD7" s="159">
        <f t="shared" si="28"/>
        <v>5.1473760881290245</v>
      </c>
      <c r="BE7" s="159">
        <f t="shared" si="29"/>
        <v>8.6283471369013558</v>
      </c>
      <c r="BF7" s="159">
        <f t="shared" si="30"/>
        <v>9.587595121685931</v>
      </c>
      <c r="BG7" s="159">
        <f t="shared" si="31"/>
        <v>2.8465258541353302</v>
      </c>
      <c r="BH7" s="159">
        <f t="shared" si="32"/>
        <v>7.1737856400648763</v>
      </c>
      <c r="BI7" s="159">
        <f t="shared" si="33"/>
        <v>3.9049059978909844</v>
      </c>
      <c r="BJ7" s="159">
        <f t="shared" si="34"/>
        <v>3.7314418378653995</v>
      </c>
      <c r="BK7" s="159">
        <f t="shared" si="35"/>
        <v>9.2530154627148526</v>
      </c>
      <c r="BL7" s="159">
        <f t="shared" si="36"/>
        <v>0.61418815109973934</v>
      </c>
      <c r="BM7" s="159">
        <f t="shared" si="37"/>
        <v>2.6624359076529438</v>
      </c>
      <c r="BN7" s="159">
        <f t="shared" si="38"/>
        <v>1.0058091206688899</v>
      </c>
      <c r="BO7" s="159">
        <f t="shared" si="39"/>
        <v>2.9871122324119339</v>
      </c>
      <c r="BP7" s="159">
        <f t="shared" si="40"/>
        <v>13.599345429120481</v>
      </c>
      <c r="BQ7" s="159">
        <f t="shared" si="41"/>
        <v>1.5945269307397081</v>
      </c>
      <c r="BR7" s="159">
        <f t="shared" si="42"/>
        <v>4.200732209852422</v>
      </c>
      <c r="BS7" s="159">
        <f t="shared" si="43"/>
        <v>3.6090797859295458</v>
      </c>
      <c r="BT7" s="159">
        <f t="shared" si="44"/>
        <v>4.4561838221227212</v>
      </c>
      <c r="BU7" s="159">
        <f t="shared" si="45"/>
        <v>11.71317214266368</v>
      </c>
      <c r="BV7" s="159">
        <f t="shared" si="46"/>
        <v>1.4291685823667011</v>
      </c>
      <c r="BW7" s="159">
        <f t="shared" si="47"/>
        <v>4.200732209852422</v>
      </c>
      <c r="BX7" s="159">
        <f t="shared" si="48"/>
        <v>3.6090797859295458</v>
      </c>
      <c r="BY7" s="159">
        <f t="shared" si="49"/>
        <v>6.1798944873833781</v>
      </c>
      <c r="BZ7" s="159">
        <f t="shared" si="50"/>
        <v>9.4549429852743625</v>
      </c>
      <c r="CA7" s="159">
        <f t="shared" si="51"/>
        <v>1.7480739685146427</v>
      </c>
      <c r="CB7" s="159">
        <f t="shared" si="52"/>
        <v>3.9762871028171975</v>
      </c>
      <c r="CC7" s="159">
        <f t="shared" si="53"/>
        <v>5.3659328215954654</v>
      </c>
      <c r="CD7" s="159">
        <f t="shared" si="54"/>
        <v>10.734335733428971</v>
      </c>
      <c r="CE7" s="159">
        <f t="shared" si="68"/>
        <v>5.3659328215954654</v>
      </c>
      <c r="CF7" s="159">
        <f t="shared" si="55"/>
        <v>5.7330565025988012</v>
      </c>
      <c r="CG7" s="159">
        <f t="shared" si="56"/>
        <v>11.769684208760445</v>
      </c>
      <c r="CH7" s="159">
        <f t="shared" si="69"/>
        <v>5.7330565025988012</v>
      </c>
      <c r="CI7" s="159">
        <f t="shared" si="70"/>
        <v>2.4484526495179786</v>
      </c>
    </row>
    <row r="8" spans="1:87" x14ac:dyDescent="0.25">
      <c r="A8" t="str">
        <f>PLANTILLA!D11</f>
        <v>F. Lasprilla</v>
      </c>
      <c r="B8" t="s">
        <v>855</v>
      </c>
      <c r="C8" s="633">
        <f>PLANTILLA!E11</f>
        <v>27</v>
      </c>
      <c r="D8" s="633">
        <f ca="1">PLANTILLA!F11</f>
        <v>46</v>
      </c>
      <c r="E8" s="633"/>
      <c r="F8" s="290">
        <v>42106</v>
      </c>
      <c r="G8" s="497">
        <v>1.5</v>
      </c>
      <c r="H8" s="498">
        <f>PLANTILLA!I11</f>
        <v>4.9000000000000004</v>
      </c>
      <c r="I8" s="341"/>
      <c r="J8" s="163">
        <f>PLANTILLA!X11</f>
        <v>0</v>
      </c>
      <c r="K8" s="163">
        <f>PLANTILLA!Y11</f>
        <v>9.6046666666666667</v>
      </c>
      <c r="L8" s="163">
        <f>PLANTILLA!Z11</f>
        <v>7.7507222222222225</v>
      </c>
      <c r="M8" s="163">
        <f>PLANTILLA!AA11</f>
        <v>6.1499999999999986</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2.4206941116179372</v>
      </c>
      <c r="AC8" s="159">
        <f t="shared" si="6"/>
        <v>4.5454228243343708</v>
      </c>
      <c r="AD8" s="159">
        <f t="shared" si="7"/>
        <v>8.6940230211474869</v>
      </c>
      <c r="AE8" s="159">
        <f t="shared" si="63"/>
        <v>2.2727114121671854</v>
      </c>
      <c r="AF8" s="159">
        <f t="shared" si="8"/>
        <v>3.9158287099701927</v>
      </c>
      <c r="AG8" s="357">
        <f t="shared" si="9"/>
        <v>11.062933858168311</v>
      </c>
      <c r="AH8" s="159">
        <f t="shared" si="10"/>
        <v>4.9783202361757395</v>
      </c>
      <c r="AI8" s="159">
        <f t="shared" si="11"/>
        <v>1.6985542715974604</v>
      </c>
      <c r="AJ8" s="357">
        <f t="shared" si="12"/>
        <v>5.0393137267423533</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9.6014085771736664</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10.170983662260241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8.9606366064512724</v>
      </c>
      <c r="BF8" s="159">
        <f t="shared" si="30"/>
        <v>8.4736624201937971</v>
      </c>
      <c r="BG8" s="159">
        <f t="shared" si="31"/>
        <v>2.7193463403824953</v>
      </c>
      <c r="BH8" s="159">
        <f t="shared" si="32"/>
        <v>5.8320901317517722</v>
      </c>
      <c r="BI8" s="159">
        <f t="shared" si="33"/>
        <v>3.1745810201700371</v>
      </c>
      <c r="BJ8" s="159">
        <f t="shared" si="34"/>
        <v>3.8751447753211519</v>
      </c>
      <c r="BK8" s="159">
        <f t="shared" si="35"/>
        <v>8.0357884985932273</v>
      </c>
      <c r="BL8" s="159">
        <f t="shared" si="36"/>
        <v>0.58674692821531016</v>
      </c>
      <c r="BM8" s="159">
        <f t="shared" si="37"/>
        <v>2.1644870592068433</v>
      </c>
      <c r="BN8" s="159">
        <f t="shared" si="38"/>
        <v>0.81769511125591865</v>
      </c>
      <c r="BO8" s="159">
        <f t="shared" si="39"/>
        <v>3.1021500169893734</v>
      </c>
      <c r="BP8" s="159">
        <f t="shared" si="40"/>
        <v>11.797369545222223</v>
      </c>
      <c r="BQ8" s="159">
        <f t="shared" si="41"/>
        <v>1.5232852944051323</v>
      </c>
      <c r="BR8" s="159">
        <f t="shared" si="42"/>
        <v>3.4150795823041302</v>
      </c>
      <c r="BS8" s="159">
        <f t="shared" si="43"/>
        <v>2.934082458035943</v>
      </c>
      <c r="BT8" s="159">
        <f t="shared" si="44"/>
        <v>4.6277975663284101</v>
      </c>
      <c r="BU8" s="159">
        <f t="shared" si="45"/>
        <v>10.157903008895456</v>
      </c>
      <c r="BV8" s="159">
        <f t="shared" si="46"/>
        <v>1.3653149675779332</v>
      </c>
      <c r="BW8" s="159">
        <f t="shared" si="47"/>
        <v>3.4150795823041302</v>
      </c>
      <c r="BX8" s="159">
        <f t="shared" si="48"/>
        <v>2.934082458035943</v>
      </c>
      <c r="BY8" s="159">
        <f t="shared" si="49"/>
        <v>6.4178906908862121</v>
      </c>
      <c r="BZ8" s="159">
        <f t="shared" si="50"/>
        <v>8.1940573221673585</v>
      </c>
      <c r="CA8" s="159">
        <f t="shared" si="51"/>
        <v>1.6699720264589597</v>
      </c>
      <c r="CB8" s="159">
        <f t="shared" si="52"/>
        <v>4.1294193668776584</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2.5427459155650602</v>
      </c>
    </row>
    <row r="9" spans="1:87" x14ac:dyDescent="0.25">
      <c r="A9" t="str">
        <f>PLANTILLA!D7</f>
        <v>B. Pinczehelyi</v>
      </c>
      <c r="C9" s="633">
        <f>PLANTILLA!E7</f>
        <v>30</v>
      </c>
      <c r="D9" s="633">
        <f ca="1">PLANTILLA!F7</f>
        <v>39</v>
      </c>
      <c r="E9" s="633" t="str">
        <f>PLANTILLA!G7</f>
        <v>CAB</v>
      </c>
      <c r="F9" s="290">
        <v>41400</v>
      </c>
      <c r="G9" s="497">
        <v>1</v>
      </c>
      <c r="H9" s="498">
        <f>PLANTILLA!I7</f>
        <v>14.1</v>
      </c>
      <c r="I9" s="341"/>
      <c r="J9" s="163">
        <f>PLANTILLA!X7</f>
        <v>0</v>
      </c>
      <c r="K9" s="163">
        <f>PLANTILLA!Y7</f>
        <v>14.300000000000004</v>
      </c>
      <c r="L9" s="163">
        <f>PLANTILLA!Z7</f>
        <v>9.3193333333333346</v>
      </c>
      <c r="M9" s="163">
        <f>PLANTILLA!AA7</f>
        <v>14.291666666666663</v>
      </c>
      <c r="N9" s="163">
        <f>PLANTILLA!AB7</f>
        <v>9.4199999999999982</v>
      </c>
      <c r="O9" s="163">
        <f>PLANTILLA!AC7</f>
        <v>1.1428571428571428</v>
      </c>
      <c r="P9" s="163">
        <f>PLANTILLA!AD7</f>
        <v>9.4</v>
      </c>
      <c r="Q9" s="163">
        <f>((2*(N9+1))+(K9+1))/8</f>
        <v>4.5175000000000001</v>
      </c>
      <c r="R9" s="163">
        <f t="shared" si="58"/>
        <v>5.0635085091007106</v>
      </c>
      <c r="S9" s="163">
        <f>(0.5*O9+ 0.3*P9)/10</f>
        <v>0.33914285714285713</v>
      </c>
      <c r="T9" s="163">
        <f>(0.4*K9+0.3*P9)/10</f>
        <v>0.85400000000000031</v>
      </c>
      <c r="U9" s="163">
        <f t="shared" ca="1" si="0"/>
        <v>11.932292150207173</v>
      </c>
      <c r="V9" s="159">
        <f t="shared" si="1"/>
        <v>6.1574910471308639</v>
      </c>
      <c r="W9" s="159">
        <f t="shared" si="2"/>
        <v>9.3466891659174625</v>
      </c>
      <c r="X9" s="159">
        <f>V9</f>
        <v>6.1574910471308639</v>
      </c>
      <c r="Y9" s="159">
        <f t="shared" si="3"/>
        <v>8.6854627495069039</v>
      </c>
      <c r="Z9" s="159">
        <f t="shared" si="4"/>
        <v>16.832292150207177</v>
      </c>
      <c r="AA9" s="159">
        <f>Y9/2</f>
        <v>4.3427313747534519</v>
      </c>
      <c r="AB9" s="159">
        <f t="shared" si="5"/>
        <v>2.8206868650826404</v>
      </c>
      <c r="AC9" s="159">
        <f t="shared" si="6"/>
        <v>6.3626064327783132</v>
      </c>
      <c r="AD9" s="159">
        <f t="shared" si="7"/>
        <v>12.169747224599789</v>
      </c>
      <c r="AE9" s="159">
        <f>AC9/2</f>
        <v>3.1813032163891566</v>
      </c>
      <c r="AF9" s="159">
        <f t="shared" si="8"/>
        <v>4.5628758111630958</v>
      </c>
      <c r="AG9" s="357">
        <f t="shared" si="9"/>
        <v>15.485708778190604</v>
      </c>
      <c r="AH9" s="159">
        <f t="shared" si="10"/>
        <v>6.9685689501857713</v>
      </c>
      <c r="AI9" s="159">
        <f t="shared" si="11"/>
        <v>1.9792214557512648</v>
      </c>
      <c r="AJ9" s="357">
        <f t="shared" si="12"/>
        <v>9.8924877843218155</v>
      </c>
      <c r="AK9" s="159">
        <f t="shared" si="13"/>
        <v>12.691548281256212</v>
      </c>
      <c r="AL9" s="159">
        <f t="shared" si="14"/>
        <v>11.91726284234668</v>
      </c>
      <c r="AM9" s="159">
        <f t="shared" si="15"/>
        <v>1.992692789084598</v>
      </c>
      <c r="AN9" s="159">
        <f t="shared" si="16"/>
        <v>2.0303401392596658</v>
      </c>
      <c r="AO9" s="159">
        <f t="shared" si="17"/>
        <v>4.544718880555938</v>
      </c>
      <c r="AP9" s="159">
        <f t="shared" si="18"/>
        <v>9.9983815372230627</v>
      </c>
      <c r="AQ9" s="159">
        <f>AO9/2</f>
        <v>2.272359440277969</v>
      </c>
      <c r="AR9" s="159">
        <f t="shared" si="19"/>
        <v>11.187934456462239</v>
      </c>
      <c r="AS9" s="159">
        <f t="shared" si="20"/>
        <v>1.5537979795269323</v>
      </c>
      <c r="AT9" s="159">
        <f t="shared" si="21"/>
        <v>2.0700758857249872</v>
      </c>
      <c r="AU9" s="159">
        <f>AS9/2</f>
        <v>0.77689898976346616</v>
      </c>
      <c r="AV9" s="159">
        <f t="shared" si="22"/>
        <v>3.1813032163891566</v>
      </c>
      <c r="AW9" s="159">
        <f t="shared" si="23"/>
        <v>6.732916860082871</v>
      </c>
      <c r="AX9" s="159">
        <f>AV9/2</f>
        <v>1.5906516081945783</v>
      </c>
      <c r="AY9" s="159">
        <f t="shared" si="24"/>
        <v>11.851625483540507</v>
      </c>
      <c r="AZ9" s="159">
        <f t="shared" si="25"/>
        <v>3.0239299140024145</v>
      </c>
      <c r="BA9" s="159">
        <f t="shared" si="26"/>
        <v>4.8475129747641521</v>
      </c>
      <c r="BB9" s="159">
        <f>AZ9/2</f>
        <v>1.5119649570012073</v>
      </c>
      <c r="BC9" s="159">
        <f t="shared" si="27"/>
        <v>4.8981970157102879</v>
      </c>
      <c r="BD9" s="159">
        <f t="shared" si="28"/>
        <v>5.8576376682720976</v>
      </c>
      <c r="BE9" s="159">
        <f t="shared" si="29"/>
        <v>10.441282050999186</v>
      </c>
      <c r="BF9" s="159">
        <f t="shared" si="30"/>
        <v>13.421924388200839</v>
      </c>
      <c r="BG9" s="159">
        <f t="shared" si="31"/>
        <v>2.880502408199928</v>
      </c>
      <c r="BH9" s="159">
        <f t="shared" si="32"/>
        <v>8.1636616928504804</v>
      </c>
      <c r="BI9" s="159">
        <f t="shared" si="33"/>
        <v>4.4437251276546954</v>
      </c>
      <c r="BJ9" s="159">
        <f t="shared" si="34"/>
        <v>4.5154693092289335</v>
      </c>
      <c r="BK9" s="159">
        <f t="shared" si="35"/>
        <v>13.724935005947735</v>
      </c>
      <c r="BL9" s="159">
        <f t="shared" si="36"/>
        <v>0.62151919181077286</v>
      </c>
      <c r="BM9" s="159">
        <f t="shared" si="37"/>
        <v>3.0298125870372918</v>
      </c>
      <c r="BN9" s="159">
        <f t="shared" si="38"/>
        <v>1.144595866214088</v>
      </c>
      <c r="BO9" s="159">
        <f t="shared" si="39"/>
        <v>3.6147457724798548</v>
      </c>
      <c r="BP9" s="159">
        <f t="shared" si="40"/>
        <v>20.242314371833089</v>
      </c>
      <c r="BQ9" s="159">
        <f t="shared" si="41"/>
        <v>1.6135594402779683</v>
      </c>
      <c r="BR9" s="159">
        <f t="shared" si="42"/>
        <v>4.7803709706588382</v>
      </c>
      <c r="BS9" s="159">
        <f t="shared" si="43"/>
        <v>4.1070792846505508</v>
      </c>
      <c r="BT9" s="159">
        <f t="shared" si="44"/>
        <v>5.3924895950109315</v>
      </c>
      <c r="BU9" s="159">
        <f t="shared" si="45"/>
        <v>17.452259702429544</v>
      </c>
      <c r="BV9" s="159">
        <f t="shared" si="46"/>
        <v>1.4462273501750678</v>
      </c>
      <c r="BW9" s="159">
        <f t="shared" si="47"/>
        <v>4.7803709706588382</v>
      </c>
      <c r="BX9" s="159">
        <f t="shared" si="48"/>
        <v>4.1070792846505508</v>
      </c>
      <c r="BY9" s="159">
        <f t="shared" si="49"/>
        <v>7.47837568011406</v>
      </c>
      <c r="BZ9" s="159">
        <f t="shared" si="50"/>
        <v>14.117211474435418</v>
      </c>
      <c r="CA9" s="159">
        <f t="shared" si="51"/>
        <v>1.7689392382306612</v>
      </c>
      <c r="CB9" s="159">
        <f t="shared" si="52"/>
        <v>4.8117599463174461</v>
      </c>
      <c r="CC9" s="159">
        <f t="shared" si="53"/>
        <v>5.8774670674007936</v>
      </c>
      <c r="CD9" s="159">
        <f t="shared" si="54"/>
        <v>8.6327066754189907</v>
      </c>
      <c r="CE9" s="159">
        <f>CC9</f>
        <v>5.8774670674007936</v>
      </c>
      <c r="CF9" s="159">
        <f t="shared" si="55"/>
        <v>6.370859200055258</v>
      </c>
      <c r="CG9" s="159">
        <f t="shared" si="56"/>
        <v>8.0855450964907618</v>
      </c>
      <c r="CH9" s="159">
        <f>CF9</f>
        <v>6.370859200055258</v>
      </c>
      <c r="CI9" s="159">
        <f>((L9+G9+(LOG(H9)*4/3))*0.25)</f>
        <v>2.9629063708851269</v>
      </c>
    </row>
    <row r="10" spans="1:87" x14ac:dyDescent="0.25">
      <c r="A10" t="str">
        <f>PLANTILLA!D12</f>
        <v>E. Romweber</v>
      </c>
      <c r="B10" t="s">
        <v>855</v>
      </c>
      <c r="C10" s="633">
        <f>PLANTILLA!E12</f>
        <v>31</v>
      </c>
      <c r="D10" s="633">
        <f ca="1">PLANTILLA!F12</f>
        <v>0</v>
      </c>
      <c r="E10" s="633" t="str">
        <f>PLANTILLA!G12</f>
        <v>IMP</v>
      </c>
      <c r="F10" s="290">
        <v>41583</v>
      </c>
      <c r="G10" s="497">
        <v>1.5</v>
      </c>
      <c r="H10" s="498">
        <f>PLANTILLA!I12</f>
        <v>12.3</v>
      </c>
      <c r="I10" s="341"/>
      <c r="J10" s="163">
        <f>PLANTILLA!X12</f>
        <v>0</v>
      </c>
      <c r="K10" s="163">
        <f>PLANTILLA!Y12</f>
        <v>12.06111111111111</v>
      </c>
      <c r="L10" s="163">
        <f>PLANTILLA!Z12</f>
        <v>12.534111111111114</v>
      </c>
      <c r="M10" s="163">
        <f>PLANTILLA!AA12</f>
        <v>13.133333333333335</v>
      </c>
      <c r="N10" s="163">
        <f>PLANTILLA!AB12</f>
        <v>10.91</v>
      </c>
      <c r="O10" s="163">
        <f>PLANTILLA!AC12</f>
        <v>7.7700000000000005</v>
      </c>
      <c r="P10" s="163">
        <f>PLANTILLA!AD12</f>
        <v>17.13</v>
      </c>
      <c r="Q10" s="163">
        <f t="shared" si="57"/>
        <v>4.6101388888888888</v>
      </c>
      <c r="R10" s="163">
        <f t="shared" si="58"/>
        <v>21.246287061708095</v>
      </c>
      <c r="S10" s="163">
        <f t="shared" si="59"/>
        <v>0.90239999999999987</v>
      </c>
      <c r="T10" s="163">
        <f t="shared" si="60"/>
        <v>0.99634444444444448</v>
      </c>
      <c r="U10" s="163">
        <f t="shared" ca="1" si="0"/>
        <v>19.583206815252531</v>
      </c>
      <c r="V10" s="159">
        <f t="shared" si="1"/>
        <v>5.907016216382126</v>
      </c>
      <c r="W10" s="159">
        <f t="shared" si="2"/>
        <v>8.9385622207132389</v>
      </c>
      <c r="X10" s="159">
        <f t="shared" si="61"/>
        <v>5.907016216382126</v>
      </c>
      <c r="Y10" s="159">
        <f t="shared" si="3"/>
        <v>7.7473880500036385</v>
      </c>
      <c r="Z10" s="159">
        <f t="shared" si="4"/>
        <v>15.01431792636364</v>
      </c>
      <c r="AA10" s="159">
        <f t="shared" si="62"/>
        <v>3.8736940250018193</v>
      </c>
      <c r="AB10" s="159">
        <f t="shared" si="5"/>
        <v>3.6859816664745471</v>
      </c>
      <c r="AC10" s="159">
        <f t="shared" si="6"/>
        <v>5.6754121761654561</v>
      </c>
      <c r="AD10" s="159">
        <f t="shared" si="7"/>
        <v>10.855351860760912</v>
      </c>
      <c r="AE10" s="159">
        <f t="shared" si="63"/>
        <v>2.8377060880827281</v>
      </c>
      <c r="AF10" s="159">
        <f t="shared" si="8"/>
        <v>5.9626174016500029</v>
      </c>
      <c r="AG10" s="357">
        <f t="shared" si="9"/>
        <v>13.81317249225455</v>
      </c>
      <c r="AH10" s="159">
        <f t="shared" si="10"/>
        <v>6.2159276215145471</v>
      </c>
      <c r="AI10" s="159">
        <f t="shared" si="11"/>
        <v>2.5863820937027286</v>
      </c>
      <c r="AJ10" s="357">
        <f t="shared" si="12"/>
        <v>9.4588856073684884</v>
      </c>
      <c r="AK10" s="159">
        <f t="shared" si="13"/>
        <v>11.320795716478186</v>
      </c>
      <c r="AL10" s="159">
        <f t="shared" si="14"/>
        <v>10.630137091865457</v>
      </c>
      <c r="AM10" s="159">
        <f t="shared" si="15"/>
        <v>3.3538955381471727</v>
      </c>
      <c r="AN10" s="159">
        <f t="shared" si="16"/>
        <v>2.1782435627927286</v>
      </c>
      <c r="AO10" s="159">
        <f t="shared" si="17"/>
        <v>4.0538658401181831</v>
      </c>
      <c r="AP10" s="159">
        <f t="shared" si="18"/>
        <v>8.9185048482600013</v>
      </c>
      <c r="AQ10" s="159">
        <f t="shared" si="64"/>
        <v>2.0269329200590915</v>
      </c>
      <c r="AR10" s="159">
        <f t="shared" si="19"/>
        <v>14.62002812248728</v>
      </c>
      <c r="AS10" s="159">
        <f t="shared" si="20"/>
        <v>1.8022168859828289</v>
      </c>
      <c r="AT10" s="159">
        <f t="shared" si="21"/>
        <v>3.5186995968689914</v>
      </c>
      <c r="AU10" s="159">
        <f t="shared" si="65"/>
        <v>0.90110844299141446</v>
      </c>
      <c r="AV10" s="159">
        <f t="shared" si="22"/>
        <v>2.8377060880827281</v>
      </c>
      <c r="AW10" s="159">
        <f t="shared" si="23"/>
        <v>6.0057271705454562</v>
      </c>
      <c r="AX10" s="159">
        <f t="shared" si="66"/>
        <v>1.418853044041364</v>
      </c>
      <c r="AY10" s="159">
        <f t="shared" si="24"/>
        <v>15.487317926363644</v>
      </c>
      <c r="AZ10" s="159">
        <f t="shared" si="25"/>
        <v>3.5073913242588901</v>
      </c>
      <c r="BA10" s="159">
        <f t="shared" si="26"/>
        <v>6.9792269552041448</v>
      </c>
      <c r="BB10" s="159">
        <f t="shared" si="67"/>
        <v>1.7536956621294451</v>
      </c>
      <c r="BC10" s="159">
        <f t="shared" si="27"/>
        <v>4.369166516571819</v>
      </c>
      <c r="BD10" s="159">
        <f t="shared" si="28"/>
        <v>5.2249826383745468</v>
      </c>
      <c r="BE10" s="159">
        <f t="shared" si="29"/>
        <v>13.644327093126371</v>
      </c>
      <c r="BF10" s="159">
        <f t="shared" si="30"/>
        <v>13.600584192092832</v>
      </c>
      <c r="BG10" s="159">
        <f t="shared" si="31"/>
        <v>3.3410328424758595</v>
      </c>
      <c r="BH10" s="159">
        <f t="shared" si="32"/>
        <v>7.281944194286365</v>
      </c>
      <c r="BI10" s="159">
        <f t="shared" si="33"/>
        <v>3.9637799325600014</v>
      </c>
      <c r="BJ10" s="159">
        <f t="shared" si="34"/>
        <v>5.9006681299445489</v>
      </c>
      <c r="BK10" s="159">
        <f t="shared" si="35"/>
        <v>13.612746089864046</v>
      </c>
      <c r="BL10" s="159">
        <f t="shared" si="36"/>
        <v>0.72088675439313155</v>
      </c>
      <c r="BM10" s="159">
        <f t="shared" si="37"/>
        <v>2.7025772267454551</v>
      </c>
      <c r="BN10" s="159">
        <f t="shared" si="38"/>
        <v>1.0209736189927276</v>
      </c>
      <c r="BO10" s="159">
        <f t="shared" si="39"/>
        <v>4.7236319675409115</v>
      </c>
      <c r="BP10" s="159">
        <f t="shared" si="40"/>
        <v>20.051417297748088</v>
      </c>
      <c r="BQ10" s="159">
        <f t="shared" si="41"/>
        <v>1.8715329200590918</v>
      </c>
      <c r="BR10" s="159">
        <f t="shared" si="42"/>
        <v>4.2640662910872731</v>
      </c>
      <c r="BS10" s="159">
        <f t="shared" si="43"/>
        <v>3.6634935740327279</v>
      </c>
      <c r="BT10" s="159">
        <f t="shared" si="44"/>
        <v>7.0467296564954589</v>
      </c>
      <c r="BU10" s="159">
        <f t="shared" si="45"/>
        <v>17.281393151299806</v>
      </c>
      <c r="BV10" s="159">
        <f t="shared" si="46"/>
        <v>1.6774480246455561</v>
      </c>
      <c r="BW10" s="159">
        <f t="shared" si="47"/>
        <v>4.2640662910872731</v>
      </c>
      <c r="BX10" s="159">
        <f t="shared" si="48"/>
        <v>3.6634935740327279</v>
      </c>
      <c r="BY10" s="159">
        <f t="shared" si="49"/>
        <v>9.77249761153546</v>
      </c>
      <c r="BZ10" s="159">
        <f t="shared" si="50"/>
        <v>13.968350099651015</v>
      </c>
      <c r="CA10" s="159">
        <f t="shared" si="51"/>
        <v>2.0517546086573746</v>
      </c>
      <c r="CB10" s="159">
        <f t="shared" si="52"/>
        <v>6.2878510781036399</v>
      </c>
      <c r="CC10" s="159">
        <f t="shared" si="53"/>
        <v>7.1441107507465684</v>
      </c>
      <c r="CD10" s="159">
        <f t="shared" si="54"/>
        <v>13.779350873974348</v>
      </c>
      <c r="CE10" s="159">
        <f t="shared" si="68"/>
        <v>7.1441107507465684</v>
      </c>
      <c r="CF10" s="159">
        <f t="shared" si="55"/>
        <v>8.181734512568994</v>
      </c>
      <c r="CG10" s="159">
        <f t="shared" si="56"/>
        <v>15.838730130080712</v>
      </c>
      <c r="CH10" s="159">
        <f t="shared" si="69"/>
        <v>8.181734512568994</v>
      </c>
      <c r="CI10" s="159">
        <f t="shared" si="70"/>
        <v>3.8718294815909111</v>
      </c>
    </row>
    <row r="11" spans="1:87" x14ac:dyDescent="0.25">
      <c r="A11" t="str">
        <f>PLANTILLA!D13</f>
        <v>K. Helms</v>
      </c>
      <c r="B11" t="s">
        <v>855</v>
      </c>
      <c r="C11" s="633">
        <f>PLANTILLA!E13</f>
        <v>30</v>
      </c>
      <c r="D11" s="633">
        <f ca="1">PLANTILLA!F13</f>
        <v>59</v>
      </c>
      <c r="E11" s="633" t="str">
        <f>PLANTILLA!G13</f>
        <v>TEC</v>
      </c>
      <c r="F11" s="290">
        <v>41722</v>
      </c>
      <c r="G11" s="497">
        <v>1.5</v>
      </c>
      <c r="H11" s="498">
        <f>PLANTILLA!I13</f>
        <v>10.3</v>
      </c>
      <c r="I11" s="341"/>
      <c r="J11" s="163">
        <f>PLANTILLA!X13</f>
        <v>0</v>
      </c>
      <c r="K11" s="163">
        <f>PLANTILLA!Y13</f>
        <v>7.2503030303030309</v>
      </c>
      <c r="L11" s="163">
        <f>PLANTILLA!Z13</f>
        <v>10.500000000000004</v>
      </c>
      <c r="M11" s="163">
        <f>PLANTILLA!AA13</f>
        <v>13.388333333333334</v>
      </c>
      <c r="N11" s="163">
        <f>PLANTILLA!AB13</f>
        <v>10.359999999999998</v>
      </c>
      <c r="O11" s="163">
        <f>PLANTILLA!AC13</f>
        <v>5.4050000000000002</v>
      </c>
      <c r="P11" s="163">
        <f>PLANTILLA!AD13</f>
        <v>17.300000000000004</v>
      </c>
      <c r="Q11" s="163">
        <f t="shared" si="57"/>
        <v>3.8712878787878782</v>
      </c>
      <c r="R11" s="163">
        <f t="shared" si="58"/>
        <v>17.186793688797913</v>
      </c>
      <c r="S11" s="163">
        <f t="shared" si="59"/>
        <v>0.78925000000000023</v>
      </c>
      <c r="T11" s="163">
        <f t="shared" si="60"/>
        <v>0.80901212121212152</v>
      </c>
      <c r="U11" s="163">
        <f t="shared" ca="1" si="0"/>
        <v>19.650449632940234</v>
      </c>
      <c r="V11" s="159">
        <f t="shared" si="1"/>
        <v>4.4895261659204566</v>
      </c>
      <c r="W11" s="159">
        <f t="shared" si="2"/>
        <v>6.7613092640046233</v>
      </c>
      <c r="X11" s="159">
        <f t="shared" si="61"/>
        <v>4.4895261659204566</v>
      </c>
      <c r="Y11" s="159">
        <f t="shared" si="3"/>
        <v>5.2119883742335222</v>
      </c>
      <c r="Z11" s="159">
        <f t="shared" si="4"/>
        <v>10.100752663243259</v>
      </c>
      <c r="AA11" s="159">
        <f t="shared" si="62"/>
        <v>2.6059941871167611</v>
      </c>
      <c r="AB11" s="159">
        <f t="shared" si="5"/>
        <v>3.1774070126397751</v>
      </c>
      <c r="AC11" s="159">
        <f t="shared" si="6"/>
        <v>3.8180845067059521</v>
      </c>
      <c r="AD11" s="159">
        <f t="shared" si="7"/>
        <v>7.3028441755248759</v>
      </c>
      <c r="AE11" s="159">
        <f t="shared" si="63"/>
        <v>1.9090422533529761</v>
      </c>
      <c r="AF11" s="159">
        <f t="shared" si="8"/>
        <v>5.1399231086819901</v>
      </c>
      <c r="AG11" s="357">
        <f t="shared" si="9"/>
        <v>9.2926924501837984</v>
      </c>
      <c r="AH11" s="159">
        <f t="shared" si="10"/>
        <v>4.181711602582709</v>
      </c>
      <c r="AI11" s="159">
        <f t="shared" si="11"/>
        <v>2.2295250887010192</v>
      </c>
      <c r="AJ11" s="357">
        <f t="shared" si="12"/>
        <v>9.5484043841688564</v>
      </c>
      <c r="AK11" s="159">
        <f t="shared" si="13"/>
        <v>7.6159675080854177</v>
      </c>
      <c r="AL11" s="159">
        <f t="shared" si="14"/>
        <v>7.1513328855762275</v>
      </c>
      <c r="AM11" s="159">
        <f t="shared" si="15"/>
        <v>3.3651250887010193</v>
      </c>
      <c r="AN11" s="159">
        <f t="shared" si="16"/>
        <v>1.9358604033776949</v>
      </c>
      <c r="AO11" s="159">
        <f t="shared" si="17"/>
        <v>2.7272032190756801</v>
      </c>
      <c r="AP11" s="159">
        <f t="shared" si="18"/>
        <v>5.9998470819664957</v>
      </c>
      <c r="AQ11" s="159">
        <f t="shared" si="64"/>
        <v>1.36360160953784</v>
      </c>
      <c r="AR11" s="159">
        <f t="shared" si="19"/>
        <v>12.602824453495579</v>
      </c>
      <c r="AS11" s="159">
        <f t="shared" si="20"/>
        <v>1.7173584522822296</v>
      </c>
      <c r="AT11" s="159">
        <f t="shared" si="21"/>
        <v>3.013446742451487</v>
      </c>
      <c r="AU11" s="159">
        <f t="shared" si="65"/>
        <v>0.8586792261411148</v>
      </c>
      <c r="AV11" s="159">
        <f t="shared" si="22"/>
        <v>1.9090422533529761</v>
      </c>
      <c r="AW11" s="159">
        <f t="shared" si="23"/>
        <v>4.0403010652973039</v>
      </c>
      <c r="AX11" s="159">
        <f t="shared" si="66"/>
        <v>0.95452112667648803</v>
      </c>
      <c r="AY11" s="159">
        <f t="shared" si="24"/>
        <v>13.350449632940233</v>
      </c>
      <c r="AZ11" s="159">
        <f t="shared" si="25"/>
        <v>3.3422437571338777</v>
      </c>
      <c r="BA11" s="159">
        <f t="shared" si="26"/>
        <v>6.2384077477500659</v>
      </c>
      <c r="BB11" s="159">
        <f t="shared" si="67"/>
        <v>1.6711218785669388</v>
      </c>
      <c r="BC11" s="159">
        <f t="shared" si="27"/>
        <v>2.9393190250037882</v>
      </c>
      <c r="BD11" s="159">
        <f t="shared" si="28"/>
        <v>3.515061926808654</v>
      </c>
      <c r="BE11" s="159">
        <f t="shared" si="29"/>
        <v>11.761746126620345</v>
      </c>
      <c r="BF11" s="159">
        <f t="shared" si="30"/>
        <v>13.482353057017196</v>
      </c>
      <c r="BG11" s="159">
        <f t="shared" si="31"/>
        <v>3.1837183615385944</v>
      </c>
      <c r="BH11" s="159">
        <f t="shared" si="32"/>
        <v>4.8988650416729804</v>
      </c>
      <c r="BI11" s="159">
        <f t="shared" si="33"/>
        <v>2.6665987030962204</v>
      </c>
      <c r="BJ11" s="159">
        <f t="shared" si="34"/>
        <v>5.0865213101502285</v>
      </c>
      <c r="BK11" s="159">
        <f t="shared" si="35"/>
        <v>13.584001312523096</v>
      </c>
      <c r="BL11" s="159">
        <f t="shared" si="36"/>
        <v>0.68694338091289175</v>
      </c>
      <c r="BM11" s="159">
        <f t="shared" si="37"/>
        <v>1.8181354793837867</v>
      </c>
      <c r="BN11" s="159">
        <f t="shared" si="38"/>
        <v>0.68685118110054166</v>
      </c>
      <c r="BO11" s="159">
        <f t="shared" si="39"/>
        <v>4.0718871380467707</v>
      </c>
      <c r="BP11" s="159">
        <f t="shared" si="40"/>
        <v>20.016971561294469</v>
      </c>
      <c r="BQ11" s="159">
        <f t="shared" si="41"/>
        <v>1.7834107004469308</v>
      </c>
      <c r="BR11" s="159">
        <f t="shared" si="42"/>
        <v>2.8686137563610856</v>
      </c>
      <c r="BS11" s="159">
        <f t="shared" si="43"/>
        <v>2.4645836498313551</v>
      </c>
      <c r="BT11" s="159">
        <f t="shared" si="44"/>
        <v>6.0744545829878058</v>
      </c>
      <c r="BU11" s="159">
        <f t="shared" si="45"/>
        <v>17.253658193297774</v>
      </c>
      <c r="BV11" s="159">
        <f t="shared" si="46"/>
        <v>1.5984644055857675</v>
      </c>
      <c r="BW11" s="159">
        <f t="shared" si="47"/>
        <v>2.8686137563610856</v>
      </c>
      <c r="BX11" s="159">
        <f t="shared" si="48"/>
        <v>2.4645836498313551</v>
      </c>
      <c r="BY11" s="159">
        <f t="shared" si="49"/>
        <v>8.4241337183852867</v>
      </c>
      <c r="BZ11" s="159">
        <f t="shared" si="50"/>
        <v>13.949242421481506</v>
      </c>
      <c r="CA11" s="159">
        <f t="shared" si="51"/>
        <v>1.9551465456751536</v>
      </c>
      <c r="CB11" s="159">
        <f t="shared" si="52"/>
        <v>5.4202825509737353</v>
      </c>
      <c r="CC11" s="159">
        <f t="shared" si="53"/>
        <v>7.7644452293970767</v>
      </c>
      <c r="CD11" s="159">
        <f t="shared" si="54"/>
        <v>11.986201286690697</v>
      </c>
      <c r="CE11" s="159">
        <f t="shared" si="68"/>
        <v>7.7644452293970767</v>
      </c>
      <c r="CF11" s="159">
        <f t="shared" si="55"/>
        <v>7.4810717879884301</v>
      </c>
      <c r="CG11" s="159">
        <f t="shared" si="56"/>
        <v>13.130105547495173</v>
      </c>
      <c r="CH11" s="159">
        <f t="shared" si="69"/>
        <v>7.4810717879884301</v>
      </c>
      <c r="CI11" s="159">
        <f t="shared" si="70"/>
        <v>3.3376124082350582</v>
      </c>
    </row>
    <row r="12" spans="1:87" x14ac:dyDescent="0.25">
      <c r="A12" t="str">
        <f>PLANTILLA!D14</f>
        <v>S. Zobbe</v>
      </c>
      <c r="B12" t="s">
        <v>855</v>
      </c>
      <c r="C12" s="633">
        <f>PLANTILLA!E14</f>
        <v>27</v>
      </c>
      <c r="D12" s="633">
        <f ca="1">PLANTILLA!F14</f>
        <v>74</v>
      </c>
      <c r="E12" s="633" t="str">
        <f>PLANTILLA!G14</f>
        <v>CAB</v>
      </c>
      <c r="F12" s="290">
        <v>41911</v>
      </c>
      <c r="G12" s="497">
        <v>1.5</v>
      </c>
      <c r="H12" s="498">
        <f>PLANTILLA!I14</f>
        <v>8.6999999999999993</v>
      </c>
      <c r="I12" s="341"/>
      <c r="J12" s="163">
        <f>PLANTILLA!X14</f>
        <v>0</v>
      </c>
      <c r="K12" s="163">
        <f>PLANTILLA!Y14</f>
        <v>8.3599999999999977</v>
      </c>
      <c r="L12" s="163">
        <f>PLANTILLA!Z14</f>
        <v>12.158412698412699</v>
      </c>
      <c r="M12" s="163">
        <f>PLANTILLA!AA14</f>
        <v>12.25</v>
      </c>
      <c r="N12" s="163">
        <f>PLANTILLA!AB14</f>
        <v>10.24</v>
      </c>
      <c r="O12" s="163">
        <f>PLANTILLA!AC14</f>
        <v>7.4766666666666666</v>
      </c>
      <c r="P12" s="163">
        <f>PLANTILLA!AD14</f>
        <v>15.270000000000001</v>
      </c>
      <c r="Q12" s="163">
        <f t="shared" si="57"/>
        <v>3.9799999999999995</v>
      </c>
      <c r="R12" s="163">
        <f t="shared" si="58"/>
        <v>19.293216731049526</v>
      </c>
      <c r="S12" s="163">
        <f t="shared" si="59"/>
        <v>0.8319333333333333</v>
      </c>
      <c r="T12" s="163">
        <f t="shared" si="60"/>
        <v>0.79249999999999998</v>
      </c>
      <c r="U12" s="163">
        <f t="shared" ca="1" si="0"/>
        <v>17.522692336824829</v>
      </c>
      <c r="V12" s="159">
        <f t="shared" si="1"/>
        <v>4.7104604100480714</v>
      </c>
      <c r="W12" s="159">
        <f t="shared" si="2"/>
        <v>7.1067258068408474</v>
      </c>
      <c r="X12" s="159">
        <f t="shared" si="61"/>
        <v>4.7104604100480714</v>
      </c>
      <c r="Y12" s="159">
        <f t="shared" si="3"/>
        <v>5.7341492458016079</v>
      </c>
      <c r="Z12" s="159">
        <f t="shared" si="4"/>
        <v>11.112692336824821</v>
      </c>
      <c r="AA12" s="159">
        <f t="shared" si="62"/>
        <v>2.8670746229008039</v>
      </c>
      <c r="AB12" s="159">
        <f t="shared" si="5"/>
        <v>3.5488429983865299</v>
      </c>
      <c r="AC12" s="159">
        <f t="shared" si="6"/>
        <v>4.2005977033197821</v>
      </c>
      <c r="AD12" s="159">
        <f t="shared" si="7"/>
        <v>8.0344765595243448</v>
      </c>
      <c r="AE12" s="159">
        <f t="shared" si="63"/>
        <v>2.1002988516598911</v>
      </c>
      <c r="AF12" s="159">
        <f t="shared" si="8"/>
        <v>5.7407754385664465</v>
      </c>
      <c r="AG12" s="357">
        <f t="shared" si="9"/>
        <v>10.223676949878836</v>
      </c>
      <c r="AH12" s="159">
        <f t="shared" si="10"/>
        <v>4.6006546274454756</v>
      </c>
      <c r="AI12" s="159">
        <f t="shared" si="11"/>
        <v>2.4901545408846664</v>
      </c>
      <c r="AJ12" s="357">
        <f t="shared" si="12"/>
        <v>8.8215830940529969</v>
      </c>
      <c r="AK12" s="159">
        <f t="shared" si="13"/>
        <v>8.378970021965916</v>
      </c>
      <c r="AL12" s="159">
        <f t="shared" si="14"/>
        <v>7.8677861744719735</v>
      </c>
      <c r="AM12" s="159">
        <f t="shared" si="15"/>
        <v>3.0097896202497467</v>
      </c>
      <c r="AN12" s="159">
        <f t="shared" si="16"/>
        <v>1.9390153930055491</v>
      </c>
      <c r="AO12" s="159">
        <f t="shared" si="17"/>
        <v>3.0004269309427021</v>
      </c>
      <c r="AP12" s="159">
        <f t="shared" si="18"/>
        <v>6.6009392480739439</v>
      </c>
      <c r="AQ12" s="159">
        <f t="shared" si="64"/>
        <v>1.500213465471351</v>
      </c>
      <c r="AR12" s="159">
        <f t="shared" si="19"/>
        <v>14.07608315326422</v>
      </c>
      <c r="AS12" s="159">
        <f t="shared" si="20"/>
        <v>1.6890500037872271</v>
      </c>
      <c r="AT12" s="159">
        <f t="shared" si="21"/>
        <v>3.3288021880230065</v>
      </c>
      <c r="AU12" s="159">
        <f t="shared" si="65"/>
        <v>0.84452500189361357</v>
      </c>
      <c r="AV12" s="159">
        <f t="shared" si="22"/>
        <v>2.1002988516598911</v>
      </c>
      <c r="AW12" s="159">
        <f t="shared" si="23"/>
        <v>4.4450769347299284</v>
      </c>
      <c r="AX12" s="159">
        <f t="shared" si="66"/>
        <v>1.0501494258299455</v>
      </c>
      <c r="AY12" s="159">
        <f t="shared" si="24"/>
        <v>14.911105035237522</v>
      </c>
      <c r="AZ12" s="159">
        <f t="shared" si="25"/>
        <v>3.2871511612166806</v>
      </c>
      <c r="BA12" s="159">
        <f t="shared" si="26"/>
        <v>6.5786734775904785</v>
      </c>
      <c r="BB12" s="159">
        <f t="shared" si="67"/>
        <v>1.6435755806083403</v>
      </c>
      <c r="BC12" s="159">
        <f t="shared" si="27"/>
        <v>3.2337934700160229</v>
      </c>
      <c r="BD12" s="159">
        <f t="shared" si="28"/>
        <v>3.8672169332150377</v>
      </c>
      <c r="BE12" s="159">
        <f t="shared" si="29"/>
        <v>13.136683536044258</v>
      </c>
      <c r="BF12" s="159">
        <f t="shared" si="30"/>
        <v>12.704243487437269</v>
      </c>
      <c r="BG12" s="159">
        <f t="shared" si="31"/>
        <v>3.1312388531747826</v>
      </c>
      <c r="BH12" s="159">
        <f t="shared" si="32"/>
        <v>5.3896557833600385</v>
      </c>
      <c r="BI12" s="159">
        <f t="shared" si="33"/>
        <v>2.933750776921753</v>
      </c>
      <c r="BJ12" s="159">
        <f t="shared" si="34"/>
        <v>5.6811310184254964</v>
      </c>
      <c r="BK12" s="159">
        <f t="shared" si="35"/>
        <v>12.708343102384898</v>
      </c>
      <c r="BL12" s="159">
        <f t="shared" si="36"/>
        <v>0.67562000151489077</v>
      </c>
      <c r="BM12" s="159">
        <f t="shared" si="37"/>
        <v>2.0002846206284679</v>
      </c>
      <c r="BN12" s="159">
        <f t="shared" si="38"/>
        <v>0.7556630789040879</v>
      </c>
      <c r="BO12" s="159">
        <f t="shared" si="39"/>
        <v>4.5478870357474444</v>
      </c>
      <c r="BP12" s="159">
        <f t="shared" si="40"/>
        <v>18.718602345156725</v>
      </c>
      <c r="BQ12" s="159">
        <f t="shared" si="41"/>
        <v>1.7540134654713513</v>
      </c>
      <c r="BR12" s="159">
        <f t="shared" si="42"/>
        <v>3.1560046236582489</v>
      </c>
      <c r="BS12" s="159">
        <f t="shared" si="43"/>
        <v>2.7114969301852563</v>
      </c>
      <c r="BT12" s="159">
        <f t="shared" si="44"/>
        <v>6.7845527910330725</v>
      </c>
      <c r="BU12" s="159">
        <f t="shared" si="45"/>
        <v>16.132543109201908</v>
      </c>
      <c r="BV12" s="159">
        <f t="shared" si="46"/>
        <v>1.5721157727558037</v>
      </c>
      <c r="BW12" s="159">
        <f t="shared" si="47"/>
        <v>3.1560046236582489</v>
      </c>
      <c r="BX12" s="159">
        <f t="shared" si="48"/>
        <v>2.7114969301852563</v>
      </c>
      <c r="BY12" s="159">
        <f t="shared" si="49"/>
        <v>9.4089072772348761</v>
      </c>
      <c r="BZ12" s="159">
        <f t="shared" si="50"/>
        <v>13.039479641458218</v>
      </c>
      <c r="CA12" s="159">
        <f t="shared" si="51"/>
        <v>1.9229184658500738</v>
      </c>
      <c r="CB12" s="159">
        <f t="shared" si="52"/>
        <v>6.0539086443064347</v>
      </c>
      <c r="CC12" s="159">
        <f t="shared" si="53"/>
        <v>6.7076893741524</v>
      </c>
      <c r="CD12" s="159">
        <f t="shared" si="54"/>
        <v>13.018748237931419</v>
      </c>
      <c r="CE12" s="159">
        <f t="shared" si="68"/>
        <v>6.7076893741524</v>
      </c>
      <c r="CF12" s="159">
        <f t="shared" si="55"/>
        <v>7.6901906591751992</v>
      </c>
      <c r="CG12" s="159">
        <f t="shared" si="56"/>
        <v>15.023662475779851</v>
      </c>
      <c r="CH12" s="159">
        <f t="shared" si="69"/>
        <v>7.6901906591751992</v>
      </c>
      <c r="CI12" s="159">
        <f t="shared" si="70"/>
        <v>3.7277762588093806</v>
      </c>
    </row>
    <row r="13" spans="1:87" x14ac:dyDescent="0.25">
      <c r="A13" t="str">
        <f>PLANTILLA!D15</f>
        <v>S. Buschelman</v>
      </c>
      <c r="B13" t="s">
        <v>855</v>
      </c>
      <c r="C13" s="633">
        <f>PLANTILLA!E15</f>
        <v>29</v>
      </c>
      <c r="D13" s="633">
        <f ca="1">PLANTILLA!F15</f>
        <v>71</v>
      </c>
      <c r="E13" s="633" t="str">
        <f>PLANTILLA!G15</f>
        <v>TEC</v>
      </c>
      <c r="F13" s="290">
        <v>41747</v>
      </c>
      <c r="G13" s="497">
        <v>1.5</v>
      </c>
      <c r="H13" s="498">
        <f>PLANTILLA!I15</f>
        <v>10.4</v>
      </c>
      <c r="I13" s="341"/>
      <c r="J13" s="163">
        <f>PLANTILLA!X15</f>
        <v>0</v>
      </c>
      <c r="K13" s="163">
        <f>PLANTILLA!Y15</f>
        <v>9.3036666666666648</v>
      </c>
      <c r="L13" s="163">
        <f>PLANTILLA!Z15</f>
        <v>13.759999999999998</v>
      </c>
      <c r="M13" s="163">
        <f>PLANTILLA!AA15</f>
        <v>12.835000000000001</v>
      </c>
      <c r="N13" s="163">
        <f>PLANTILLA!AB15</f>
        <v>9.6733333333333356</v>
      </c>
      <c r="O13" s="163">
        <f>PLANTILLA!AC15</f>
        <v>5.0296666666666656</v>
      </c>
      <c r="P13" s="163">
        <f>PLANTILLA!AD15</f>
        <v>15.2</v>
      </c>
      <c r="Q13" s="163">
        <f t="shared" si="57"/>
        <v>3.956291666666667</v>
      </c>
      <c r="R13" s="163">
        <f t="shared" si="58"/>
        <v>15.421104906467074</v>
      </c>
      <c r="S13" s="163">
        <f t="shared" si="59"/>
        <v>0.70748333333333324</v>
      </c>
      <c r="T13" s="163">
        <f t="shared" si="60"/>
        <v>0.8281466666666667</v>
      </c>
      <c r="U13" s="163">
        <f t="shared" ca="1" si="0"/>
        <v>17.556044452398375</v>
      </c>
      <c r="V13" s="159">
        <f t="shared" si="1"/>
        <v>5.0611388069437799</v>
      </c>
      <c r="W13" s="159">
        <f t="shared" si="2"/>
        <v>7.6412117213796327</v>
      </c>
      <c r="X13" s="159">
        <f t="shared" si="61"/>
        <v>5.0611388069437799</v>
      </c>
      <c r="Y13" s="159">
        <f t="shared" si="3"/>
        <v>6.2744109374375601</v>
      </c>
      <c r="Z13" s="159">
        <f t="shared" si="4"/>
        <v>12.159711119065038</v>
      </c>
      <c r="AA13" s="159">
        <f t="shared" si="62"/>
        <v>3.13720546871878</v>
      </c>
      <c r="AB13" s="159">
        <f t="shared" si="5"/>
        <v>3.9546185796708118</v>
      </c>
      <c r="AC13" s="159">
        <f t="shared" si="6"/>
        <v>4.5963708030065842</v>
      </c>
      <c r="AD13" s="159">
        <f t="shared" si="7"/>
        <v>8.7914711390840221</v>
      </c>
      <c r="AE13" s="159">
        <f t="shared" si="63"/>
        <v>2.2981854015032921</v>
      </c>
      <c r="AF13" s="159">
        <f t="shared" si="8"/>
        <v>6.3971771141733722</v>
      </c>
      <c r="AG13" s="357">
        <f t="shared" si="9"/>
        <v>11.186934229539835</v>
      </c>
      <c r="AH13" s="159">
        <f t="shared" si="10"/>
        <v>5.0341204032929259</v>
      </c>
      <c r="AI13" s="159">
        <f t="shared" si="11"/>
        <v>2.7748794235505279</v>
      </c>
      <c r="AJ13" s="357">
        <f t="shared" si="12"/>
        <v>9.2263341380102428</v>
      </c>
      <c r="AK13" s="159">
        <f t="shared" si="13"/>
        <v>9.1684221837750393</v>
      </c>
      <c r="AL13" s="159">
        <f t="shared" si="14"/>
        <v>8.6090754722980467</v>
      </c>
      <c r="AM13" s="159">
        <f t="shared" si="15"/>
        <v>3.0153594235505286</v>
      </c>
      <c r="AN13" s="159">
        <f t="shared" si="16"/>
        <v>1.9619528022907315</v>
      </c>
      <c r="AO13" s="159">
        <f t="shared" si="17"/>
        <v>3.2831220021475604</v>
      </c>
      <c r="AP13" s="159">
        <f t="shared" si="18"/>
        <v>7.2228684047246325</v>
      </c>
      <c r="AQ13" s="159">
        <f t="shared" si="64"/>
        <v>1.6415610010737802</v>
      </c>
      <c r="AR13" s="159">
        <f t="shared" si="19"/>
        <v>15.68554596306406</v>
      </c>
      <c r="AS13" s="159">
        <f t="shared" si="20"/>
        <v>1.6288191121451223</v>
      </c>
      <c r="AT13" s="159">
        <f t="shared" si="21"/>
        <v>2.8677533578860568</v>
      </c>
      <c r="AU13" s="159">
        <f t="shared" si="65"/>
        <v>0.81440955607256116</v>
      </c>
      <c r="AV13" s="159">
        <f t="shared" si="22"/>
        <v>2.2981854015032921</v>
      </c>
      <c r="AW13" s="159">
        <f t="shared" si="23"/>
        <v>4.8638844476260159</v>
      </c>
      <c r="AX13" s="159">
        <f t="shared" si="66"/>
        <v>1.149092700751646</v>
      </c>
      <c r="AY13" s="159">
        <f t="shared" si="24"/>
        <v>16.61604445239837</v>
      </c>
      <c r="AZ13" s="159">
        <f t="shared" si="25"/>
        <v>3.1699325797901223</v>
      </c>
      <c r="BA13" s="159">
        <f t="shared" si="26"/>
        <v>5.9285171599381714</v>
      </c>
      <c r="BB13" s="159">
        <f t="shared" si="67"/>
        <v>1.5849662898950612</v>
      </c>
      <c r="BC13" s="159">
        <f t="shared" si="27"/>
        <v>3.5384759356479258</v>
      </c>
      <c r="BD13" s="159">
        <f t="shared" si="28"/>
        <v>4.2315794694346334</v>
      </c>
      <c r="BE13" s="159">
        <f t="shared" si="29"/>
        <v>14.638735162562964</v>
      </c>
      <c r="BF13" s="159">
        <f t="shared" si="30"/>
        <v>12.953413518182156</v>
      </c>
      <c r="BG13" s="159">
        <f t="shared" si="31"/>
        <v>3.0195800463613418</v>
      </c>
      <c r="BH13" s="159">
        <f t="shared" si="32"/>
        <v>5.8974598927465438</v>
      </c>
      <c r="BI13" s="159">
        <f t="shared" si="33"/>
        <v>3.2101637354331705</v>
      </c>
      <c r="BJ13" s="159">
        <f t="shared" si="34"/>
        <v>6.3307129363637786</v>
      </c>
      <c r="BK13" s="159">
        <f t="shared" si="35"/>
        <v>13.07847785139618</v>
      </c>
      <c r="BL13" s="159">
        <f t="shared" si="36"/>
        <v>0.65152764485804882</v>
      </c>
      <c r="BM13" s="159">
        <f t="shared" si="37"/>
        <v>2.1887480014317067</v>
      </c>
      <c r="BN13" s="159">
        <f t="shared" si="38"/>
        <v>0.82686035609642272</v>
      </c>
      <c r="BO13" s="159">
        <f t="shared" si="39"/>
        <v>5.0678935579815025</v>
      </c>
      <c r="BP13" s="159">
        <f t="shared" si="40"/>
        <v>19.274446499117644</v>
      </c>
      <c r="BQ13" s="159">
        <f t="shared" si="41"/>
        <v>1.6914660010737808</v>
      </c>
      <c r="BR13" s="159">
        <f t="shared" si="42"/>
        <v>3.4533579578144704</v>
      </c>
      <c r="BS13" s="159">
        <f t="shared" si="43"/>
        <v>2.9669695130518692</v>
      </c>
      <c r="BT13" s="159">
        <f t="shared" si="44"/>
        <v>7.5603002258412584</v>
      </c>
      <c r="BU13" s="159">
        <f t="shared" si="45"/>
        <v>16.614230586590732</v>
      </c>
      <c r="BV13" s="159">
        <f t="shared" si="46"/>
        <v>1.5160547120735368</v>
      </c>
      <c r="BW13" s="159">
        <f t="shared" si="47"/>
        <v>3.4533579578144704</v>
      </c>
      <c r="BX13" s="159">
        <f t="shared" si="48"/>
        <v>2.9669695130518692</v>
      </c>
      <c r="BY13" s="159">
        <f t="shared" si="49"/>
        <v>10.484724049463372</v>
      </c>
      <c r="BZ13" s="159">
        <f t="shared" si="50"/>
        <v>13.433283118229879</v>
      </c>
      <c r="CA13" s="159">
        <f t="shared" si="51"/>
        <v>1.8543479122882929</v>
      </c>
      <c r="CB13" s="159">
        <f t="shared" si="52"/>
        <v>6.7461140476737382</v>
      </c>
      <c r="CC13" s="159">
        <f t="shared" si="53"/>
        <v>7.4146603825580897</v>
      </c>
      <c r="CD13" s="159">
        <f t="shared" si="54"/>
        <v>11.400821720067237</v>
      </c>
      <c r="CE13" s="159">
        <f t="shared" si="68"/>
        <v>7.4146603825580897</v>
      </c>
      <c r="CF13" s="159">
        <f t="shared" si="55"/>
        <v>7.1671773605108537</v>
      </c>
      <c r="CG13" s="159">
        <f t="shared" si="56"/>
        <v>12.509051522000039</v>
      </c>
      <c r="CH13" s="159">
        <f t="shared" si="69"/>
        <v>7.1671773605108537</v>
      </c>
      <c r="CI13" s="159">
        <f t="shared" si="70"/>
        <v>4.1540111130995925</v>
      </c>
    </row>
    <row r="14" spans="1:87" x14ac:dyDescent="0.25">
      <c r="A14" t="str">
        <f>PLANTILLA!D16</f>
        <v>C. Rojas</v>
      </c>
      <c r="B14" t="s">
        <v>855</v>
      </c>
      <c r="C14" s="633">
        <f>PLANTILLA!E16</f>
        <v>31</v>
      </c>
      <c r="D14" s="633">
        <f ca="1">PLANTILLA!F16</f>
        <v>105</v>
      </c>
      <c r="E14" s="633" t="str">
        <f>PLANTILLA!G16</f>
        <v>TEC</v>
      </c>
      <c r="F14" s="290">
        <v>41653</v>
      </c>
      <c r="G14" s="497">
        <v>1.5</v>
      </c>
      <c r="H14" s="498">
        <f>PLANTILLA!I16</f>
        <v>11</v>
      </c>
      <c r="I14" s="341"/>
      <c r="J14" s="163">
        <f>PLANTILLA!X16</f>
        <v>0</v>
      </c>
      <c r="K14" s="163">
        <f>PLANTILLA!Y16</f>
        <v>8.6275555555555581</v>
      </c>
      <c r="L14" s="163">
        <f>PLANTILLA!Z16</f>
        <v>14.238017460317453</v>
      </c>
      <c r="M14" s="163">
        <f>PLANTILLA!AA16</f>
        <v>9.99</v>
      </c>
      <c r="N14" s="163">
        <f>PLANTILLA!AB16</f>
        <v>10.09</v>
      </c>
      <c r="O14" s="163">
        <f>PLANTILLA!AC16</f>
        <v>4.3999999999999995</v>
      </c>
      <c r="P14" s="163">
        <f>PLANTILLA!AD16</f>
        <v>16.544444444444441</v>
      </c>
      <c r="Q14" s="163">
        <f t="shared" si="57"/>
        <v>3.9759444444444449</v>
      </c>
      <c r="R14" s="163">
        <f t="shared" si="58"/>
        <v>15.187081556710682</v>
      </c>
      <c r="S14" s="163">
        <f t="shared" si="59"/>
        <v>0.71633333333333327</v>
      </c>
      <c r="T14" s="163">
        <f t="shared" si="60"/>
        <v>0.8414355555555556</v>
      </c>
      <c r="U14" s="163">
        <f t="shared" ca="1" si="0"/>
        <v>18.932968024655409</v>
      </c>
      <c r="V14" s="159">
        <f t="shared" si="1"/>
        <v>4.9028864188575083</v>
      </c>
      <c r="W14" s="159">
        <f t="shared" si="2"/>
        <v>7.3957950531634697</v>
      </c>
      <c r="X14" s="159">
        <f t="shared" si="61"/>
        <v>4.9028864188575083</v>
      </c>
      <c r="Y14" s="159">
        <f t="shared" si="3"/>
        <v>5.9422968340555267</v>
      </c>
      <c r="Z14" s="159">
        <f t="shared" si="4"/>
        <v>11.516079135766525</v>
      </c>
      <c r="AA14" s="159">
        <f t="shared" si="62"/>
        <v>2.9711484170277633</v>
      </c>
      <c r="AB14" s="159">
        <f t="shared" si="5"/>
        <v>4.0761167676457637</v>
      </c>
      <c r="AC14" s="159">
        <f t="shared" si="6"/>
        <v>4.3530779133197459</v>
      </c>
      <c r="AD14" s="159">
        <f t="shared" si="7"/>
        <v>8.3261252151591965</v>
      </c>
      <c r="AE14" s="159">
        <f t="shared" si="63"/>
        <v>2.176538956659873</v>
      </c>
      <c r="AF14" s="159">
        <f t="shared" si="8"/>
        <v>6.5937183006034417</v>
      </c>
      <c r="AG14" s="357">
        <f t="shared" si="9"/>
        <v>10.594792804905204</v>
      </c>
      <c r="AH14" s="159">
        <f t="shared" si="10"/>
        <v>4.7676567622073414</v>
      </c>
      <c r="AI14" s="159">
        <f t="shared" si="11"/>
        <v>2.8601323537682464</v>
      </c>
      <c r="AJ14" s="357">
        <f t="shared" si="12"/>
        <v>7.5725718651640479</v>
      </c>
      <c r="AK14" s="159">
        <f t="shared" si="13"/>
        <v>8.6831236683679602</v>
      </c>
      <c r="AL14" s="159">
        <f t="shared" si="14"/>
        <v>8.1533840281226997</v>
      </c>
      <c r="AM14" s="159">
        <f t="shared" si="15"/>
        <v>3.2453056601174537</v>
      </c>
      <c r="AN14" s="159">
        <f t="shared" si="16"/>
        <v>1.9769667911007585</v>
      </c>
      <c r="AO14" s="159">
        <f t="shared" si="17"/>
        <v>3.1093413666569618</v>
      </c>
      <c r="AP14" s="159">
        <f t="shared" si="18"/>
        <v>6.840551006645315</v>
      </c>
      <c r="AQ14" s="159">
        <f t="shared" si="64"/>
        <v>1.5546706833284809</v>
      </c>
      <c r="AR14" s="159">
        <f t="shared" si="19"/>
        <v>16.167454742258826</v>
      </c>
      <c r="AS14" s="159">
        <f t="shared" si="20"/>
        <v>1.6872080654274257</v>
      </c>
      <c r="AT14" s="159">
        <f t="shared" si="21"/>
        <v>2.818337409001813</v>
      </c>
      <c r="AU14" s="159">
        <f t="shared" si="65"/>
        <v>0.84360403271371287</v>
      </c>
      <c r="AV14" s="159">
        <f t="shared" si="22"/>
        <v>2.176538956659873</v>
      </c>
      <c r="AW14" s="159">
        <f t="shared" si="23"/>
        <v>4.6064316543066104</v>
      </c>
      <c r="AX14" s="159">
        <f t="shared" si="66"/>
        <v>1.0882694783299365</v>
      </c>
      <c r="AY14" s="159">
        <f t="shared" si="24"/>
        <v>17.126541040528419</v>
      </c>
      <c r="AZ14" s="159">
        <f t="shared" si="25"/>
        <v>3.2835664657933745</v>
      </c>
      <c r="BA14" s="159">
        <f t="shared" si="26"/>
        <v>5.9562664926962432</v>
      </c>
      <c r="BB14" s="159">
        <f t="shared" si="67"/>
        <v>1.6417832328966873</v>
      </c>
      <c r="BC14" s="159">
        <f t="shared" si="27"/>
        <v>3.3511790285080583</v>
      </c>
      <c r="BD14" s="159">
        <f t="shared" si="28"/>
        <v>4.0075955392467506</v>
      </c>
      <c r="BE14" s="159">
        <f t="shared" si="29"/>
        <v>15.088482656705537</v>
      </c>
      <c r="BF14" s="159">
        <f t="shared" si="30"/>
        <v>11.480507462807548</v>
      </c>
      <c r="BG14" s="159">
        <f t="shared" si="31"/>
        <v>3.1278241828308428</v>
      </c>
      <c r="BH14" s="159">
        <f t="shared" si="32"/>
        <v>5.5852983808467647</v>
      </c>
      <c r="BI14" s="159">
        <f t="shared" si="33"/>
        <v>3.0402448918423626</v>
      </c>
      <c r="BJ14" s="159">
        <f t="shared" si="34"/>
        <v>6.5252121364413282</v>
      </c>
      <c r="BK14" s="159">
        <f t="shared" si="35"/>
        <v>11.275929609104386</v>
      </c>
      <c r="BL14" s="159">
        <f t="shared" si="36"/>
        <v>0.67488322617097019</v>
      </c>
      <c r="BM14" s="159">
        <f t="shared" si="37"/>
        <v>2.0728942444379745</v>
      </c>
      <c r="BN14" s="159">
        <f t="shared" si="38"/>
        <v>0.78309338123212369</v>
      </c>
      <c r="BO14" s="159">
        <f t="shared" si="39"/>
        <v>5.223595017361168</v>
      </c>
      <c r="BP14" s="159">
        <f t="shared" si="40"/>
        <v>16.590381324151302</v>
      </c>
      <c r="BQ14" s="159">
        <f t="shared" si="41"/>
        <v>1.7521006833284807</v>
      </c>
      <c r="BR14" s="159">
        <f t="shared" si="42"/>
        <v>3.2705664745576928</v>
      </c>
      <c r="BS14" s="159">
        <f t="shared" si="43"/>
        <v>2.8099233091270319</v>
      </c>
      <c r="BT14" s="159">
        <f t="shared" si="44"/>
        <v>7.7925761734404313</v>
      </c>
      <c r="BU14" s="159">
        <f t="shared" si="45"/>
        <v>14.293804126873752</v>
      </c>
      <c r="BV14" s="159">
        <f t="shared" si="46"/>
        <v>1.570401353205527</v>
      </c>
      <c r="BW14" s="159">
        <f t="shared" si="47"/>
        <v>3.2705664745576928</v>
      </c>
      <c r="BX14" s="159">
        <f t="shared" si="48"/>
        <v>2.8099233091270319</v>
      </c>
      <c r="BY14" s="159">
        <f t="shared" si="49"/>
        <v>10.806847396573433</v>
      </c>
      <c r="BZ14" s="159">
        <f t="shared" si="50"/>
        <v>11.545578604288814</v>
      </c>
      <c r="CA14" s="159">
        <f t="shared" si="51"/>
        <v>1.920821489871223</v>
      </c>
      <c r="CB14" s="159">
        <f t="shared" si="52"/>
        <v>6.9533756624545386</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4.2816352601321048</v>
      </c>
    </row>
    <row r="15" spans="1:87" x14ac:dyDescent="0.25">
      <c r="A15" t="str">
        <f>PLANTILLA!D17</f>
        <v>E. Gross</v>
      </c>
      <c r="B15" t="s">
        <v>855</v>
      </c>
      <c r="C15" s="633">
        <f>PLANTILLA!E17</f>
        <v>30</v>
      </c>
      <c r="D15" s="633">
        <f ca="1">PLANTILLA!F17</f>
        <v>99</v>
      </c>
      <c r="E15" s="633"/>
      <c r="F15" s="290">
        <v>41552</v>
      </c>
      <c r="G15" s="497">
        <v>1.5</v>
      </c>
      <c r="H15" s="498">
        <f>PLANTILLA!I17</f>
        <v>9.1</v>
      </c>
      <c r="I15" s="341"/>
      <c r="J15" s="163">
        <f>PLANTILLA!X17</f>
        <v>0</v>
      </c>
      <c r="K15" s="163">
        <f>PLANTILLA!Y17</f>
        <v>10.549999999999995</v>
      </c>
      <c r="L15" s="163">
        <f>PLANTILLA!Z17</f>
        <v>12.869777777777777</v>
      </c>
      <c r="M15" s="163">
        <f>PLANTILLA!AA17</f>
        <v>5.1299999999999981</v>
      </c>
      <c r="N15" s="163">
        <f>PLANTILLA!AB17</f>
        <v>9.24</v>
      </c>
      <c r="O15" s="163">
        <f>PLANTILLA!AC17</f>
        <v>2.98</v>
      </c>
      <c r="P15" s="163">
        <f>PLANTILLA!AD17</f>
        <v>16.959999999999997</v>
      </c>
      <c r="Q15" s="163">
        <f t="shared" si="57"/>
        <v>4.0037499999999993</v>
      </c>
      <c r="R15" s="163">
        <f t="shared" si="58"/>
        <v>12.815775302706152</v>
      </c>
      <c r="S15" s="163">
        <f t="shared" si="59"/>
        <v>0.65779999999999994</v>
      </c>
      <c r="T15" s="163">
        <f t="shared" si="60"/>
        <v>0.93079999999999963</v>
      </c>
      <c r="U15" s="163">
        <f t="shared" ca="1" si="0"/>
        <v>19.238721856428121</v>
      </c>
      <c r="V15" s="159">
        <f t="shared" si="1"/>
        <v>5.3376241806617513</v>
      </c>
      <c r="W15" s="159">
        <f t="shared" si="2"/>
        <v>8.0710799166487064</v>
      </c>
      <c r="X15" s="159">
        <f t="shared" si="61"/>
        <v>5.3376241806617513</v>
      </c>
      <c r="Y15" s="159">
        <f t="shared" si="3"/>
        <v>6.8776204779169099</v>
      </c>
      <c r="Z15" s="159">
        <f t="shared" si="4"/>
        <v>13.328721856428119</v>
      </c>
      <c r="AA15" s="159">
        <f t="shared" si="62"/>
        <v>3.4388102389584549</v>
      </c>
      <c r="AB15" s="159">
        <f t="shared" si="5"/>
        <v>3.7243429129410042</v>
      </c>
      <c r="AC15" s="159">
        <f t="shared" si="6"/>
        <v>5.0382568617298293</v>
      </c>
      <c r="AD15" s="159">
        <f t="shared" si="7"/>
        <v>9.6366659021975298</v>
      </c>
      <c r="AE15" s="159">
        <f t="shared" si="63"/>
        <v>2.5191284308649147</v>
      </c>
      <c r="AF15" s="159">
        <f t="shared" si="8"/>
        <v>6.0246723591692719</v>
      </c>
      <c r="AG15" s="357">
        <f t="shared" si="9"/>
        <v>12.262424107913871</v>
      </c>
      <c r="AH15" s="159">
        <f t="shared" si="10"/>
        <v>5.5180908485612408</v>
      </c>
      <c r="AI15" s="159">
        <f t="shared" si="11"/>
        <v>2.6132994389123856</v>
      </c>
      <c r="AJ15" s="357">
        <f t="shared" si="12"/>
        <v>4.6503284515797363</v>
      </c>
      <c r="AK15" s="159">
        <f t="shared" si="13"/>
        <v>10.049856279746802</v>
      </c>
      <c r="AL15" s="159">
        <f t="shared" si="14"/>
        <v>9.4367350743511071</v>
      </c>
      <c r="AM15" s="159">
        <f t="shared" si="15"/>
        <v>3.2963665500234964</v>
      </c>
      <c r="AN15" s="159">
        <f t="shared" si="16"/>
        <v>1.9533518946512995</v>
      </c>
      <c r="AO15" s="159">
        <f t="shared" si="17"/>
        <v>3.5987549012355924</v>
      </c>
      <c r="AP15" s="159">
        <f t="shared" si="18"/>
        <v>7.9172607827183024</v>
      </c>
      <c r="AQ15" s="159">
        <f t="shared" si="64"/>
        <v>1.7993774506177962</v>
      </c>
      <c r="AR15" s="159">
        <f t="shared" si="19"/>
        <v>14.77218365469037</v>
      </c>
      <c r="AS15" s="159">
        <f t="shared" si="20"/>
        <v>1.5624338413356562</v>
      </c>
      <c r="AT15" s="159">
        <f t="shared" si="21"/>
        <v>2.4385055039334405</v>
      </c>
      <c r="AU15" s="159">
        <f t="shared" si="65"/>
        <v>0.78121692066782811</v>
      </c>
      <c r="AV15" s="159">
        <f t="shared" si="22"/>
        <v>2.5191284308649147</v>
      </c>
      <c r="AW15" s="159">
        <f t="shared" si="23"/>
        <v>5.3314887425712483</v>
      </c>
      <c r="AX15" s="159">
        <f t="shared" si="66"/>
        <v>1.2595642154324573</v>
      </c>
      <c r="AY15" s="159">
        <f t="shared" si="24"/>
        <v>15.648499634205901</v>
      </c>
      <c r="AZ15" s="159">
        <f t="shared" si="25"/>
        <v>3.0407366296763154</v>
      </c>
      <c r="BA15" s="159">
        <f t="shared" si="26"/>
        <v>5.3077157428918973</v>
      </c>
      <c r="BB15" s="159">
        <f t="shared" si="67"/>
        <v>1.5203683148381577</v>
      </c>
      <c r="BC15" s="159">
        <f t="shared" si="27"/>
        <v>3.8786580602205825</v>
      </c>
      <c r="BD15" s="159">
        <f t="shared" si="28"/>
        <v>4.6383952060369849</v>
      </c>
      <c r="BE15" s="159">
        <f t="shared" si="29"/>
        <v>13.786328177735399</v>
      </c>
      <c r="BF15" s="159">
        <f t="shared" si="30"/>
        <v>8.325503730364602</v>
      </c>
      <c r="BG15" s="159">
        <f t="shared" si="31"/>
        <v>2.8965119673991779</v>
      </c>
      <c r="BH15" s="159">
        <f t="shared" si="32"/>
        <v>6.4644301003676379</v>
      </c>
      <c r="BI15" s="159">
        <f t="shared" si="33"/>
        <v>3.5187825700970237</v>
      </c>
      <c r="BJ15" s="159">
        <f t="shared" si="34"/>
        <v>5.9620783606324483</v>
      </c>
      <c r="BK15" s="159">
        <f t="shared" si="35"/>
        <v>7.73833290251818</v>
      </c>
      <c r="BL15" s="159">
        <f t="shared" si="36"/>
        <v>0.62497353653426246</v>
      </c>
      <c r="BM15" s="159">
        <f t="shared" si="37"/>
        <v>2.3991699341570616</v>
      </c>
      <c r="BN15" s="159">
        <f t="shared" si="38"/>
        <v>0.90635308623711219</v>
      </c>
      <c r="BO15" s="159">
        <f t="shared" si="39"/>
        <v>4.7727923884327996</v>
      </c>
      <c r="BP15" s="159">
        <f t="shared" si="40"/>
        <v>11.346076307366566</v>
      </c>
      <c r="BQ15" s="159">
        <f t="shared" si="41"/>
        <v>1.6225274506177969</v>
      </c>
      <c r="BR15" s="159">
        <f t="shared" si="42"/>
        <v>3.7853570072255858</v>
      </c>
      <c r="BS15" s="159">
        <f t="shared" si="43"/>
        <v>3.2522081329684611</v>
      </c>
      <c r="BT15" s="159">
        <f t="shared" si="44"/>
        <v>7.1200673335636857</v>
      </c>
      <c r="BU15" s="159">
        <f t="shared" si="45"/>
        <v>9.7657038169223611</v>
      </c>
      <c r="BV15" s="159">
        <f t="shared" si="46"/>
        <v>1.4542653446278029</v>
      </c>
      <c r="BW15" s="159">
        <f t="shared" si="47"/>
        <v>3.7853570072255858</v>
      </c>
      <c r="BX15" s="159">
        <f t="shared" si="48"/>
        <v>3.2522081329684611</v>
      </c>
      <c r="BY15" s="159">
        <f t="shared" si="49"/>
        <v>9.8742032691839245</v>
      </c>
      <c r="BZ15" s="159">
        <f t="shared" si="50"/>
        <v>7.8715360615031704</v>
      </c>
      <c r="CA15" s="159">
        <f t="shared" si="51"/>
        <v>1.7787708347513622</v>
      </c>
      <c r="CB15" s="159">
        <f t="shared" si="52"/>
        <v>6.3532908514875963</v>
      </c>
      <c r="CC15" s="159">
        <f t="shared" si="53"/>
        <v>4.8748940871990527</v>
      </c>
      <c r="CD15" s="159">
        <f t="shared" si="54"/>
        <v>9.8835008103380684</v>
      </c>
      <c r="CE15" s="159">
        <f t="shared" si="68"/>
        <v>4.8748940871990527</v>
      </c>
      <c r="CF15" s="159">
        <f t="shared" si="55"/>
        <v>4.8217537165547206</v>
      </c>
      <c r="CG15" s="159">
        <f t="shared" si="56"/>
        <v>10.193630221450103</v>
      </c>
      <c r="CH15" s="159">
        <f t="shared" si="69"/>
        <v>4.8217537165547206</v>
      </c>
      <c r="CI15" s="159">
        <f t="shared" si="70"/>
        <v>3.9121249085514753</v>
      </c>
    </row>
    <row r="16" spans="1:87" x14ac:dyDescent="0.25">
      <c r="A16" t="str">
        <f>PLANTILLA!D18</f>
        <v>L. Bauman</v>
      </c>
      <c r="B16" t="s">
        <v>855</v>
      </c>
      <c r="C16" s="633">
        <f>PLANTILLA!E18</f>
        <v>30</v>
      </c>
      <c r="D16" s="633">
        <f ca="1">PLANTILLA!F18</f>
        <v>74</v>
      </c>
      <c r="E16" s="633"/>
      <c r="F16" s="290">
        <v>41686</v>
      </c>
      <c r="G16" s="497">
        <v>1.5</v>
      </c>
      <c r="H16" s="498">
        <f>PLANTILLA!I18</f>
        <v>8.1</v>
      </c>
      <c r="I16" s="341"/>
      <c r="J16" s="163">
        <f>PLANTILLA!X18</f>
        <v>0</v>
      </c>
      <c r="K16" s="163">
        <f>PLANTILLA!Y18</f>
        <v>5.4644444444444451</v>
      </c>
      <c r="L16" s="163">
        <f>PLANTILLA!Z18</f>
        <v>14.331408994708985</v>
      </c>
      <c r="M16" s="163">
        <f>PLANTILLA!AA18</f>
        <v>3.5124999999999993</v>
      </c>
      <c r="N16" s="163">
        <f>PLANTILLA!AB18</f>
        <v>9.1400000000000041</v>
      </c>
      <c r="O16" s="163">
        <f>PLANTILLA!AC18</f>
        <v>7.4318888888888894</v>
      </c>
      <c r="P16" s="163">
        <f>PLANTILLA!AD18</f>
        <v>16.07</v>
      </c>
      <c r="Q16" s="163">
        <f t="shared" si="57"/>
        <v>3.3430555555555568</v>
      </c>
      <c r="R16" s="163">
        <f t="shared" si="58"/>
        <v>19.567438077851307</v>
      </c>
      <c r="S16" s="163">
        <f t="shared" si="59"/>
        <v>0.85369444444444442</v>
      </c>
      <c r="T16" s="163">
        <f t="shared" si="60"/>
        <v>0.70067777777777773</v>
      </c>
      <c r="U16" s="163">
        <f t="shared" ca="1" si="0"/>
        <v>18.281313358504867</v>
      </c>
      <c r="V16" s="159">
        <f t="shared" si="1"/>
        <v>3.8751632286414157</v>
      </c>
      <c r="W16" s="159">
        <f t="shared" si="2"/>
        <v>5.822694434718672</v>
      </c>
      <c r="X16" s="159">
        <f t="shared" si="61"/>
        <v>3.8751632286414157</v>
      </c>
      <c r="Y16" s="159">
        <f t="shared" si="3"/>
        <v>4.2186910263218449</v>
      </c>
      <c r="Z16" s="159">
        <f t="shared" si="4"/>
        <v>8.1757578029493114</v>
      </c>
      <c r="AA16" s="159">
        <f t="shared" si="62"/>
        <v>2.1093455131609224</v>
      </c>
      <c r="AB16" s="159">
        <f t="shared" si="5"/>
        <v>4.0561679200648966</v>
      </c>
      <c r="AC16" s="159">
        <f t="shared" si="6"/>
        <v>3.0904364495148395</v>
      </c>
      <c r="AD16" s="159">
        <f t="shared" si="7"/>
        <v>5.9110728915323518</v>
      </c>
      <c r="AE16" s="159">
        <f t="shared" si="63"/>
        <v>1.5452182247574198</v>
      </c>
      <c r="AF16" s="159">
        <f t="shared" si="8"/>
        <v>6.5614481059873322</v>
      </c>
      <c r="AG16" s="357">
        <f t="shared" si="9"/>
        <v>7.5216971787133664</v>
      </c>
      <c r="AH16" s="159">
        <f t="shared" si="10"/>
        <v>3.3847637304210147</v>
      </c>
      <c r="AI16" s="159">
        <f t="shared" si="11"/>
        <v>2.846134632986713</v>
      </c>
      <c r="AJ16" s="357">
        <f t="shared" si="12"/>
        <v>3.6596022548008609</v>
      </c>
      <c r="AK16" s="159">
        <f t="shared" si="13"/>
        <v>6.1645213834237804</v>
      </c>
      <c r="AL16" s="159">
        <f t="shared" si="14"/>
        <v>5.7884365244881124</v>
      </c>
      <c r="AM16" s="159">
        <f t="shared" si="15"/>
        <v>3.1364793308703129</v>
      </c>
      <c r="AN16" s="159">
        <f t="shared" si="16"/>
        <v>1.7436582472494018</v>
      </c>
      <c r="AO16" s="159">
        <f t="shared" si="17"/>
        <v>2.2074546067963143</v>
      </c>
      <c r="AP16" s="159">
        <f t="shared" si="18"/>
        <v>4.8564001349518904</v>
      </c>
      <c r="AQ16" s="159">
        <f t="shared" si="64"/>
        <v>1.1037273033981572</v>
      </c>
      <c r="AR16" s="159">
        <f t="shared" si="19"/>
        <v>16.088329901433873</v>
      </c>
      <c r="AS16" s="159">
        <f t="shared" si="20"/>
        <v>1.5406707366056334</v>
      </c>
      <c r="AT16" s="159">
        <f t="shared" si="21"/>
        <v>3.1769315918197041</v>
      </c>
      <c r="AU16" s="159">
        <f t="shared" si="65"/>
        <v>0.77033536830281668</v>
      </c>
      <c r="AV16" s="159">
        <f t="shared" si="22"/>
        <v>1.5452182247574198</v>
      </c>
      <c r="AW16" s="159">
        <f t="shared" si="23"/>
        <v>3.2703031211797247</v>
      </c>
      <c r="AX16" s="159">
        <f t="shared" si="66"/>
        <v>0.77260911237870988</v>
      </c>
      <c r="AY16" s="159">
        <f t="shared" si="24"/>
        <v>17.042722353213851</v>
      </c>
      <c r="AZ16" s="159">
        <f t="shared" si="25"/>
        <v>2.9983822797017323</v>
      </c>
      <c r="BA16" s="159">
        <f t="shared" si="26"/>
        <v>6.1713703272028502</v>
      </c>
      <c r="BB16" s="159">
        <f t="shared" si="67"/>
        <v>1.4991911398508662</v>
      </c>
      <c r="BC16" s="159">
        <f t="shared" si="27"/>
        <v>2.3791455206582497</v>
      </c>
      <c r="BD16" s="159">
        <f t="shared" si="28"/>
        <v>2.8451637154263603</v>
      </c>
      <c r="BE16" s="159">
        <f t="shared" si="29"/>
        <v>15.014638393181402</v>
      </c>
      <c r="BF16" s="159">
        <f t="shared" si="30"/>
        <v>7.3056325757108267</v>
      </c>
      <c r="BG16" s="159">
        <f t="shared" si="31"/>
        <v>2.8561665193996739</v>
      </c>
      <c r="BH16" s="159">
        <f t="shared" si="32"/>
        <v>3.9652425344304159</v>
      </c>
      <c r="BI16" s="159">
        <f t="shared" si="33"/>
        <v>2.1584000599786184</v>
      </c>
      <c r="BJ16" s="159">
        <f t="shared" si="34"/>
        <v>6.4932772165744774</v>
      </c>
      <c r="BK16" s="159">
        <f t="shared" si="35"/>
        <v>6.5707403753332549</v>
      </c>
      <c r="BL16" s="159">
        <f t="shared" si="36"/>
        <v>0.6162682946422533</v>
      </c>
      <c r="BM16" s="159">
        <f t="shared" si="37"/>
        <v>1.4716364045308761</v>
      </c>
      <c r="BN16" s="159">
        <f t="shared" si="38"/>
        <v>0.55595153060055325</v>
      </c>
      <c r="BO16" s="159">
        <f t="shared" si="39"/>
        <v>5.1980303177302245</v>
      </c>
      <c r="BP16" s="159">
        <f t="shared" si="40"/>
        <v>9.6132889790372591</v>
      </c>
      <c r="BQ16" s="159">
        <f t="shared" si="41"/>
        <v>1.5999273033981578</v>
      </c>
      <c r="BR16" s="159">
        <f t="shared" si="42"/>
        <v>2.3219152160376044</v>
      </c>
      <c r="BS16" s="159">
        <f t="shared" si="43"/>
        <v>1.9948849039196319</v>
      </c>
      <c r="BT16" s="159">
        <f t="shared" si="44"/>
        <v>7.7544386707123021</v>
      </c>
      <c r="BU16" s="159">
        <f t="shared" si="45"/>
        <v>8.2690952012233918</v>
      </c>
      <c r="BV16" s="159">
        <f t="shared" si="46"/>
        <v>1.4340089163790894</v>
      </c>
      <c r="BW16" s="159">
        <f t="shared" si="47"/>
        <v>2.3219152160376044</v>
      </c>
      <c r="BX16" s="159">
        <f t="shared" si="48"/>
        <v>1.9948849039196319</v>
      </c>
      <c r="BY16" s="159">
        <f t="shared" si="49"/>
        <v>10.75395780487794</v>
      </c>
      <c r="BZ16" s="159">
        <f t="shared" si="50"/>
        <v>6.6564204558618556</v>
      </c>
      <c r="CA16" s="159">
        <f t="shared" si="51"/>
        <v>1.753994377058721</v>
      </c>
      <c r="CB16" s="159">
        <f t="shared" si="52"/>
        <v>6.9193452754048241</v>
      </c>
      <c r="CC16" s="159">
        <f t="shared" si="53"/>
        <v>5.147244148669925</v>
      </c>
      <c r="CD16" s="159">
        <f t="shared" si="54"/>
        <v>12.348750063898706</v>
      </c>
      <c r="CE16" s="159">
        <f t="shared" si="68"/>
        <v>5.147244148669925</v>
      </c>
      <c r="CF16" s="159">
        <f t="shared" si="55"/>
        <v>5.5655818334596434</v>
      </c>
      <c r="CG16" s="159">
        <f t="shared" si="56"/>
        <v>14.516336876682054</v>
      </c>
      <c r="CH16" s="159">
        <f t="shared" si="69"/>
        <v>5.5655818334596434</v>
      </c>
      <c r="CI16" s="159">
        <f t="shared" si="70"/>
        <v>4.2606805883034626</v>
      </c>
    </row>
    <row r="17" spans="1:87" x14ac:dyDescent="0.25">
      <c r="A17" t="str">
        <f>PLANTILLA!D19</f>
        <v>W. Gelifini</v>
      </c>
      <c r="B17" t="s">
        <v>855</v>
      </c>
      <c r="C17" s="633">
        <f>PLANTILLA!E19</f>
        <v>29</v>
      </c>
      <c r="D17" s="633">
        <f ca="1">PLANTILLA!F19</f>
        <v>24</v>
      </c>
      <c r="E17" s="633"/>
      <c r="F17" s="290">
        <v>41737</v>
      </c>
      <c r="G17" s="497">
        <v>1.5</v>
      </c>
      <c r="H17" s="498">
        <f>PLANTILLA!I19</f>
        <v>4</v>
      </c>
      <c r="I17" s="341"/>
      <c r="J17" s="163">
        <f>PLANTILLA!X19</f>
        <v>0</v>
      </c>
      <c r="K17" s="163">
        <f>PLANTILLA!Y19</f>
        <v>5.6515555555555519</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2.8952903594702954</v>
      </c>
      <c r="AC17" s="159">
        <f t="shared" si="6"/>
        <v>3.0067262356292916</v>
      </c>
      <c r="AD17" s="159">
        <f t="shared" si="7"/>
        <v>5.7509604983068199</v>
      </c>
      <c r="AE17" s="159">
        <f t="shared" si="63"/>
        <v>1.5033631178146458</v>
      </c>
      <c r="AF17" s="159">
        <f t="shared" si="8"/>
        <v>4.6835579344372427</v>
      </c>
      <c r="AG17" s="357">
        <f t="shared" si="9"/>
        <v>7.3179580338067414</v>
      </c>
      <c r="AH17" s="159">
        <f t="shared" si="10"/>
        <v>3.2930811152130337</v>
      </c>
      <c r="AI17" s="159">
        <f t="shared" si="11"/>
        <v>2.0315692858468042</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11.483840753529238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12.165085543992838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10.717440364257691</v>
      </c>
      <c r="BF17" s="159">
        <f t="shared" si="30"/>
        <v>9.0258524430540774</v>
      </c>
      <c r="BG17" s="159">
        <f t="shared" si="31"/>
        <v>2.7882286105467182</v>
      </c>
      <c r="BH17" s="159">
        <f t="shared" si="32"/>
        <v>3.857836572169858</v>
      </c>
      <c r="BI17" s="159">
        <f t="shared" si="33"/>
        <v>2.0999357836141086</v>
      </c>
      <c r="BJ17" s="159">
        <f t="shared" si="34"/>
        <v>4.6348975922612716</v>
      </c>
      <c r="BK17" s="159">
        <f t="shared" si="35"/>
        <v>8.6351052432275193</v>
      </c>
      <c r="BL17" s="159">
        <f t="shared" si="36"/>
        <v>0.60160949273207198</v>
      </c>
      <c r="BM17" s="159">
        <f t="shared" si="37"/>
        <v>1.4317743979187103</v>
      </c>
      <c r="BN17" s="159">
        <f t="shared" si="38"/>
        <v>0.54089255032484618</v>
      </c>
      <c r="BO17" s="159">
        <f t="shared" si="39"/>
        <v>3.7103510909178152</v>
      </c>
      <c r="BP17" s="159">
        <f t="shared" si="40"/>
        <v>12.684265531797013</v>
      </c>
      <c r="BQ17" s="159">
        <f t="shared" si="41"/>
        <v>1.561870798439033</v>
      </c>
      <c r="BR17" s="159">
        <f t="shared" si="42"/>
        <v>2.2590218278272984</v>
      </c>
      <c r="BS17" s="159">
        <f t="shared" si="43"/>
        <v>1.9408497394009183</v>
      </c>
      <c r="BT17" s="159">
        <f t="shared" si="44"/>
        <v>5.5351139225167412</v>
      </c>
      <c r="BU17" s="159">
        <f t="shared" si="45"/>
        <v>10.923293960521843</v>
      </c>
      <c r="BV17" s="159">
        <f t="shared" si="46"/>
        <v>1.3998990119342443</v>
      </c>
      <c r="BW17" s="159">
        <f t="shared" si="47"/>
        <v>2.2590218278272984</v>
      </c>
      <c r="BX17" s="159">
        <f t="shared" si="48"/>
        <v>1.9408497394009183</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str">
        <f>PLANTILLA!D20</f>
        <v>M. Amico</v>
      </c>
      <c r="B18" t="s">
        <v>855</v>
      </c>
      <c r="C18" s="633">
        <f>PLANTILLA!E20</f>
        <v>29</v>
      </c>
      <c r="D18" s="633">
        <f ca="1">PLANTILLA!F20</f>
        <v>31</v>
      </c>
      <c r="E18" s="633" t="str">
        <f>PLANTILLA!G20</f>
        <v>IMP</v>
      </c>
      <c r="F18" s="290">
        <v>41730</v>
      </c>
      <c r="G18" s="497">
        <v>1.5</v>
      </c>
      <c r="H18" s="498">
        <f>PLANTILLA!I20</f>
        <v>1.2</v>
      </c>
      <c r="I18" s="341"/>
      <c r="J18" s="163">
        <f>PLANTILLA!X20</f>
        <v>0</v>
      </c>
      <c r="K18" s="163">
        <f>PLANTILLA!Y20</f>
        <v>2.4961111111111101</v>
      </c>
      <c r="L18" s="163">
        <f>PLANTILLA!Z20</f>
        <v>7.3299999999999974</v>
      </c>
      <c r="M18" s="163">
        <f>PLANTILLA!AA20</f>
        <v>4.17</v>
      </c>
      <c r="N18" s="163">
        <f>PLANTILLA!AB20</f>
        <v>7.2649999999999988</v>
      </c>
      <c r="O18" s="163">
        <f>PLANTILLA!AC20</f>
        <v>4.3299999999999983</v>
      </c>
      <c r="P18" s="163">
        <f>PLANTILLA!AD20</f>
        <v>9.5</v>
      </c>
      <c r="Q18" s="163">
        <f t="shared" si="57"/>
        <v>2.5032638888888883</v>
      </c>
      <c r="R18" s="163">
        <f t="shared" si="58"/>
        <v>8.3611207383536659</v>
      </c>
      <c r="S18" s="163">
        <f t="shared" si="59"/>
        <v>0.50149999999999983</v>
      </c>
      <c r="T18" s="163">
        <f t="shared" si="60"/>
        <v>0.38484444444444443</v>
      </c>
      <c r="U18" s="163">
        <f t="shared" ca="1" si="0"/>
        <v>10.605574994730166</v>
      </c>
      <c r="V18" s="159">
        <f t="shared" si="1"/>
        <v>2.0905936370661018</v>
      </c>
      <c r="W18" s="159">
        <f t="shared" si="2"/>
        <v>3.1336445404188664</v>
      </c>
      <c r="X18" s="159">
        <f t="shared" si="61"/>
        <v>2.0905936370661018</v>
      </c>
      <c r="Y18" s="159">
        <f t="shared" si="3"/>
        <v>2.1164700306140984</v>
      </c>
      <c r="Z18" s="159">
        <f t="shared" si="4"/>
        <v>4.1016861058412761</v>
      </c>
      <c r="AA18" s="159">
        <f t="shared" si="62"/>
        <v>1.0582350153070492</v>
      </c>
      <c r="AB18" s="159">
        <f t="shared" si="5"/>
        <v>2.1266668487457787</v>
      </c>
      <c r="AC18" s="159">
        <f t="shared" si="6"/>
        <v>1.5504373480080025</v>
      </c>
      <c r="AD18" s="159">
        <f t="shared" si="7"/>
        <v>2.9655190545232424</v>
      </c>
      <c r="AE18" s="159">
        <f t="shared" si="63"/>
        <v>0.77521867400400124</v>
      </c>
      <c r="AF18" s="159">
        <f t="shared" si="8"/>
        <v>3.4401963729711134</v>
      </c>
      <c r="AG18" s="357">
        <f t="shared" si="9"/>
        <v>3.7735512173739743</v>
      </c>
      <c r="AH18" s="159">
        <f t="shared" si="10"/>
        <v>1.6980980478182883</v>
      </c>
      <c r="AI18" s="159">
        <f t="shared" si="11"/>
        <v>1.4922410241199375</v>
      </c>
      <c r="AJ18" s="357">
        <f t="shared" si="12"/>
        <v>3.3960380969013375</v>
      </c>
      <c r="AK18" s="159">
        <f t="shared" si="13"/>
        <v>3.0926713238043222</v>
      </c>
      <c r="AL18" s="159">
        <f t="shared" si="14"/>
        <v>2.9039937629356234</v>
      </c>
      <c r="AM18" s="159">
        <f t="shared" si="15"/>
        <v>1.8546310241199377</v>
      </c>
      <c r="AN18" s="159">
        <f t="shared" si="16"/>
        <v>1.1833455984822876</v>
      </c>
      <c r="AO18" s="159">
        <f t="shared" si="17"/>
        <v>1.1074552485771447</v>
      </c>
      <c r="AP18" s="159">
        <f t="shared" si="18"/>
        <v>2.436401546869718</v>
      </c>
      <c r="AQ18" s="159">
        <f t="shared" si="64"/>
        <v>0.55372762428857236</v>
      </c>
      <c r="AR18" s="159">
        <f t="shared" si="19"/>
        <v>8.4351827950252751</v>
      </c>
      <c r="AS18" s="159">
        <f t="shared" si="20"/>
        <v>1.1531747493149214</v>
      </c>
      <c r="AT18" s="159">
        <f t="shared" si="21"/>
        <v>2.0913234734559385</v>
      </c>
      <c r="AU18" s="159">
        <f t="shared" si="65"/>
        <v>0.57658737465746068</v>
      </c>
      <c r="AV18" s="159">
        <f t="shared" si="22"/>
        <v>0.77521867400400124</v>
      </c>
      <c r="AW18" s="159">
        <f t="shared" si="23"/>
        <v>1.6406744423365105</v>
      </c>
      <c r="AX18" s="159">
        <f t="shared" si="66"/>
        <v>0.38760933700200062</v>
      </c>
      <c r="AY18" s="159">
        <f t="shared" si="24"/>
        <v>8.9355749947301639</v>
      </c>
      <c r="AZ18" s="159">
        <f t="shared" si="25"/>
        <v>2.2442554736667315</v>
      </c>
      <c r="BA18" s="159">
        <f t="shared" si="26"/>
        <v>4.2713368220963206</v>
      </c>
      <c r="BB18" s="159">
        <f t="shared" si="67"/>
        <v>1.1221277368333658</v>
      </c>
      <c r="BC18" s="159">
        <f t="shared" si="27"/>
        <v>1.1935906567998114</v>
      </c>
      <c r="BD18" s="159">
        <f t="shared" si="28"/>
        <v>1.4273867648327641</v>
      </c>
      <c r="BE18" s="159">
        <f t="shared" si="29"/>
        <v>7.8722415703572741</v>
      </c>
      <c r="BF18" s="159">
        <f t="shared" si="30"/>
        <v>6.1094111703151164</v>
      </c>
      <c r="BG18" s="159">
        <f t="shared" si="31"/>
        <v>2.1378085737299695</v>
      </c>
      <c r="BH18" s="159">
        <f t="shared" si="32"/>
        <v>1.9893177613330189</v>
      </c>
      <c r="BI18" s="159">
        <f t="shared" si="33"/>
        <v>1.0828451319420969</v>
      </c>
      <c r="BJ18" s="159">
        <f t="shared" si="34"/>
        <v>3.4044540729921926</v>
      </c>
      <c r="BK18" s="159">
        <f t="shared" si="35"/>
        <v>5.669947545394165</v>
      </c>
      <c r="BL18" s="159">
        <f t="shared" si="36"/>
        <v>0.46126989972596855</v>
      </c>
      <c r="BM18" s="159">
        <f t="shared" si="37"/>
        <v>0.73830349905142967</v>
      </c>
      <c r="BN18" s="159">
        <f t="shared" si="38"/>
        <v>0.27891465519720682</v>
      </c>
      <c r="BO18" s="159">
        <f t="shared" si="39"/>
        <v>2.7253503733927</v>
      </c>
      <c r="BP18" s="159">
        <f t="shared" si="40"/>
        <v>8.3125594432229928</v>
      </c>
      <c r="BQ18" s="159">
        <f t="shared" si="41"/>
        <v>1.1975276242885722</v>
      </c>
      <c r="BR18" s="159">
        <f t="shared" si="42"/>
        <v>1.1648788540589223</v>
      </c>
      <c r="BS18" s="159">
        <f t="shared" si="43"/>
        <v>1.0008114098252714</v>
      </c>
      <c r="BT18" s="159">
        <f t="shared" si="44"/>
        <v>4.0656866226022244</v>
      </c>
      <c r="BU18" s="159">
        <f t="shared" si="45"/>
        <v>7.1545170941610232</v>
      </c>
      <c r="BV18" s="159">
        <f t="shared" si="46"/>
        <v>1.0733395743623499</v>
      </c>
      <c r="BW18" s="159">
        <f t="shared" si="47"/>
        <v>1.1648788540589223</v>
      </c>
      <c r="BX18" s="159">
        <f t="shared" si="48"/>
        <v>1.0008114098252714</v>
      </c>
      <c r="BY18" s="159">
        <f t="shared" si="49"/>
        <v>5.6383478216747331</v>
      </c>
      <c r="BZ18" s="159">
        <f t="shared" si="50"/>
        <v>5.766474620283498</v>
      </c>
      <c r="CA18" s="159">
        <f t="shared" si="51"/>
        <v>1.3128450992200642</v>
      </c>
      <c r="CB18" s="159">
        <f t="shared" si="52"/>
        <v>3.6278434478604469</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2.233893748682541</v>
      </c>
    </row>
    <row r="19" spans="1:87" x14ac:dyDescent="0.25">
      <c r="A19" t="str">
        <f>PLANTILLA!D21</f>
        <v>G. Kerschl</v>
      </c>
      <c r="B19" t="s">
        <v>855</v>
      </c>
      <c r="C19" s="669">
        <f>PLANTILLA!E21</f>
        <v>28</v>
      </c>
      <c r="D19" s="669">
        <f ca="1">PLANTILLA!F21</f>
        <v>101</v>
      </c>
      <c r="E19" s="669" t="str">
        <f>PLANTILLA!G21</f>
        <v>CAB</v>
      </c>
      <c r="F19" s="290">
        <v>43060</v>
      </c>
      <c r="G19" s="497">
        <v>2.5</v>
      </c>
      <c r="H19" s="498">
        <f>PLANTILLA!I21</f>
        <v>8.6</v>
      </c>
      <c r="I19" s="341"/>
      <c r="J19" s="163">
        <f>PLANTILLA!X21</f>
        <v>0</v>
      </c>
      <c r="K19" s="163">
        <f>PLANTILLA!Y21</f>
        <v>3</v>
      </c>
      <c r="L19" s="163">
        <f>PLANTILLA!Z21</f>
        <v>15</v>
      </c>
      <c r="M19" s="163">
        <f>PLANTILLA!AA21</f>
        <v>12.01</v>
      </c>
      <c r="N19" s="163">
        <f>PLANTILLA!AB21</f>
        <v>12</v>
      </c>
      <c r="O19" s="163">
        <f>PLANTILLA!AC21</f>
        <v>8</v>
      </c>
      <c r="P19" s="163">
        <f>PLANTILLA!AD21</f>
        <v>2</v>
      </c>
      <c r="Q19" s="163">
        <f t="shared" ref="Q19" si="71">((2*(N19+1))+(K19+1))/8</f>
        <v>3.75</v>
      </c>
      <c r="R19" s="163">
        <f t="shared" ref="R19" si="72">1.66*(O19+(LOG(H19)*4/3)+G19)+0.55*(P19+(LOG(H19)*4/3)+G19)-7.6</f>
        <v>15.058655436331046</v>
      </c>
      <c r="S19" s="163">
        <f t="shared" ref="S19" si="73">(0.5*O19+ 0.3*P19)/10</f>
        <v>0.45999999999999996</v>
      </c>
      <c r="T19" s="163">
        <f t="shared" ref="T19" si="74">(0.4*K19+0.3*P19)/10</f>
        <v>0.18000000000000002</v>
      </c>
      <c r="U19" s="163">
        <f t="shared" ref="U19" ca="1" si="75">IF(TODAY()-F19&gt;335,(P19+1+(LOG(H19)*4/3)),(P19+((TODAY()-F19)^0.5)/(336^0.5)+(LOG(H19)*4/3)))</f>
        <v>3.611960462347124</v>
      </c>
      <c r="V19" s="159">
        <f t="shared" ref="V19" si="76">((J19+G19+(LOG(H19)*4/3))*0.597)+((K19+G19+(LOG(H19)*4/3))*0.276)</f>
        <v>4.0982561972475136</v>
      </c>
      <c r="W19" s="159">
        <f t="shared" ref="W19" si="77">((J19+G19+(LOG(H19)*4/3))*0.866)+((K19+G19+(LOG(H19)*4/3))*0.425)</f>
        <v>6.1110833340739283</v>
      </c>
      <c r="X19" s="159">
        <f t="shared" ref="X19" si="78">V19</f>
        <v>4.0982561972475136</v>
      </c>
      <c r="Y19" s="159">
        <f t="shared" ref="Y19" si="79">((K19+G19+(LOG(H19)*4/3))*0.516)</f>
        <v>3.4809349344555747</v>
      </c>
      <c r="Z19" s="159">
        <f t="shared" ref="Z19" si="80">(K19+G19+(LOG(H19)*4/3))*1</f>
        <v>6.7459979349914239</v>
      </c>
      <c r="AA19" s="159">
        <f t="shared" ref="AA19" si="81">Y19/2</f>
        <v>1.7404674672277873</v>
      </c>
      <c r="AB19" s="159">
        <f t="shared" ref="AB19" si="82">(L19+G19+(LOG(H19)*4/3))*0.238</f>
        <v>4.4615475085279579</v>
      </c>
      <c r="AC19" s="159">
        <f t="shared" ref="AC19" si="83">((K19+G19+(LOG(H19)*4/3))*0.378)</f>
        <v>2.5499872194267583</v>
      </c>
      <c r="AD19" s="159">
        <f t="shared" ref="AD19" si="84">(K19+G19+(LOG(H19)*4/3))*0.723</f>
        <v>4.8773565069987992</v>
      </c>
      <c r="AE19" s="159">
        <f t="shared" ref="AE19" si="85">AC19/2</f>
        <v>1.2749936097133792</v>
      </c>
      <c r="AF19" s="159">
        <f t="shared" ref="AF19" si="86">(L19+G19+(LOG(H19)*4/3))*0.385</f>
        <v>7.2172092049716978</v>
      </c>
      <c r="AG19" s="357">
        <f t="shared" ref="AG19" si="87">((K19+G19+(LOG(H19)*4/3))*0.92)</f>
        <v>6.2063181001921102</v>
      </c>
      <c r="AH19" s="159">
        <f t="shared" ref="AH19" si="88">(K19+G19+(LOG(H19)*4/3))*0.414</f>
        <v>2.7928431450864495</v>
      </c>
      <c r="AI19" s="159">
        <f t="shared" ref="AI19" si="89">((L19+G19+(LOG(H19)*4/3))*0.167)</f>
        <v>3.1305816551435677</v>
      </c>
      <c r="AJ19" s="357">
        <f t="shared" ref="AJ19" si="90">(M19+G19+(LOG(H19)*4/3))*0.588</f>
        <v>9.2645267857749563</v>
      </c>
      <c r="AK19" s="159">
        <f t="shared" ref="AK19" si="91">((K19+G19+(LOG(H19)*4/3))*0.754)</f>
        <v>5.0864824429835336</v>
      </c>
      <c r="AL19" s="159">
        <f t="shared" ref="AL19" si="92">((K19+G19+(LOG(H19)*4/3))*0.708)</f>
        <v>4.7761665379739275</v>
      </c>
      <c r="AM19" s="159">
        <f t="shared" ref="AM19" si="93">((P19+G19+(LOG(H19)*4/3))*0.167)</f>
        <v>0.95958165514356786</v>
      </c>
      <c r="AN19" s="159">
        <f t="shared" ref="AN19" si="94">((Q19+G19+(LOG(H19)*4/3))*0.288)</f>
        <v>2.1588474052775299</v>
      </c>
      <c r="AO19" s="159">
        <f t="shared" ref="AO19" si="95">((K19+G19+(LOG(H19)*4/3))*0.27)</f>
        <v>1.8214194424476846</v>
      </c>
      <c r="AP19" s="159">
        <f t="shared" ref="AP19" si="96">((K19+G19+(LOG(H19)*4/3))*0.594)</f>
        <v>4.0071227733849053</v>
      </c>
      <c r="AQ19" s="159">
        <f t="shared" ref="AQ19" si="97">AO19/2</f>
        <v>0.91070972122384231</v>
      </c>
      <c r="AR19" s="159">
        <f t="shared" ref="AR19" si="98">((L19+G19+(LOG(H19)*4/3))*0.944)</f>
        <v>17.696222050631903</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1.2749936097133792</v>
      </c>
      <c r="AW19" s="159">
        <f t="shared" ref="AW19" si="103">((K19+G19+(LOG(H19)*4/3))*0.4)</f>
        <v>2.6983991739965698</v>
      </c>
      <c r="AX19" s="159">
        <f t="shared" ref="AX19" si="104">AV19/2</f>
        <v>0.63749680485668958</v>
      </c>
      <c r="AY19" s="159">
        <f t="shared" ref="AY19" si="105">((L19+G19+(LOG(H19)*4/3))*1)</f>
        <v>18.745997934991422</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1.9630853990825041</v>
      </c>
      <c r="BD19" s="159">
        <f t="shared" ref="BD19" si="110">((K19+G19+(LOG(H19)*4/3))*0.348)</f>
        <v>2.3476072813770155</v>
      </c>
      <c r="BE19" s="159">
        <f t="shared" ref="BE19" si="111">((L19+G19+(LOG(H19)*4/3))*0.881)</f>
        <v>16.515224180727444</v>
      </c>
      <c r="BF19" s="159">
        <f t="shared" ref="BF19" si="112">((M19+G19+(LOG(H19)*4/3))*0.574)+((N19+G19+(LOG(H19)*4/3))*0.315)</f>
        <v>14.003932164207374</v>
      </c>
      <c r="BG19" s="159">
        <f t="shared" ref="BG19" si="113">((N19+G19+(LOG(H19)*4/3))*0.241)</f>
        <v>3.7947855023329331</v>
      </c>
      <c r="BH19" s="159">
        <f t="shared" ref="BH19" si="114">((K19+G19+(LOG(H19)*4/3))*0.485)</f>
        <v>3.2718089984708403</v>
      </c>
      <c r="BI19" s="159">
        <f t="shared" ref="BI19" si="115">((K19+G19+(LOG(H19)*4/3))*0.264)</f>
        <v>1.7809434548377361</v>
      </c>
      <c r="BJ19" s="159">
        <f t="shared" ref="BJ19" si="116">((L19+G19+(LOG(H19)*4/3))*0.381)</f>
        <v>7.1422252132317317</v>
      </c>
      <c r="BK19" s="159">
        <f t="shared" ref="BK19" si="117">((M19+G19+(LOG(H19)*4/3))*0.673)+((N19+G19+(LOG(H19)*4/3))*0.201)</f>
        <v>13.768732195182505</v>
      </c>
      <c r="BL19" s="159">
        <f t="shared" ref="BL19" si="118">((N19+G19+(LOG(H19)*4/3))*0.052)</f>
        <v>0.81879189261955398</v>
      </c>
      <c r="BM19" s="159">
        <f t="shared" ref="BM19" si="119">((K19+G19+(LOG(H19)*4/3))*0.18)</f>
        <v>1.2142796282984563</v>
      </c>
      <c r="BN19" s="159">
        <f t="shared" ref="BN19" si="120">(K19+G19+(LOG(H19)*4/3))*0.068</f>
        <v>0.45872785957941686</v>
      </c>
      <c r="BO19" s="159">
        <f t="shared" ref="BO19" si="121">((L19+G19+(LOG(H19)*4/3))*0.305)</f>
        <v>5.7175293701723833</v>
      </c>
      <c r="BP19" s="159">
        <f t="shared" ref="BP19" si="122">((M19+G19+(LOG(H19)*4/3))*1)+((N19+G19+(LOG(H19)*4/3))*0.286)</f>
        <v>20.259353344398971</v>
      </c>
      <c r="BQ19" s="159">
        <f t="shared" ref="BQ19" si="123">((N19+G19+(LOG(H19)*4/3))*0.135)</f>
        <v>2.1257097212238425</v>
      </c>
      <c r="BR19" s="159">
        <f t="shared" ref="BR19" si="124">((K19+G19+(LOG(H19)*4/3))*0.284)</f>
        <v>1.9158634135375643</v>
      </c>
      <c r="BS19" s="159">
        <f t="shared" ref="BS19" si="125">(K19+G19+(LOG(H19)*4/3))*0.244</f>
        <v>1.6460234961379074</v>
      </c>
      <c r="BT19" s="159">
        <f t="shared" ref="BT19" si="126">((L19+G19+(LOG(H19)*4/3))*0.455)</f>
        <v>8.5294290604210978</v>
      </c>
      <c r="BU19" s="159">
        <f t="shared" ref="BU19" si="127">((M19+G19+(LOG(H19)*4/3))*0.864)+((N19+G19+(LOG(H19)*4/3))*0.244)</f>
        <v>17.455205711970496</v>
      </c>
      <c r="BV19" s="159">
        <f t="shared" ref="BV19" si="128">((N19+G19+(LOG(H19)*4/3))*0.121)</f>
        <v>1.9052657501339623</v>
      </c>
      <c r="BW19" s="159">
        <f t="shared" ref="BW19" si="129">((K19+G19+(LOG(H19)*4/3))*0.284)</f>
        <v>1.9158634135375643</v>
      </c>
      <c r="BX19" s="159">
        <f t="shared" ref="BX19" si="130">((K19+G19+(LOG(H19)*4/3))*0.244)</f>
        <v>1.6460234961379074</v>
      </c>
      <c r="BY19" s="159">
        <f t="shared" ref="BY19" si="131">((L19+G19+(LOG(H19)*4/3))*0.631)</f>
        <v>11.828724696979588</v>
      </c>
      <c r="BZ19" s="159">
        <f t="shared" ref="BZ19" si="132">((M19+G19+(LOG(H19)*4/3))*0.702)+((N19+G19+(LOG(H19)*4/3))*0.193)</f>
        <v>14.099688151817324</v>
      </c>
      <c r="CA19" s="159">
        <f t="shared" ref="CA19" si="133">((N19+G19+(LOG(H19)*4/3))*0.148)</f>
        <v>2.3304076943787306</v>
      </c>
      <c r="CB19" s="159">
        <f t="shared" ref="CB19" si="134">((L19+G19+(LOG(H19)*4/3))*0.406)</f>
        <v>7.6108751616065176</v>
      </c>
      <c r="CC19" s="159">
        <f t="shared" ref="CC19" si="135">IF(E19="TEC",((M19+G19+(LOG(H19)*4/3))*0.15)+((N19+G19+(LOG(H19)*4/3))*0.324)+((O19+G19+(LOG(H19)*4/3))*0.127),(((M19+G19+(LOG(H19)*4/3))*0.144)+((N19+G19+(LOG(H19)*4/3))*0.25)+((O19+G19+(LOG(H19)*4/3))*0.127)))</f>
        <v>7.6971049241305316</v>
      </c>
      <c r="CD19" s="159">
        <f t="shared" ref="CD19" si="136">((N19+G19+(LOG(H19)*4/3))*0.543)+((O19+G19+(LOG(H19)*4/3))*0.583)</f>
        <v>15.397993674800343</v>
      </c>
      <c r="CE19" s="159">
        <f t="shared" ref="CE19" si="137">CC19</f>
        <v>7.6971049241305316</v>
      </c>
      <c r="CF19" s="159">
        <f t="shared" ref="CF19" si="138">((O19+1+(LOG(H19)*4/3))*0.26)+((M19+G19+(LOG(H19)*4/3))*0.221)+((N19+G19+(LOG(H19)*4/3))*0.142)</f>
        <v>8.3819667134996578</v>
      </c>
      <c r="CG19" s="159">
        <f t="shared" ref="CG19" si="139">((O19+G19+(LOG(H19)*4/3))*1)+((N19+G19+(LOG(H19)*4/3))*0.369)</f>
        <v>17.55627117300326</v>
      </c>
      <c r="CH19" s="159">
        <f t="shared" ref="CH19" si="140">CF19</f>
        <v>8.3819667134996578</v>
      </c>
      <c r="CI19" s="159">
        <f t="shared" ref="CI19" si="141">((L19+G19+(LOG(H19)*4/3))*0.25)</f>
        <v>4.6864994837478555</v>
      </c>
    </row>
    <row r="20" spans="1:87" x14ac:dyDescent="0.25">
      <c r="A20" t="str">
        <f>PLANTILLA!D22</f>
        <v>J. Limon</v>
      </c>
      <c r="B20" t="s">
        <v>855</v>
      </c>
      <c r="C20" s="633">
        <f>PLANTILLA!E22</f>
        <v>29</v>
      </c>
      <c r="D20" s="633">
        <f ca="1">PLANTILLA!F22</f>
        <v>111</v>
      </c>
      <c r="E20" s="633" t="str">
        <f>PLANTILLA!G22</f>
        <v>RAP</v>
      </c>
      <c r="F20" s="290">
        <v>41664</v>
      </c>
      <c r="G20" s="497">
        <v>1.5</v>
      </c>
      <c r="H20" s="498">
        <f>PLANTILLA!I22</f>
        <v>10</v>
      </c>
      <c r="I20" s="341"/>
      <c r="J20" s="163">
        <f>PLANTILLA!X22</f>
        <v>0</v>
      </c>
      <c r="K20" s="163">
        <f>PLANTILLA!Y22</f>
        <v>6.8376190476190493</v>
      </c>
      <c r="L20" s="163">
        <f>PLANTILLA!Z22</f>
        <v>8.625</v>
      </c>
      <c r="M20" s="163">
        <f>PLANTILLA!AA22</f>
        <v>8.7299999999999969</v>
      </c>
      <c r="N20" s="163">
        <f>PLANTILLA!AB22</f>
        <v>9.6900000000000013</v>
      </c>
      <c r="O20" s="163">
        <f>PLANTILLA!AC22</f>
        <v>8.5625000000000018</v>
      </c>
      <c r="P20" s="163">
        <f>PLANTILLA!AD22</f>
        <v>18.639999999999993</v>
      </c>
      <c r="Q20" s="163">
        <f t="shared" si="57"/>
        <v>3.6522023809523816</v>
      </c>
      <c r="R20" s="163">
        <f t="shared" si="58"/>
        <v>23.127416666666669</v>
      </c>
      <c r="S20" s="163">
        <f t="shared" si="59"/>
        <v>0.9873249999999999</v>
      </c>
      <c r="T20" s="163">
        <f t="shared" si="60"/>
        <v>0.83270476190476184</v>
      </c>
      <c r="U20" s="163">
        <f t="shared" ca="1" si="0"/>
        <v>20.973333333333326</v>
      </c>
      <c r="V20" s="159">
        <f t="shared" si="1"/>
        <v>4.3606828571428577</v>
      </c>
      <c r="W20" s="159">
        <f t="shared" si="2"/>
        <v>6.5638214285714298</v>
      </c>
      <c r="X20" s="159">
        <f t="shared" si="61"/>
        <v>4.3606828571428577</v>
      </c>
      <c r="Y20" s="159">
        <f t="shared" si="3"/>
        <v>4.9902114285714303</v>
      </c>
      <c r="Z20" s="159">
        <f t="shared" si="4"/>
        <v>9.6709523809523841</v>
      </c>
      <c r="AA20" s="159">
        <f t="shared" si="62"/>
        <v>2.4951057142857151</v>
      </c>
      <c r="AB20" s="159">
        <f t="shared" si="5"/>
        <v>2.7270833333333333</v>
      </c>
      <c r="AC20" s="159">
        <f t="shared" si="6"/>
        <v>3.6556200000000012</v>
      </c>
      <c r="AD20" s="159">
        <f t="shared" si="7"/>
        <v>6.9920985714285733</v>
      </c>
      <c r="AE20" s="159">
        <f t="shared" si="63"/>
        <v>1.8278100000000006</v>
      </c>
      <c r="AF20" s="159">
        <f t="shared" si="8"/>
        <v>4.4114583333333339</v>
      </c>
      <c r="AG20" s="357">
        <f t="shared" si="9"/>
        <v>8.8972761904761946</v>
      </c>
      <c r="AH20" s="159">
        <f t="shared" si="10"/>
        <v>4.0037742857142868</v>
      </c>
      <c r="AI20" s="159">
        <f t="shared" si="11"/>
        <v>1.9135416666666669</v>
      </c>
      <c r="AJ20" s="357">
        <f t="shared" si="12"/>
        <v>6.7992399999999984</v>
      </c>
      <c r="AK20" s="159">
        <f t="shared" si="13"/>
        <v>7.2918980952380981</v>
      </c>
      <c r="AL20" s="159">
        <f t="shared" si="14"/>
        <v>6.8470342857142876</v>
      </c>
      <c r="AM20" s="159">
        <f t="shared" si="15"/>
        <v>3.5860466666666655</v>
      </c>
      <c r="AN20" s="159">
        <f t="shared" si="16"/>
        <v>1.8678342857142858</v>
      </c>
      <c r="AO20" s="159">
        <f t="shared" si="17"/>
        <v>2.6111571428571438</v>
      </c>
      <c r="AP20" s="159">
        <f t="shared" si="18"/>
        <v>5.7445457142857155</v>
      </c>
      <c r="AQ20" s="159">
        <f t="shared" si="64"/>
        <v>1.3055785714285719</v>
      </c>
      <c r="AR20" s="159">
        <f t="shared" si="19"/>
        <v>10.816666666666666</v>
      </c>
      <c r="AS20" s="159">
        <f t="shared" si="20"/>
        <v>1.6280333333333337</v>
      </c>
      <c r="AT20" s="159">
        <f t="shared" si="21"/>
        <v>3.4742791666666673</v>
      </c>
      <c r="AU20" s="159">
        <f t="shared" si="65"/>
        <v>0.81401666666666683</v>
      </c>
      <c r="AV20" s="357">
        <f t="shared" si="22"/>
        <v>1.8278100000000006</v>
      </c>
      <c r="AW20" s="357">
        <f t="shared" si="23"/>
        <v>3.8683809523809538</v>
      </c>
      <c r="AX20" s="357">
        <f t="shared" si="66"/>
        <v>0.9139050000000003</v>
      </c>
      <c r="AY20" s="357">
        <f t="shared" si="24"/>
        <v>11.458333333333334</v>
      </c>
      <c r="AZ20" s="357">
        <f t="shared" si="25"/>
        <v>3.1684033333333339</v>
      </c>
      <c r="BA20" s="357">
        <f t="shared" si="26"/>
        <v>6.6635816666666683</v>
      </c>
      <c r="BB20" s="357">
        <f t="shared" si="67"/>
        <v>1.584201666666667</v>
      </c>
      <c r="BC20" s="357">
        <f t="shared" si="27"/>
        <v>2.8142471428571434</v>
      </c>
      <c r="BD20" s="357">
        <f t="shared" si="28"/>
        <v>3.3654914285714295</v>
      </c>
      <c r="BE20" s="357">
        <f t="shared" si="29"/>
        <v>10.094791666666667</v>
      </c>
      <c r="BF20" s="357">
        <f t="shared" si="30"/>
        <v>10.582203333333332</v>
      </c>
      <c r="BG20" s="357">
        <f t="shared" si="31"/>
        <v>3.0181233333333335</v>
      </c>
      <c r="BH20" s="357">
        <f t="shared" si="32"/>
        <v>4.6904119047619064</v>
      </c>
      <c r="BI20" s="357">
        <f t="shared" si="33"/>
        <v>2.5531314285714295</v>
      </c>
      <c r="BJ20" s="357">
        <f t="shared" si="34"/>
        <v>4.3656250000000005</v>
      </c>
      <c r="BK20" s="357">
        <f t="shared" si="35"/>
        <v>10.299313333333332</v>
      </c>
      <c r="BL20" s="357">
        <f t="shared" si="36"/>
        <v>0.65121333333333342</v>
      </c>
      <c r="BM20" s="357">
        <f t="shared" si="37"/>
        <v>1.7407714285714291</v>
      </c>
      <c r="BN20" s="357">
        <f t="shared" si="38"/>
        <v>0.65762476190476216</v>
      </c>
      <c r="BO20" s="357">
        <f t="shared" si="39"/>
        <v>3.494791666666667</v>
      </c>
      <c r="BP20" s="357">
        <f t="shared" si="40"/>
        <v>15.145006666666664</v>
      </c>
      <c r="BQ20" s="357">
        <f t="shared" si="41"/>
        <v>1.6906500000000004</v>
      </c>
      <c r="BR20" s="357">
        <f t="shared" si="42"/>
        <v>2.7465504761904769</v>
      </c>
      <c r="BS20" s="357">
        <f t="shared" si="43"/>
        <v>2.3597123809523817</v>
      </c>
      <c r="BT20" s="357">
        <f t="shared" si="44"/>
        <v>5.213541666666667</v>
      </c>
      <c r="BU20" s="357">
        <f t="shared" si="45"/>
        <v>13.046413333333332</v>
      </c>
      <c r="BV20" s="357">
        <f t="shared" si="46"/>
        <v>1.5153233333333336</v>
      </c>
      <c r="BW20" s="357">
        <f t="shared" si="47"/>
        <v>2.7465504761904769</v>
      </c>
      <c r="BX20" s="357">
        <f t="shared" si="48"/>
        <v>2.3597123809523817</v>
      </c>
      <c r="BY20" s="357">
        <f t="shared" si="49"/>
        <v>7.2302083333333336</v>
      </c>
      <c r="BZ20" s="357">
        <f t="shared" si="50"/>
        <v>10.534463333333331</v>
      </c>
      <c r="CA20" s="357">
        <f t="shared" si="51"/>
        <v>1.8534533333333336</v>
      </c>
      <c r="CB20" s="357">
        <f t="shared" si="52"/>
        <v>4.6520833333333336</v>
      </c>
      <c r="CC20" s="357">
        <f t="shared" si="53"/>
        <v>6.2432241666666668</v>
      </c>
      <c r="CD20" s="357">
        <f t="shared" si="54"/>
        <v>13.443940833333336</v>
      </c>
      <c r="CE20" s="357">
        <f t="shared" si="68"/>
        <v>6.2432241666666668</v>
      </c>
      <c r="CF20" s="357">
        <f t="shared" si="55"/>
        <v>7.1667266666666665</v>
      </c>
      <c r="CG20" s="357">
        <f t="shared" si="56"/>
        <v>16.016943333333337</v>
      </c>
      <c r="CH20" s="357">
        <f t="shared" si="69"/>
        <v>7.1667266666666665</v>
      </c>
      <c r="CI20" s="357">
        <f t="shared" si="70"/>
        <v>2.8645833333333335</v>
      </c>
    </row>
    <row r="21" spans="1:87" x14ac:dyDescent="0.25">
      <c r="A21" t="str">
        <f>PLANTILLA!D23</f>
        <v>L. Calosso</v>
      </c>
      <c r="C21" s="633">
        <f>PLANTILLA!E23</f>
        <v>30</v>
      </c>
      <c r="D21" s="633">
        <f ca="1">PLANTILLA!F23</f>
        <v>68</v>
      </c>
      <c r="E21" s="633" t="str">
        <f>PLANTILLA!G23</f>
        <v>TEC</v>
      </c>
      <c r="F21" s="290">
        <v>41890</v>
      </c>
      <c r="G21" s="497">
        <v>1</v>
      </c>
      <c r="H21" s="498">
        <f>PLANTILLA!I23</f>
        <v>10.199999999999999</v>
      </c>
      <c r="I21" s="341"/>
      <c r="J21" s="163">
        <f>PLANTILLA!X23</f>
        <v>0</v>
      </c>
      <c r="K21" s="163">
        <f>PLANTILLA!Y23</f>
        <v>3.02</v>
      </c>
      <c r="L21" s="163">
        <f>PLANTILLA!Z23</f>
        <v>14.137609523809523</v>
      </c>
      <c r="M21" s="163">
        <f>PLANTILLA!AA23</f>
        <v>3.02</v>
      </c>
      <c r="N21" s="163">
        <f>PLANTILLA!AB23</f>
        <v>15.02</v>
      </c>
      <c r="O21" s="163">
        <f>PLANTILLA!AC23</f>
        <v>10</v>
      </c>
      <c r="P21" s="163">
        <f>PLANTILLA!AD23</f>
        <v>9.3000000000000007</v>
      </c>
      <c r="Q21" s="163">
        <f t="shared" si="57"/>
        <v>4.5075000000000003</v>
      </c>
      <c r="R21" s="163">
        <f t="shared" si="58"/>
        <v>19.297008506125117</v>
      </c>
      <c r="S21" s="163">
        <f t="shared" si="59"/>
        <v>0.77900000000000003</v>
      </c>
      <c r="T21" s="163">
        <f t="shared" si="60"/>
        <v>0.39980000000000004</v>
      </c>
      <c r="U21" s="163">
        <f t="shared" ca="1" si="0"/>
        <v>11.644800229015891</v>
      </c>
      <c r="V21" s="159">
        <f t="shared" si="1"/>
        <v>2.8805305999308719</v>
      </c>
      <c r="W21" s="159">
        <f t="shared" si="2"/>
        <v>4.3106370956595139</v>
      </c>
      <c r="X21" s="159">
        <f t="shared" si="61"/>
        <v>2.8805305999308719</v>
      </c>
      <c r="Y21" s="159">
        <f t="shared" si="3"/>
        <v>2.7682369181721991</v>
      </c>
      <c r="Z21" s="159">
        <f t="shared" si="4"/>
        <v>5.3648002290158896</v>
      </c>
      <c r="AA21" s="159">
        <f t="shared" si="62"/>
        <v>1.3841184590860995</v>
      </c>
      <c r="AB21" s="159">
        <f t="shared" si="5"/>
        <v>3.9228135211724475</v>
      </c>
      <c r="AC21" s="159">
        <f t="shared" si="6"/>
        <v>2.0278944865680062</v>
      </c>
      <c r="AD21" s="159">
        <f t="shared" si="7"/>
        <v>3.8787505655784882</v>
      </c>
      <c r="AE21" s="159">
        <f t="shared" si="63"/>
        <v>1.0139472432840031</v>
      </c>
      <c r="AF21" s="159">
        <f t="shared" si="8"/>
        <v>6.3457277548377835</v>
      </c>
      <c r="AG21" s="357">
        <f t="shared" si="9"/>
        <v>4.9356162106946186</v>
      </c>
      <c r="AH21" s="159">
        <f t="shared" si="10"/>
        <v>2.2210272948125782</v>
      </c>
      <c r="AI21" s="159">
        <f t="shared" si="11"/>
        <v>2.752562428721844</v>
      </c>
      <c r="AJ21" s="357">
        <f t="shared" si="12"/>
        <v>3.1545025346613431</v>
      </c>
      <c r="AK21" s="159">
        <f t="shared" si="13"/>
        <v>4.0450593726779811</v>
      </c>
      <c r="AL21" s="159">
        <f t="shared" si="14"/>
        <v>3.7982785621432495</v>
      </c>
      <c r="AM21" s="159">
        <f t="shared" si="15"/>
        <v>1.9446816382456538</v>
      </c>
      <c r="AN21" s="159">
        <f t="shared" si="16"/>
        <v>1.9734624659565763</v>
      </c>
      <c r="AO21" s="159">
        <f t="shared" si="17"/>
        <v>1.4484960618342904</v>
      </c>
      <c r="AP21" s="159">
        <f t="shared" si="18"/>
        <v>3.1866913360354383</v>
      </c>
      <c r="AQ21" s="159">
        <f t="shared" si="64"/>
        <v>0.72424803091714518</v>
      </c>
      <c r="AR21" s="159">
        <f t="shared" si="19"/>
        <v>15.559394806667187</v>
      </c>
      <c r="AS21" s="159">
        <f t="shared" si="20"/>
        <v>2.257424029772066</v>
      </c>
      <c r="AT21" s="159">
        <f t="shared" si="21"/>
        <v>4.2194264671016555</v>
      </c>
      <c r="AU21" s="159">
        <f t="shared" si="65"/>
        <v>1.128712014886033</v>
      </c>
      <c r="AV21" s="357">
        <f t="shared" si="22"/>
        <v>1.0139472432840031</v>
      </c>
      <c r="AW21" s="357">
        <f t="shared" si="23"/>
        <v>2.1459200916063561</v>
      </c>
      <c r="AX21" s="357">
        <f t="shared" si="66"/>
        <v>0.50697362164200155</v>
      </c>
      <c r="AY21" s="357">
        <f t="shared" si="24"/>
        <v>16.482409752825411</v>
      </c>
      <c r="AZ21" s="357">
        <f t="shared" si="25"/>
        <v>4.3932944579410202</v>
      </c>
      <c r="BA21" s="357">
        <f t="shared" si="26"/>
        <v>8.5138049261877562</v>
      </c>
      <c r="BB21" s="357">
        <f t="shared" si="67"/>
        <v>2.1966472289705101</v>
      </c>
      <c r="BC21" s="357">
        <f t="shared" si="27"/>
        <v>1.5611568666436237</v>
      </c>
      <c r="BD21" s="357">
        <f t="shared" si="28"/>
        <v>1.8669504796975294</v>
      </c>
      <c r="BE21" s="357">
        <f t="shared" si="29"/>
        <v>14.521002992239188</v>
      </c>
      <c r="BF21" s="357">
        <f t="shared" si="30"/>
        <v>8.549307403595126</v>
      </c>
      <c r="BG21" s="357">
        <f t="shared" si="31"/>
        <v>4.1849168551928297</v>
      </c>
      <c r="BH21" s="357">
        <f t="shared" si="32"/>
        <v>2.6019281110727062</v>
      </c>
      <c r="BI21" s="357">
        <f t="shared" si="33"/>
        <v>1.416307260460195</v>
      </c>
      <c r="BJ21" s="357">
        <f t="shared" si="34"/>
        <v>6.2797981158264822</v>
      </c>
      <c r="BK21" s="357">
        <f t="shared" si="35"/>
        <v>7.1008354001598883</v>
      </c>
      <c r="BL21" s="357">
        <f t="shared" si="36"/>
        <v>0.9029696119088263</v>
      </c>
      <c r="BM21" s="357">
        <f t="shared" si="37"/>
        <v>0.96566404122286009</v>
      </c>
      <c r="BN21" s="357">
        <f t="shared" si="38"/>
        <v>0.36480641557308052</v>
      </c>
      <c r="BO21" s="357">
        <f t="shared" si="39"/>
        <v>5.0271349746117506</v>
      </c>
      <c r="BP21" s="357">
        <f t="shared" si="40"/>
        <v>10.331133094514435</v>
      </c>
      <c r="BQ21" s="357">
        <f t="shared" si="41"/>
        <v>2.3442480309171456</v>
      </c>
      <c r="BR21" s="357">
        <f t="shared" si="42"/>
        <v>1.5236032650405125</v>
      </c>
      <c r="BS21" s="357">
        <f t="shared" si="43"/>
        <v>1.309011255879877</v>
      </c>
      <c r="BT21" s="357">
        <f t="shared" si="44"/>
        <v>7.4994964375355622</v>
      </c>
      <c r="BU21" s="357">
        <f t="shared" si="45"/>
        <v>8.8721986537496065</v>
      </c>
      <c r="BV21" s="357">
        <f t="shared" si="46"/>
        <v>2.1011408277109229</v>
      </c>
      <c r="BW21" s="357">
        <f t="shared" si="47"/>
        <v>1.5236032650405125</v>
      </c>
      <c r="BX21" s="357">
        <f t="shared" si="48"/>
        <v>1.309011255879877</v>
      </c>
      <c r="BY21" s="357">
        <f t="shared" si="49"/>
        <v>10.400400554032835</v>
      </c>
      <c r="BZ21" s="357">
        <f t="shared" si="50"/>
        <v>7.1174962049692212</v>
      </c>
      <c r="CA21" s="357">
        <f t="shared" si="51"/>
        <v>2.5699904338943518</v>
      </c>
      <c r="CB21" s="357">
        <f t="shared" si="52"/>
        <v>6.6918583596471173</v>
      </c>
      <c r="CC21" s="357">
        <f t="shared" si="53"/>
        <v>7.9987049376385508</v>
      </c>
      <c r="CD21" s="357">
        <f t="shared" si="54"/>
        <v>16.626105057871893</v>
      </c>
      <c r="CE21" s="357">
        <f t="shared" si="68"/>
        <v>7.9987049376385508</v>
      </c>
      <c r="CF21" s="357">
        <f t="shared" si="55"/>
        <v>6.8610705426768996</v>
      </c>
      <c r="CG21" s="357">
        <f t="shared" si="56"/>
        <v>18.752411513522752</v>
      </c>
      <c r="CH21" s="357">
        <f t="shared" si="69"/>
        <v>6.8610705426768996</v>
      </c>
      <c r="CI21" s="357">
        <f t="shared" si="70"/>
        <v>4.1206024382063529</v>
      </c>
    </row>
    <row r="22" spans="1:87" x14ac:dyDescent="0.25">
      <c r="A22" t="str">
        <f>PLANTILLA!D24</f>
        <v>P .Trivadi</v>
      </c>
      <c r="B22" t="s">
        <v>855</v>
      </c>
      <c r="C22" s="633">
        <f>PLANTILLA!E24</f>
        <v>27</v>
      </c>
      <c r="D22" s="633">
        <f ca="1">PLANTILLA!F24</f>
        <v>30</v>
      </c>
      <c r="E22" s="633"/>
      <c r="F22" s="290">
        <v>41973</v>
      </c>
      <c r="G22" s="497">
        <v>1.5</v>
      </c>
      <c r="H22" s="498">
        <f>PLANTILLA!I24</f>
        <v>5.3</v>
      </c>
      <c r="I22" s="341"/>
      <c r="J22" s="163">
        <f>PLANTILLA!X24</f>
        <v>0</v>
      </c>
      <c r="K22" s="163">
        <f>PLANTILLA!Y24</f>
        <v>4.0199999999999996</v>
      </c>
      <c r="L22" s="163">
        <f>PLANTILLA!Z24</f>
        <v>5.5538722222222203</v>
      </c>
      <c r="M22" s="163">
        <f>PLANTILLA!AA24</f>
        <v>5.4899999999999993</v>
      </c>
      <c r="N22" s="163">
        <f>PLANTILLA!AB24</f>
        <v>10.799999999999999</v>
      </c>
      <c r="O22" s="163">
        <f>PLANTILLA!AC24</f>
        <v>8.384500000000001</v>
      </c>
      <c r="P22" s="163">
        <f>PLANTILLA!AD24</f>
        <v>13.566666666666668</v>
      </c>
      <c r="Q22" s="163">
        <f t="shared" si="57"/>
        <v>3.5774999999999997</v>
      </c>
      <c r="R22" s="163">
        <f t="shared" si="58"/>
        <v>19.229136229090329</v>
      </c>
      <c r="S22" s="163">
        <f t="shared" si="59"/>
        <v>0.82622500000000021</v>
      </c>
      <c r="T22" s="163">
        <f t="shared" si="60"/>
        <v>0.56779999999999997</v>
      </c>
      <c r="U22" s="163">
        <f t="shared" ca="1" si="0"/>
        <v>15.532367826134386</v>
      </c>
      <c r="V22" s="159">
        <f t="shared" si="1"/>
        <v>3.2620771122153185</v>
      </c>
      <c r="W22" s="159">
        <f t="shared" si="2"/>
        <v>4.891720196872825</v>
      </c>
      <c r="X22" s="159">
        <f t="shared" si="61"/>
        <v>3.2620771122153185</v>
      </c>
      <c r="Y22" s="159">
        <f t="shared" si="3"/>
        <v>3.3466217982853426</v>
      </c>
      <c r="Z22" s="159">
        <f t="shared" si="4"/>
        <v>6.4857011594677179</v>
      </c>
      <c r="AA22" s="159">
        <f t="shared" si="62"/>
        <v>1.6733108991426713</v>
      </c>
      <c r="AB22" s="159">
        <f t="shared" si="5"/>
        <v>1.9086584648422056</v>
      </c>
      <c r="AC22" s="159">
        <f t="shared" si="6"/>
        <v>2.4515950382787972</v>
      </c>
      <c r="AD22" s="159">
        <f t="shared" si="7"/>
        <v>4.6891619382951601</v>
      </c>
      <c r="AE22" s="159">
        <f t="shared" si="63"/>
        <v>1.2257975191393986</v>
      </c>
      <c r="AF22" s="159">
        <f t="shared" si="8"/>
        <v>3.0875357519506266</v>
      </c>
      <c r="AG22" s="357">
        <f t="shared" si="9"/>
        <v>5.9668450667103006</v>
      </c>
      <c r="AH22" s="159">
        <f t="shared" si="10"/>
        <v>2.6850802800196352</v>
      </c>
      <c r="AI22" s="159">
        <f t="shared" si="11"/>
        <v>1.33926875474222</v>
      </c>
      <c r="AJ22" s="357">
        <f t="shared" si="12"/>
        <v>4.6779522817670181</v>
      </c>
      <c r="AK22" s="159">
        <f t="shared" si="13"/>
        <v>4.8902186742386595</v>
      </c>
      <c r="AL22" s="159">
        <f t="shared" si="14"/>
        <v>4.5918764209031444</v>
      </c>
      <c r="AM22" s="159">
        <f t="shared" si="15"/>
        <v>2.6774054269644427</v>
      </c>
      <c r="AN22" s="159">
        <f t="shared" si="16"/>
        <v>1.740441933926703</v>
      </c>
      <c r="AO22" s="159">
        <f t="shared" si="17"/>
        <v>1.751139313056284</v>
      </c>
      <c r="AP22" s="159">
        <f t="shared" si="18"/>
        <v>3.8525064887238241</v>
      </c>
      <c r="AQ22" s="159">
        <f t="shared" si="64"/>
        <v>0.875569656528142</v>
      </c>
      <c r="AR22" s="159">
        <f t="shared" si="19"/>
        <v>7.5704772723153022</v>
      </c>
      <c r="AS22" s="159">
        <f t="shared" si="20"/>
        <v>1.7245411507308033</v>
      </c>
      <c r="AT22" s="159">
        <f t="shared" si="21"/>
        <v>3.4689689397240411</v>
      </c>
      <c r="AU22" s="159">
        <f t="shared" si="65"/>
        <v>0.86227057536540164</v>
      </c>
      <c r="AV22" s="357">
        <f t="shared" si="22"/>
        <v>1.2257975191393986</v>
      </c>
      <c r="AW22" s="357">
        <f t="shared" si="23"/>
        <v>2.5942804637870873</v>
      </c>
      <c r="AX22" s="357">
        <f t="shared" si="66"/>
        <v>0.6128987595696993</v>
      </c>
      <c r="AY22" s="357">
        <f t="shared" si="24"/>
        <v>8.0195733816899395</v>
      </c>
      <c r="AZ22" s="357">
        <f t="shared" si="25"/>
        <v>3.3562223933453326</v>
      </c>
      <c r="BA22" s="357">
        <f t="shared" si="26"/>
        <v>6.8021463388667129</v>
      </c>
      <c r="BB22" s="357">
        <f t="shared" si="67"/>
        <v>1.6781111966726663</v>
      </c>
      <c r="BC22" s="357">
        <f t="shared" si="27"/>
        <v>1.8873390374051058</v>
      </c>
      <c r="BD22" s="357">
        <f t="shared" si="28"/>
        <v>2.2570240034947657</v>
      </c>
      <c r="BE22" s="357">
        <f t="shared" si="29"/>
        <v>7.0652441492688371</v>
      </c>
      <c r="BF22" s="357">
        <f t="shared" si="30"/>
        <v>8.7452683307668018</v>
      </c>
      <c r="BG22" s="357">
        <f t="shared" si="31"/>
        <v>3.19703397943172</v>
      </c>
      <c r="BH22" s="357">
        <f t="shared" si="32"/>
        <v>3.1455650623418432</v>
      </c>
      <c r="BI22" s="357">
        <f t="shared" si="33"/>
        <v>1.7122251060994775</v>
      </c>
      <c r="BJ22" s="357">
        <f t="shared" si="34"/>
        <v>3.055457458423867</v>
      </c>
      <c r="BK22" s="357">
        <f t="shared" si="35"/>
        <v>8.0205928133747868</v>
      </c>
      <c r="BL22" s="357">
        <f t="shared" si="36"/>
        <v>0.68981646029232124</v>
      </c>
      <c r="BM22" s="357">
        <f t="shared" si="37"/>
        <v>1.1674262087041891</v>
      </c>
      <c r="BN22" s="357">
        <f t="shared" si="38"/>
        <v>0.44102767884380484</v>
      </c>
      <c r="BO22" s="357">
        <f t="shared" si="39"/>
        <v>2.4459698814154316</v>
      </c>
      <c r="BP22" s="357">
        <f t="shared" si="40"/>
        <v>11.749691691075485</v>
      </c>
      <c r="BQ22" s="357">
        <f t="shared" si="41"/>
        <v>1.7908696565281419</v>
      </c>
      <c r="BR22" s="357">
        <f t="shared" si="42"/>
        <v>1.8419391292888316</v>
      </c>
      <c r="BS22" s="357">
        <f t="shared" si="43"/>
        <v>1.5825110829101232</v>
      </c>
      <c r="BT22" s="357">
        <f t="shared" si="44"/>
        <v>3.6489058886689225</v>
      </c>
      <c r="BU22" s="357">
        <f t="shared" si="45"/>
        <v>10.110556884690231</v>
      </c>
      <c r="BV22" s="357">
        <f t="shared" si="46"/>
        <v>1.6051498402955937</v>
      </c>
      <c r="BW22" s="357">
        <f t="shared" si="47"/>
        <v>1.8419391292888316</v>
      </c>
      <c r="BX22" s="357">
        <f t="shared" si="48"/>
        <v>1.5825110829101232</v>
      </c>
      <c r="BY22" s="357">
        <f t="shared" si="49"/>
        <v>5.0603508038463518</v>
      </c>
      <c r="BZ22" s="357">
        <f t="shared" si="50"/>
        <v>8.145182537723608</v>
      </c>
      <c r="CA22" s="357">
        <f t="shared" si="51"/>
        <v>1.963323771601222</v>
      </c>
      <c r="CB22" s="357">
        <f t="shared" si="52"/>
        <v>3.2559467929661157</v>
      </c>
      <c r="CC22" s="357">
        <f t="shared" si="53"/>
        <v>5.8400218040826815</v>
      </c>
      <c r="CD22" s="357">
        <f t="shared" si="54"/>
        <v>13.528943005560652</v>
      </c>
      <c r="CE22" s="357">
        <f t="shared" si="68"/>
        <v>5.8400218040826815</v>
      </c>
      <c r="CF22" s="357">
        <f t="shared" si="55"/>
        <v>6.3329918223483883</v>
      </c>
      <c r="CG22" s="357">
        <f t="shared" si="56"/>
        <v>15.745244887311307</v>
      </c>
      <c r="CH22" s="357">
        <f t="shared" si="69"/>
        <v>6.3329918223483883</v>
      </c>
      <c r="CI22" s="357">
        <f t="shared" si="70"/>
        <v>2.0048933454224849</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2018-01-05T14:46:21Z</dcterms:modified>
</cp:coreProperties>
</file>