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LAT" sheetId="16" r:id="rId10"/>
    <sheet name="ANO" sheetId="15" r:id="rId11"/>
    <sheet name="Calculador de Sueldo" sheetId="2" r:id="rId12"/>
    <sheet name="Empleados" sheetId="4" r:id="rId13"/>
  </sheets>
  <calcPr calcId="152511"/>
</workbook>
</file>

<file path=xl/calcChain.xml><?xml version="1.0" encoding="utf-8"?>
<calcChain xmlns="http://schemas.openxmlformats.org/spreadsheetml/2006/main">
  <c r="AC20" i="1" l="1"/>
  <c r="AC19" i="1"/>
  <c r="AC18" i="1"/>
  <c r="AC21" i="1"/>
  <c r="AC13" i="1"/>
  <c r="AC12" i="1"/>
  <c r="AC17" i="1"/>
  <c r="AC16" i="1"/>
  <c r="AC15" i="1"/>
  <c r="AC6" i="1"/>
  <c r="AC10" i="1"/>
  <c r="AC9" i="1"/>
  <c r="AC8" i="1"/>
  <c r="AC7" i="1"/>
  <c r="AC4" i="1"/>
  <c r="AR21" i="1" l="1"/>
  <c r="AN21" i="1"/>
  <c r="AL21" i="1"/>
  <c r="AK21" i="1"/>
  <c r="AJ21" i="1"/>
  <c r="AI21" i="1"/>
  <c r="AH21" i="1"/>
  <c r="AG21" i="1"/>
  <c r="AM21" i="1"/>
  <c r="W21" i="1"/>
  <c r="U21" i="1"/>
  <c r="S21" i="1"/>
  <c r="R21" i="1"/>
  <c r="P21" i="1"/>
  <c r="L21" i="1"/>
  <c r="K21" i="1"/>
  <c r="J21" i="1"/>
  <c r="AR20" i="1"/>
  <c r="AB20" i="1"/>
  <c r="W20" i="1"/>
  <c r="U20" i="1"/>
  <c r="S20" i="1"/>
  <c r="R20" i="1"/>
  <c r="P20" i="1"/>
  <c r="N20" i="1"/>
  <c r="AK20" i="1" s="1"/>
  <c r="L20" i="1"/>
  <c r="K20" i="1"/>
  <c r="J20" i="1"/>
  <c r="AR19" i="1"/>
  <c r="AB19" i="1"/>
  <c r="W19" i="1"/>
  <c r="U19" i="1"/>
  <c r="S19" i="1"/>
  <c r="R19" i="1"/>
  <c r="P19" i="1"/>
  <c r="N19" i="1"/>
  <c r="AI19" i="1" s="1"/>
  <c r="L19" i="1"/>
  <c r="K19" i="1"/>
  <c r="J19" i="1"/>
  <c r="AR18" i="1"/>
  <c r="AB18" i="1"/>
  <c r="W18" i="1"/>
  <c r="U18" i="1"/>
  <c r="S18" i="1"/>
  <c r="R18" i="1"/>
  <c r="P18" i="1"/>
  <c r="N18" i="1"/>
  <c r="AK18" i="1" s="1"/>
  <c r="L18" i="1"/>
  <c r="K18" i="1"/>
  <c r="J18" i="1"/>
  <c r="AR17" i="1"/>
  <c r="AB17" i="1"/>
  <c r="W17" i="1"/>
  <c r="U17" i="1"/>
  <c r="S17" i="1"/>
  <c r="R17" i="1"/>
  <c r="P17" i="1"/>
  <c r="N17" i="1"/>
  <c r="AI17" i="1" s="1"/>
  <c r="L17" i="1"/>
  <c r="K17" i="1"/>
  <c r="J17" i="1"/>
  <c r="AR16" i="1"/>
  <c r="AB16" i="1"/>
  <c r="W16" i="1"/>
  <c r="U16" i="1"/>
  <c r="S16" i="1"/>
  <c r="R16" i="1"/>
  <c r="P16" i="1"/>
  <c r="N16" i="1"/>
  <c r="AK16" i="1" s="1"/>
  <c r="L16" i="1"/>
  <c r="K16" i="1"/>
  <c r="J16" i="1"/>
  <c r="AR15" i="1"/>
  <c r="AN15" i="1"/>
  <c r="AM15" i="1"/>
  <c r="AL15" i="1"/>
  <c r="AJ15" i="1"/>
  <c r="AI15" i="1"/>
  <c r="AH15" i="1"/>
  <c r="AG15" i="1"/>
  <c r="AB15" i="1"/>
  <c r="AK15" i="1" s="1"/>
  <c r="W15" i="1"/>
  <c r="U15" i="1"/>
  <c r="S15" i="1"/>
  <c r="R15" i="1"/>
  <c r="P15" i="1"/>
  <c r="L15" i="1"/>
  <c r="K15" i="1"/>
  <c r="J15" i="1"/>
  <c r="AR14" i="1"/>
  <c r="AC14" i="1"/>
  <c r="AB14" i="1"/>
  <c r="W14" i="1"/>
  <c r="U14" i="1"/>
  <c r="S14" i="1"/>
  <c r="R14" i="1"/>
  <c r="P14" i="1"/>
  <c r="N14" i="1"/>
  <c r="AI14" i="1" s="1"/>
  <c r="L14" i="1"/>
  <c r="K14" i="1"/>
  <c r="J14" i="1"/>
  <c r="AR13" i="1"/>
  <c r="AB13" i="1"/>
  <c r="W13" i="1"/>
  <c r="U13" i="1"/>
  <c r="S13" i="1"/>
  <c r="R13" i="1"/>
  <c r="P13" i="1"/>
  <c r="N13" i="1"/>
  <c r="AK13" i="1" s="1"/>
  <c r="L13" i="1"/>
  <c r="K13" i="1"/>
  <c r="J13" i="1"/>
  <c r="AR12" i="1"/>
  <c r="AB12" i="1"/>
  <c r="W12" i="1"/>
  <c r="U12" i="1"/>
  <c r="S12" i="1"/>
  <c r="R12" i="1"/>
  <c r="P12" i="1"/>
  <c r="N12" i="1"/>
  <c r="AI12" i="1" s="1"/>
  <c r="L12" i="1"/>
  <c r="K12" i="1"/>
  <c r="J12" i="1"/>
  <c r="AR11" i="1"/>
  <c r="W11" i="1"/>
  <c r="U11" i="1"/>
  <c r="S11" i="1"/>
  <c r="R11" i="1"/>
  <c r="P11" i="1"/>
  <c r="N11" i="1"/>
  <c r="AK11" i="1" s="1"/>
  <c r="L11" i="1"/>
  <c r="K11" i="1"/>
  <c r="J11"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C5" i="1"/>
  <c r="AB5" i="1"/>
  <c r="W5" i="1"/>
  <c r="U5" i="1"/>
  <c r="S5" i="1"/>
  <c r="R5" i="1"/>
  <c r="P5" i="1"/>
  <c r="N5" i="1"/>
  <c r="AI5" i="1" s="1"/>
  <c r="L5" i="1"/>
  <c r="K5" i="1"/>
  <c r="J5" i="1"/>
  <c r="AR4" i="1"/>
  <c r="W4" i="1"/>
  <c r="U4" i="1"/>
  <c r="S4" i="1"/>
  <c r="R4" i="1"/>
  <c r="P4" i="1"/>
  <c r="N4" i="1"/>
  <c r="AK4" i="1" s="1"/>
  <c r="L4" i="1"/>
  <c r="K4" i="1"/>
  <c r="J4" i="1"/>
  <c r="AR22" i="1"/>
  <c r="AM10" i="1" l="1"/>
  <c r="AM12" i="1"/>
  <c r="AM14" i="1"/>
  <c r="AM16" i="1"/>
  <c r="AM20" i="1"/>
  <c r="AM7" i="1"/>
  <c r="AN9" i="1"/>
  <c r="AL20" i="1"/>
  <c r="AJ9" i="1"/>
  <c r="AN11" i="1"/>
  <c r="AM5" i="1"/>
  <c r="AJ10" i="1"/>
  <c r="AH11" i="1"/>
  <c r="AL16" i="1"/>
  <c r="AM17" i="1"/>
  <c r="AN19" i="1"/>
  <c r="AN5" i="1"/>
  <c r="AM9" i="1"/>
  <c r="AJ11" i="1"/>
  <c r="AN17" i="1"/>
  <c r="AM18" i="1"/>
  <c r="AM19" i="1"/>
  <c r="AL4" i="1"/>
  <c r="AN13" i="1"/>
  <c r="AL18" i="1"/>
  <c r="AN4" i="1"/>
  <c r="AH12" i="1"/>
  <c r="AH14" i="1"/>
  <c r="AH18" i="1"/>
  <c r="AH20" i="1"/>
  <c r="AN20" i="1"/>
  <c r="AH4" i="1"/>
  <c r="AL7" i="1"/>
  <c r="AK10" i="1"/>
  <c r="AH10" i="1"/>
  <c r="AN10" i="1"/>
  <c r="AJ12" i="1"/>
  <c r="AJ13" i="1"/>
  <c r="AJ14" i="1"/>
  <c r="AI16" i="1"/>
  <c r="AH17" i="1"/>
  <c r="AI18" i="1"/>
  <c r="AH19" i="1"/>
  <c r="AI20" i="1"/>
  <c r="AH13" i="1"/>
  <c r="AI13" i="1"/>
  <c r="AH16" i="1"/>
  <c r="AN16" i="1"/>
  <c r="AN18" i="1"/>
  <c r="AH5" i="1"/>
  <c r="AI7" i="1"/>
  <c r="AJ4" i="1"/>
  <c r="AJ5" i="1"/>
  <c r="AH9" i="1"/>
  <c r="AI10" i="1"/>
  <c r="AL11" i="1"/>
  <c r="AN12" i="1"/>
  <c r="AM13" i="1"/>
  <c r="AL13" i="1"/>
  <c r="AN14" i="1"/>
  <c r="AJ16" i="1"/>
  <c r="AJ17" i="1"/>
  <c r="AJ18" i="1"/>
  <c r="AJ19" i="1"/>
  <c r="AJ20" i="1"/>
  <c r="AL8" i="1"/>
  <c r="AI4" i="1"/>
  <c r="AM4" i="1"/>
  <c r="AG5" i="1"/>
  <c r="AK5" i="1"/>
  <c r="AJ7" i="1"/>
  <c r="AN7" i="1"/>
  <c r="AI8" i="1"/>
  <c r="AM8" i="1"/>
  <c r="AG9" i="1"/>
  <c r="AK9" i="1"/>
  <c r="AI11" i="1"/>
  <c r="AM11" i="1"/>
  <c r="AG12" i="1"/>
  <c r="AK12" i="1"/>
  <c r="AG14" i="1"/>
  <c r="AK14" i="1"/>
  <c r="AG17" i="1"/>
  <c r="AK17" i="1"/>
  <c r="AG19" i="1"/>
  <c r="AK19" i="1"/>
  <c r="AH8" i="1"/>
  <c r="AL5" i="1"/>
  <c r="AG7" i="1"/>
  <c r="AK7" i="1"/>
  <c r="AJ8" i="1"/>
  <c r="AN8" i="1"/>
  <c r="AL9" i="1"/>
  <c r="AL12" i="1"/>
  <c r="AL14" i="1"/>
  <c r="AL17" i="1"/>
  <c r="AL19" i="1"/>
  <c r="AG4" i="1"/>
  <c r="AH7" i="1"/>
  <c r="AG8" i="1"/>
  <c r="AG10" i="1"/>
  <c r="AG11" i="1"/>
  <c r="AG13" i="1"/>
  <c r="AG16" i="1"/>
  <c r="AG18" i="1"/>
  <c r="AG20" i="1"/>
  <c r="AG7" i="10" l="1"/>
  <c r="AI7" i="10"/>
  <c r="A18" i="10"/>
  <c r="B18" i="10"/>
  <c r="D18" i="10"/>
  <c r="E18" i="10"/>
  <c r="H18" i="10"/>
  <c r="I18" i="10"/>
  <c r="AC18" i="10" s="1"/>
  <c r="J18" i="10"/>
  <c r="M18" i="10"/>
  <c r="N18" i="10"/>
  <c r="AE18" i="10" s="1"/>
  <c r="O18" i="10"/>
  <c r="AF18" i="10" s="1"/>
  <c r="P18" i="10"/>
  <c r="Q18" i="10"/>
  <c r="R18" i="10"/>
  <c r="S18" i="10"/>
  <c r="AJ18" i="10" s="1"/>
  <c r="AD18" i="10"/>
  <c r="AH18" i="10"/>
  <c r="L18" i="10" l="1"/>
  <c r="K18" i="10"/>
  <c r="U26" i="1" l="1"/>
  <c r="T26" i="1"/>
  <c r="J3" i="3"/>
  <c r="K3" i="3"/>
  <c r="Q3" i="3"/>
  <c r="AG17" i="10" l="1"/>
  <c r="AI17" i="10"/>
  <c r="AG16" i="10"/>
  <c r="AI16" i="10"/>
  <c r="AG15" i="10"/>
  <c r="AI15" i="10"/>
  <c r="AG14" i="10"/>
  <c r="AI14" i="10"/>
  <c r="AG13" i="10"/>
  <c r="AI13" i="10"/>
  <c r="AG12" i="10"/>
  <c r="AI12" i="10"/>
  <c r="AG11" i="10"/>
  <c r="AI11" i="10"/>
  <c r="AG10" i="10"/>
  <c r="AI10" i="10"/>
  <c r="AG8" i="10"/>
  <c r="AI8" i="10"/>
  <c r="AG6" i="10"/>
  <c r="AG5" i="10"/>
  <c r="AI4" i="10"/>
  <c r="Y17" i="10"/>
  <c r="Y16" i="10"/>
  <c r="Y15" i="10"/>
  <c r="Y14" i="10"/>
  <c r="Y11"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1" i="10"/>
  <c r="B11" i="10"/>
  <c r="D11" i="10"/>
  <c r="E11" i="10"/>
  <c r="G11" i="10"/>
  <c r="H11" i="10"/>
  <c r="I11" i="10"/>
  <c r="J11" i="10"/>
  <c r="M11" i="10"/>
  <c r="N11" i="10"/>
  <c r="AE11" i="10" s="1"/>
  <c r="O11" i="10"/>
  <c r="AF11" i="10" s="1"/>
  <c r="P11" i="10"/>
  <c r="Q11" i="10"/>
  <c r="R11" i="10"/>
  <c r="S11"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9" i="10"/>
  <c r="B19" i="10"/>
  <c r="D19" i="10"/>
  <c r="A20" i="10"/>
  <c r="B20" i="10"/>
  <c r="D20" i="10"/>
  <c r="A21" i="10"/>
  <c r="B21" i="10"/>
  <c r="D21" i="10"/>
  <c r="A22" i="10"/>
  <c r="B22" i="10"/>
  <c r="D22"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F10" i="3"/>
  <c r="G10" i="3" s="1"/>
  <c r="I10" i="3"/>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A20" i="3"/>
  <c r="B20" i="3"/>
  <c r="D20" i="3"/>
  <c r="E20" i="3"/>
  <c r="F20" i="3"/>
  <c r="G20" i="3" s="1"/>
  <c r="J20" i="3"/>
  <c r="K20" i="3"/>
  <c r="L20" i="3"/>
  <c r="M20" i="3"/>
  <c r="N20" i="3"/>
  <c r="O20" i="3"/>
  <c r="P20" i="3"/>
  <c r="Q20"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P20" i="3" l="1"/>
  <c r="AR20" i="3" s="1"/>
  <c r="AK18" i="3"/>
  <c r="AG18" i="3"/>
  <c r="R18" i="3"/>
  <c r="AO18" i="3" s="1"/>
  <c r="H16" i="3"/>
  <c r="K8" i="10"/>
  <c r="R20" i="3"/>
  <c r="AO20" i="3" s="1"/>
  <c r="BA19" i="3"/>
  <c r="BC19" i="3" s="1"/>
  <c r="H9" i="3"/>
  <c r="S20" i="3"/>
  <c r="L13" i="10"/>
  <c r="L5" i="10"/>
  <c r="AC20" i="3"/>
  <c r="I20" i="3"/>
  <c r="BY20" i="3"/>
  <c r="CA20" i="3" s="1"/>
  <c r="S19" i="3"/>
  <c r="T19" i="3"/>
  <c r="BQ20" i="3"/>
  <c r="BA20" i="3"/>
  <c r="BC20" i="3" s="1"/>
  <c r="AH20" i="3"/>
  <c r="T20" i="3"/>
  <c r="H20" i="3"/>
  <c r="R19" i="3"/>
  <c r="AO19" i="3" s="1"/>
  <c r="S18" i="3"/>
  <c r="T18" i="3"/>
  <c r="H12" i="3"/>
  <c r="BN20" i="3"/>
  <c r="AU20" i="3"/>
  <c r="W20" i="3"/>
  <c r="Y20" i="3" s="1"/>
  <c r="F7" i="12"/>
  <c r="Q12" i="12" s="1"/>
  <c r="W18" i="3"/>
  <c r="Y18" i="3" s="1"/>
  <c r="BV20" i="3"/>
  <c r="BM20" i="3"/>
  <c r="X20" i="3"/>
  <c r="BZ18" i="3"/>
  <c r="G5" i="3"/>
  <c r="BR20" i="3"/>
  <c r="BJ20" i="3"/>
  <c r="AL20" i="3"/>
  <c r="K14" i="10"/>
  <c r="K6" i="10"/>
  <c r="H17" i="3"/>
  <c r="H8" i="3"/>
  <c r="L11" i="10"/>
  <c r="L8" i="10"/>
  <c r="BZ20" i="3"/>
  <c r="AH19" i="3"/>
  <c r="BQ18" i="3"/>
  <c r="BE18" i="3"/>
  <c r="AA18" i="3"/>
  <c r="CE20" i="3"/>
  <c r="BU20" i="3"/>
  <c r="BI20" i="3"/>
  <c r="BE20" i="3"/>
  <c r="AZ20" i="3"/>
  <c r="AT20" i="3"/>
  <c r="AV20" i="3" s="1"/>
  <c r="AK20" i="3"/>
  <c r="AG20" i="3"/>
  <c r="AA20" i="3"/>
  <c r="V20" i="3"/>
  <c r="CC18" i="3"/>
  <c r="BX18" i="3"/>
  <c r="BT18" i="3"/>
  <c r="BP18" i="3"/>
  <c r="BL18" i="3"/>
  <c r="BH18" i="3"/>
  <c r="BD18" i="3"/>
  <c r="AX18" i="3"/>
  <c r="AS18" i="3"/>
  <c r="AN18" i="3"/>
  <c r="AJ18" i="3"/>
  <c r="AE18" i="3"/>
  <c r="Z18" i="3"/>
  <c r="AB18" i="3" s="1"/>
  <c r="U18" i="3"/>
  <c r="V18" i="3" s="1"/>
  <c r="BF20" i="3"/>
  <c r="BU18" i="3"/>
  <c r="BI18" i="3"/>
  <c r="AZ18" i="3"/>
  <c r="X19" i="3"/>
  <c r="H13" i="3"/>
  <c r="CC20" i="3"/>
  <c r="BX20" i="3"/>
  <c r="BT20" i="3"/>
  <c r="BP20" i="3"/>
  <c r="BL20" i="3"/>
  <c r="BH20" i="3"/>
  <c r="BD20" i="3"/>
  <c r="AX20" i="3"/>
  <c r="AS20" i="3"/>
  <c r="AN20" i="3"/>
  <c r="AJ20" i="3"/>
  <c r="AE20" i="3"/>
  <c r="Z20" i="3"/>
  <c r="AB20" i="3" s="1"/>
  <c r="U20"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CB20" i="3"/>
  <c r="CD20" i="3" s="1"/>
  <c r="BW20" i="3"/>
  <c r="BS20" i="3"/>
  <c r="BO20" i="3"/>
  <c r="BK20" i="3"/>
  <c r="BG20" i="3"/>
  <c r="BB20" i="3"/>
  <c r="AW20" i="3"/>
  <c r="AY20" i="3" s="1"/>
  <c r="AQ20" i="3"/>
  <c r="AM20" i="3"/>
  <c r="AI20" i="3"/>
  <c r="AD20" i="3"/>
  <c r="AF20" i="3" s="1"/>
  <c r="BV18" i="3"/>
  <c r="BR18" i="3"/>
  <c r="BN18" i="3"/>
  <c r="BJ18" i="3"/>
  <c r="BF18" i="3"/>
  <c r="BA18" i="3"/>
  <c r="BC18" i="3" s="1"/>
  <c r="AU18" i="3"/>
  <c r="AP18" i="3"/>
  <c r="AR18" i="3" s="1"/>
  <c r="AL18" i="3"/>
  <c r="AH18" i="3"/>
  <c r="AC18" i="3"/>
  <c r="L16" i="10"/>
  <c r="L12" i="10"/>
  <c r="L7" i="10"/>
  <c r="K5" i="10"/>
  <c r="J15" i="12"/>
  <c r="K16"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3" i="10"/>
  <c r="K11" i="10"/>
  <c r="K17" i="10"/>
  <c r="K15" i="10"/>
  <c r="K12" i="10"/>
  <c r="L17" i="10"/>
  <c r="L15" i="10"/>
  <c r="K10" i="10"/>
  <c r="L9" i="10"/>
  <c r="K7" i="10"/>
  <c r="L14"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I10" i="12"/>
  <c r="F10" i="12"/>
  <c r="J10" i="12" s="1"/>
  <c r="I12" i="12"/>
  <c r="F12" i="12"/>
  <c r="J12" i="12" s="1"/>
  <c r="I16" i="12"/>
  <c r="F16" i="12"/>
  <c r="J16" i="12" s="1"/>
  <c r="I8" i="12"/>
  <c r="F8" i="12"/>
  <c r="J8" i="12" s="1"/>
  <c r="I20" i="12"/>
  <c r="F20" i="12"/>
  <c r="J20" i="12" s="1"/>
  <c r="J18" i="12"/>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1" i="10"/>
  <c r="AJ11" i="10"/>
  <c r="AD12" i="10"/>
  <c r="AJ12" i="10"/>
  <c r="AD13" i="10"/>
  <c r="AJ13" i="10"/>
  <c r="AD14" i="10"/>
  <c r="AJ14" i="10"/>
  <c r="AD15" i="10"/>
  <c r="AD16" i="10"/>
  <c r="AD17" i="10"/>
  <c r="AC5" i="10"/>
  <c r="AC6" i="10"/>
  <c r="AC9" i="10"/>
  <c r="AC10" i="10"/>
  <c r="AC14" i="10"/>
  <c r="AC15" i="10"/>
  <c r="AC16" i="10"/>
  <c r="Y10" i="10"/>
  <c r="Y8" i="10"/>
  <c r="Y4" i="10"/>
  <c r="D2" i="10"/>
  <c r="Z1" i="10"/>
  <c r="AA1" i="10" s="1"/>
  <c r="K4" i="10" l="1"/>
  <c r="L4" i="10"/>
  <c r="AC4" i="10"/>
  <c r="AC7" i="10"/>
  <c r="AC8" i="10"/>
  <c r="AC11" i="10"/>
  <c r="AC12" i="10"/>
  <c r="AC13" i="10"/>
  <c r="AC17" i="10"/>
  <c r="AJ17" i="10" l="1"/>
  <c r="AH17" i="10"/>
  <c r="AH16" i="10"/>
  <c r="AJ15" i="10"/>
  <c r="AH14" i="10"/>
  <c r="AH10" i="10"/>
  <c r="AJ10" i="10"/>
  <c r="AH13" i="10"/>
  <c r="AH12" i="10"/>
  <c r="AH11" i="10"/>
  <c r="AH8" i="10"/>
  <c r="AH6" i="10"/>
  <c r="AH9" i="10"/>
  <c r="AH7" i="10"/>
  <c r="AJ7" i="10"/>
  <c r="AJ5" i="10"/>
  <c r="AJ4" i="10"/>
  <c r="AJ16" i="10" l="1"/>
  <c r="AH15"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7" i="3" l="1"/>
  <c r="AI27"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5" i="3" l="1"/>
  <c r="AI29" i="3" s="1"/>
  <c r="AI25" i="3"/>
  <c r="AH29" i="3" s="1"/>
  <c r="W2" i="1" l="1"/>
  <c r="C9" i="2"/>
  <c r="C10" i="2" s="1"/>
  <c r="B9" i="2"/>
  <c r="B10" i="2" s="1"/>
  <c r="AE2" i="1" l="1"/>
  <c r="D2" i="1" l="1"/>
  <c r="F9" i="1" s="1"/>
  <c r="F20" i="1" l="1"/>
  <c r="C20" i="1" s="1"/>
  <c r="F18" i="1"/>
  <c r="C18" i="1" s="1"/>
  <c r="C18" i="10" s="1"/>
  <c r="F16" i="1"/>
  <c r="C16" i="1" s="1"/>
  <c r="F15" i="1"/>
  <c r="C15" i="1" s="1"/>
  <c r="F13" i="1"/>
  <c r="C13" i="1" s="1"/>
  <c r="F10" i="1"/>
  <c r="C10" i="1" s="1"/>
  <c r="F6" i="1"/>
  <c r="C6" i="1" s="1"/>
  <c r="F7" i="1"/>
  <c r="C7" i="1" s="1"/>
  <c r="F21" i="1"/>
  <c r="C21" i="1" s="1"/>
  <c r="F19" i="1"/>
  <c r="C19" i="1" s="1"/>
  <c r="F17" i="1"/>
  <c r="C17" i="1" s="1"/>
  <c r="F14" i="1"/>
  <c r="C14" i="1" s="1"/>
  <c r="F12" i="1"/>
  <c r="C12" i="1" s="1"/>
  <c r="F11" i="1"/>
  <c r="C11" i="1" s="1"/>
  <c r="C9" i="1"/>
  <c r="F5" i="1"/>
  <c r="C5" i="1" s="1"/>
  <c r="F4" i="1"/>
  <c r="C4" i="1" s="1"/>
  <c r="F8" i="1"/>
  <c r="C8" i="1" s="1"/>
  <c r="F18" i="10" l="1"/>
  <c r="F6" i="10"/>
  <c r="C8" i="3"/>
  <c r="F9" i="10"/>
  <c r="C12" i="3"/>
  <c r="F13" i="10"/>
  <c r="C11" i="3"/>
  <c r="F12" i="10"/>
  <c r="C9" i="3"/>
  <c r="F10" i="10"/>
  <c r="C15" i="3"/>
  <c r="F16" i="10"/>
  <c r="C17" i="3"/>
  <c r="C6" i="3"/>
  <c r="F7" i="10"/>
  <c r="C20" i="3"/>
  <c r="C7" i="3"/>
  <c r="F8" i="10"/>
  <c r="C10" i="3"/>
  <c r="F11" i="10"/>
  <c r="C19" i="3"/>
  <c r="C16" i="3"/>
  <c r="F17" i="10"/>
  <c r="C18" i="3"/>
  <c r="C14" i="3"/>
  <c r="F15" i="10"/>
  <c r="C13" i="3"/>
  <c r="F14" i="10"/>
  <c r="C4" i="3"/>
  <c r="F5" i="10"/>
  <c r="C3" i="3"/>
  <c r="F4" i="10"/>
  <c r="C6" i="10"/>
  <c r="C5" i="3"/>
  <c r="C11" i="10"/>
  <c r="C4" i="10"/>
  <c r="C17" i="10"/>
  <c r="C8" i="10"/>
  <c r="C10" i="10"/>
  <c r="C15" i="10"/>
  <c r="C12" i="10"/>
  <c r="C5" i="10"/>
  <c r="C9" i="10"/>
  <c r="C7" i="10"/>
  <c r="C14" i="10"/>
  <c r="C13" i="10"/>
  <c r="C16" i="10"/>
  <c r="C22" i="10"/>
  <c r="C20" i="10"/>
  <c r="C21" i="10"/>
  <c r="C19"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6" authorId="0" shapeId="0">
      <text>
        <r>
          <rPr>
            <b/>
            <sz val="8"/>
            <color indexed="81"/>
            <rFont val="Tahoma"/>
            <family val="2"/>
          </rPr>
          <t>Sacado del manual no escrito, no se sabe que son estos valores</t>
        </r>
      </text>
    </comment>
    <comment ref="D26"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<sst xmlns="http://schemas.openxmlformats.org/spreadsheetml/2006/main" count="1210" uniqueCount="472">
  <si>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</si>
  <si>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</si>
  <si>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</si>
  <si>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</si>
  <si>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</si>
  <si>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</si>
  <si>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</si>
  <si>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</si>
  <si>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</si>
  <si>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</si>
  <si>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</si>
  <si>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</si>
  <si>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</si>
  <si>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</si>
  <si>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</si>
  <si>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</si>
  <si>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</si>
  <si>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</si>
  <si>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</si>
  <si>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</si>
  <si>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</si>
  <si>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</si>
  <si>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</si>
  <si>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</si>
  <si>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</si>
  <si>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</si>
  <si>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</si>
  <si>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</si>
  <si>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</si>
  <si>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</si>
  <si>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</si>
  <si>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</si>
  <si>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</si>
  <si>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</si>
  <si>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</si>
  <si>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</si>
  <si>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</si>
  <si>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</si>
  <si>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</si>
  <si>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</si>
  <si>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</si>
  <si>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</si>
  <si>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</si>
  <si>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</si>
  <si>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</si>
  <si>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</si>
  <si>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</si>
  <si>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</si>
  <si>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</si>
  <si>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</si>
  <si>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</si>
  <si>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</si>
  <si>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</si>
  <si>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</si>
  <si>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</si>
  <si>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</si>
  <si>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</si>
  <si>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</si>
  <si>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</si>
  <si>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</si>
  <si>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</si>
  <si>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</si>
  <si>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</si>
  <si>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</si>
  <si>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</si>
  <si>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</si>
  <si>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</si>
  <si>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</si>
  <si>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</si>
  <si>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</si>
  <si>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</si>
  <si>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</si>
  <si>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</si>
  <si>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</si>
  <si>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</si>
  <si>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</si>
  <si>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</si>
  <si>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</si>
  <si>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</si>
  <si>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</si>
  <si>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</si>
  <si>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</si>
  <si>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</si>
  <si>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</si>
  <si>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</si>
  <si>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</si>
  <si>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</si>
  <si>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</si>
  <si>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</si>
  <si>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</si>
  <si>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</si>
  <si>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</si>
  <si>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</si>
  <si>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</si>
  <si>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</si>
  <si>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</si>
  <si>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</si>
  <si>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</si>
  <si>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</si>
  <si>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</si>
  <si>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</si>
  <si>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</si>
  <si>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</si>
  <si>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</si>
  <si>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</si>
  <si>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</si>
  <si>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</si>
  <si>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</si>
  <si>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</si>
  <si>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</si>
  <si>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</si>
  <si>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</si>
  <si>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</si>
  <si>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</si>
  <si>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</si>
  <si>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</si>
  <si>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</si>
  <si>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</si>
  <si>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</si>
  <si>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</si>
  <si>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</si>
  <si>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</si>
  <si>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</si>
  <si>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</si>
  <si>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</si>
  <si>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</si>
  <si>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</si>
  <si>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</si>
  <si>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</si>
  <si>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</si>
  <si>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</si>
  <si>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</si>
  <si>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</si>
  <si>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</si>
  <si>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</si>
  <si>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</si>
  <si>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</si>
  <si>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</si>
  <si>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</si>
  <si>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</si>
  <si>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</si>
  <si>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</si>
  <si>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</si>
  <si>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</si>
  <si>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</si>
  <si>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</si>
  <si>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</si>
  <si>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</si>
  <si>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</si>
  <si>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</si>
  <si>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</si>
  <si>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</si>
  <si>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</si>
  <si>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</si>
  <si>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</si>
  <si>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</si>
  <si>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</si>
  <si>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</si>
  <si>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</si>
  <si>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</si>
  <si>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</si>
  <si>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</si>
  <si>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</si>
  <si>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</si>
  <si>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</si>
  <si>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</si>
  <si>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</si>
  <si>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</si>
  <si>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</si>
  <si>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</si>
  <si>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</si>
  <si>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</si>
  <si>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</si>
  <si>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</si>
  <si>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</si>
  <si>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</si>
  <si>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</si>
  <si>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</si>
  <si>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</si>
  <si>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</si>
  <si>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</si>
  <si>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</si>
  <si>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</si>
  <si>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</si>
  <si>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</si>
  <si>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</si>
  <si>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</si>
  <si>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</si>
  <si>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</si>
  <si>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</si>
  <si>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</si>
  <si>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</si>
  <si>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</si>
  <si>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</si>
  <si>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</si>
  <si>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</si>
  <si>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</si>
  <si>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</si>
  <si>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</si>
  <si>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</si>
  <si>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</si>
  <si>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</si>
  <si>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</si>
  <si>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</si>
  <si>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</si>
  <si>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</si>
  <si>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</si>
  <si>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</si>
  <si>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</si>
  <si>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</si>
  <si>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</si>
  <si>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</si>
  <si>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</si>
  <si>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</si>
  <si>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</si>
  <si>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</si>
  <si>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</si>
  <si>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</si>
  <si>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</si>
  <si>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</si>
  <si>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</si>
  <si>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</si>
  <si>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</si>
  <si>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</si>
  <si>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</si>
  <si>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</si>
  <si>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</si>
  <si>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</si>
  <si>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</si>
  <si>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</si>
  <si>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</si>
  <si>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</si>
  <si>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</si>
  <si>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</si>
  <si>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</si>
  <si>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</si>
  <si>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</si>
  <si>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</si>
  <si>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</si>
  <si>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</si>
  <si>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</si>
  <si>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</si>
  <si>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</si>
  <si>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</si>
  <si>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</si>
  <si>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</si>
  <si>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</si>
  <si>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</si>
  <si>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</si>
  <si>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</si>
  <si>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</si>
  <si>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</si>
  <si>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</si>
  <si>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</si>
  <si>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</si>
  <si>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</si>
  <si>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</si>
  <si>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</si>
  <si>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</si>
  <si>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</si>
  <si>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</si>
  <si>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</si>
  <si>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</si>
  <si>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</si>
  <si>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</si>
  <si>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</si>
  <si>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</si>
  <si>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</si>
  <si>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</si>
  <si>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</si>
  <si>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</si>
  <si>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</si>
  <si>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</si>
  <si>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</si>
  <si>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</si>
  <si>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</si>
  <si>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</si>
  <si>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</si>
  <si>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</si>
  <si>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</si>
  <si>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</si>
  <si>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</si>
  <si>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</si>
  <si>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</si>
  <si>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</si>
  <si>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</si>
  <si>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</si>
  <si>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</si>
  <si>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</si>
  <si>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</si>
  <si>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</si>
  <si>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</si>
  <si>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</si>
  <si>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</si>
  <si>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</si>
  <si>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</si>
  <si>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</si>
  <si>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</si>
  <si>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</si>
  <si>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</si>
  <si>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</si>
  <si>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</si>
  <si>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</si>
  <si>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</si>
  <si>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</si>
  <si>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</si>
  <si>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</si>
  <si>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</si>
  <si>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</si>
  <si>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</si>
  <si>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</si>
  <si>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</si>
  <si>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</si>
  <si>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</si>
  <si>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</si>
  <si>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</si>
  <si>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</si>
  <si>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</si>
  <si>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</si>
  <si>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</si>
  <si>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</si>
  <si>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</si>
  <si>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</si>
  <si>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</si>
  <si>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</si>
  <si>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</si>
  <si>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</si>
  <si>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</si>
  <si>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</si>
  <si>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</si>
  <si>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</si>
  <si>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</si>
  <si>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</si>
  <si>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</si>
  <si>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</si>
  <si>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</si>
  <si>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</si>
  <si>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</si>
  <si>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</si>
  <si>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</si>
  <si>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</si>
  <si>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</si>
  <si>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</si>
  <si>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</si>
  <si>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</si>
  <si>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</si>
  <si>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</si>
  <si>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</si>
  <si>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</si>
  <si>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</si>
  <si>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</si>
  <si>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</si>
  <si>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</si>
  <si>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</si>
  <si>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</si>
  <si>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</si>
  <si>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</si>
  <si>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</si>
  <si>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</si>
  <si>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</si>
  <si>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</si>
  <si>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</si>
  <si>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</si>
  <si>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</si>
  <si>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</si>
  <si>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</si>
  <si>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</si>
  <si>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</si>
  <si>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</si>
  <si>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</si>
  <si>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</si>
  <si>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</si>
  <si>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</si>
  <si>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</si>
  <si>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</si>
  <si>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</si>
  <si>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</si>
  <si>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</si>
  <si>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</si>
  <si>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</si>
  <si>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</si>
  <si>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</si>
  <si>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</si>
  <si>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</si>
  <si>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</si>
  <si>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</si>
  <si>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</si>
  <si>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</si>
  <si>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</si>
  <si>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</si>
  <si>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</si>
  <si>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</si>
  <si>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</si>
  <si>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</si>
  <si>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</si>
  <si>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</si>
  <si>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</si>
  <si>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</si>
  <si>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</si>
  <si>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</si>
  <si>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</si>
  <si>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</si>
  <si>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</si>
  <si>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</si>
  <si>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</si>
  <si>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</si>
  <si>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</si>
  <si>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</si>
  <si>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</si>
  <si>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</si>
  <si>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</si>
  <si>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</si>
  <si>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</si>
  <si>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</si>
  <si>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</si>
  <si>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</si>
  <si>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</si>
  <si>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</si>
  <si>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</si>
  <si>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</si>
  <si>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</si>
  <si>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</si>
  <si>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</si>
  <si>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</si>
  <si>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</si>
  <si>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</si>
  <si>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</si>
  <si>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</si>
  <si>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</si>
  <si>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</si>
  <si>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</si>
  <si>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</si>
  <si>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</si>
  <si>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</si>
  <si>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</si>
  <si>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</si>
  <si>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</si>
  <si>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</si>
  <si>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</si>
  <si>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</si>
  <si>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</si>
  <si>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ANOTACION</t>
  </si>
  <si>
    <t xml:space="preserve">Extrem </t>
  </si>
  <si>
    <t xml:space="preserve">2 (55) </t>
  </si>
  <si>
    <t>17 (62)</t>
  </si>
  <si>
    <t xml:space="preserve">4 (55) </t>
  </si>
  <si>
    <t>17 (76)</t>
  </si>
  <si>
    <t xml:space="preserve">6 (55) </t>
  </si>
  <si>
    <t>17 (90)</t>
  </si>
  <si>
    <t xml:space="preserve">2 (56) </t>
  </si>
  <si>
    <t>18 (62)</t>
  </si>
  <si>
    <t xml:space="preserve">12 (56) </t>
  </si>
  <si>
    <t>19 (20)</t>
  </si>
  <si>
    <t xml:space="preserve">1 (57) </t>
  </si>
  <si>
    <t>19 (55)</t>
  </si>
  <si>
    <t xml:space="preserve">8 (57) </t>
  </si>
  <si>
    <t>19 (104)</t>
  </si>
  <si>
    <t xml:space="preserve">15 (57) </t>
  </si>
  <si>
    <t>20 (41)</t>
  </si>
  <si>
    <t xml:space="preserve">8 (58) </t>
  </si>
  <si>
    <t>20 (104)</t>
  </si>
  <si>
    <t xml:space="preserve">2 (59) </t>
  </si>
  <si>
    <t>21 (62)</t>
  </si>
  <si>
    <t xml:space="preserve">15 (59) </t>
  </si>
  <si>
    <t>22 (41)</t>
  </si>
  <si>
    <t xml:space="preserve">16 (60) </t>
  </si>
  <si>
    <t>23 (48)</t>
  </si>
  <si>
    <t>LATERAL</t>
  </si>
  <si>
    <t>Casildo Abraldes</t>
  </si>
  <si>
    <t>Alberto Ercilla</t>
  </si>
  <si>
    <t>Manuel Parejo</t>
  </si>
  <si>
    <t>Raul Riquelme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</si>
</sst>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
      <b/>
      <sz val="11"/>
      <color theme="4" tint="-0.499984740745262"/>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4">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45" fillId="34" borderId="1" xfId="3" applyFont="1" applyFill="1" applyBorder="1" applyAlignment="1">
      <alignment horizontal="right"/>
    </xf>
    <xf numFmtId="0" fontId="46" fillId="34" borderId="1" xfId="3" applyFont="1" applyFill="1" applyBorder="1" applyAlignment="1">
      <alignment horizontal="right"/>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Coma" xfId="1" builtinId="3"/>
    <cellStyle name="Excel Built-in Normal" xfId="3"/>
    <cellStyle name="Moneda" xfId="4" builtinId="4"/>
    <cellStyle name="Normal" xfId="0" builtinId="0"/>
    <cellStyle name="Percentatge" xfId="2" builtinId="5"/>
  </cellStyles>
  <dxfs count="25">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4" t="s">
        <v>106</v>
      </c>
      <c r="C59" s="96" t="s">
        <v>105</v>
      </c>
      <c r="D59" s="225" t="s">
        <v>137</v>
      </c>
      <c r="E59" s="225" t="s">
        <v>137</v>
      </c>
      <c r="F59" s="97" t="s">
        <v>103</v>
      </c>
      <c r="H59" s="98" t="s">
        <v>138</v>
      </c>
      <c r="X59" s="89"/>
    </row>
    <row r="60" spans="1:24" ht="15.75" x14ac:dyDescent="0.25">
      <c r="A60" s="99">
        <v>18</v>
      </c>
      <c r="B60" s="224"/>
      <c r="C60" s="96" t="s">
        <v>139</v>
      </c>
      <c r="D60" s="225"/>
      <c r="E60" s="225"/>
      <c r="F60" s="97" t="s">
        <v>140</v>
      </c>
      <c r="H60" s="92" t="s">
        <v>141</v>
      </c>
      <c r="X60" s="89"/>
    </row>
    <row r="61" spans="1:24" ht="15.75" x14ac:dyDescent="0.25">
      <c r="A61" s="95">
        <v>19</v>
      </c>
      <c r="B61" s="224"/>
      <c r="C61" s="100"/>
      <c r="D61" s="225"/>
      <c r="E61" s="225"/>
      <c r="F61" s="101"/>
      <c r="H61" s="92" t="s">
        <v>142</v>
      </c>
      <c r="I61" s="91"/>
      <c r="X61" s="89"/>
    </row>
    <row r="62" spans="1:24" ht="15.75" x14ac:dyDescent="0.25">
      <c r="A62" s="99">
        <v>20</v>
      </c>
      <c r="B62" s="224"/>
      <c r="C62" s="97" t="s">
        <v>137</v>
      </c>
      <c r="D62" s="226" t="s">
        <v>103</v>
      </c>
      <c r="E62" s="97" t="s">
        <v>103</v>
      </c>
      <c r="F62" s="101"/>
      <c r="H62" s="92" t="s">
        <v>143</v>
      </c>
      <c r="X62" s="89"/>
    </row>
    <row r="63" spans="1:24" ht="15.75" x14ac:dyDescent="0.25">
      <c r="A63" s="95">
        <v>21</v>
      </c>
      <c r="B63" s="227" t="s">
        <v>105</v>
      </c>
      <c r="C63" s="97" t="s">
        <v>144</v>
      </c>
      <c r="D63" s="226"/>
      <c r="E63" s="97" t="s">
        <v>140</v>
      </c>
      <c r="F63" s="101"/>
      <c r="H63" s="92" t="s">
        <v>145</v>
      </c>
      <c r="X63" s="89"/>
    </row>
    <row r="64" spans="1:24" ht="15.75" x14ac:dyDescent="0.25">
      <c r="A64" s="99">
        <v>22</v>
      </c>
      <c r="B64" s="227"/>
      <c r="C64" s="101"/>
      <c r="D64" s="226"/>
      <c r="E64" s="101"/>
      <c r="F64" s="101"/>
      <c r="H64" s="92" t="s">
        <v>146</v>
      </c>
      <c r="X64" s="89"/>
    </row>
    <row r="65" spans="1:24" ht="15.75" x14ac:dyDescent="0.25">
      <c r="A65" s="95">
        <v>23</v>
      </c>
      <c r="B65" s="227"/>
      <c r="C65" s="101"/>
      <c r="D65" s="226"/>
      <c r="E65" s="101"/>
      <c r="F65" s="101"/>
      <c r="H65" s="92"/>
      <c r="X65" s="89"/>
    </row>
    <row r="66" spans="1:24" ht="15.75" x14ac:dyDescent="0.25">
      <c r="A66" s="99">
        <v>24</v>
      </c>
      <c r="B66" s="227"/>
      <c r="C66" s="101"/>
      <c r="D66" s="226"/>
      <c r="E66" s="101"/>
      <c r="F66" s="101"/>
      <c r="H66" s="92" t="s">
        <v>147</v>
      </c>
      <c r="X66" s="89"/>
    </row>
    <row r="67" spans="1:24" ht="15.75" x14ac:dyDescent="0.25">
      <c r="A67" s="95">
        <v>25</v>
      </c>
      <c r="B67" s="227"/>
      <c r="C67" s="101"/>
      <c r="D67" s="225" t="s">
        <v>137</v>
      </c>
      <c r="E67" s="101"/>
      <c r="F67" s="101"/>
      <c r="H67" s="92" t="s">
        <v>148</v>
      </c>
      <c r="X67" s="89"/>
    </row>
    <row r="68" spans="1:24" ht="15.75" x14ac:dyDescent="0.25">
      <c r="A68" s="99">
        <v>26</v>
      </c>
      <c r="B68" s="227"/>
      <c r="C68" s="225" t="s">
        <v>137</v>
      </c>
      <c r="D68" s="225"/>
      <c r="E68" s="101"/>
      <c r="F68" s="101"/>
      <c r="H68" s="92"/>
      <c r="X68" s="89"/>
    </row>
    <row r="69" spans="1:24" ht="15.75" x14ac:dyDescent="0.25">
      <c r="A69" s="95">
        <v>27</v>
      </c>
      <c r="B69" s="224" t="s">
        <v>106</v>
      </c>
      <c r="C69" s="225"/>
      <c r="D69" s="225"/>
      <c r="E69" s="101"/>
      <c r="F69" s="101"/>
      <c r="H69" s="92"/>
      <c r="X69" s="89"/>
    </row>
    <row r="70" spans="1:24" ht="15.75" x14ac:dyDescent="0.25">
      <c r="A70" s="99">
        <v>28</v>
      </c>
      <c r="B70" s="224"/>
      <c r="C70" s="227" t="s">
        <v>105</v>
      </c>
      <c r="D70" s="225"/>
      <c r="E70" s="101"/>
      <c r="F70" s="101"/>
      <c r="H70" s="92" t="s">
        <v>149</v>
      </c>
      <c r="X70" s="89"/>
    </row>
    <row r="71" spans="1:24" ht="15.75" x14ac:dyDescent="0.25">
      <c r="A71" s="95">
        <v>29</v>
      </c>
      <c r="B71" s="224"/>
      <c r="C71" s="227"/>
      <c r="D71" s="225"/>
      <c r="E71" s="101"/>
      <c r="F71" s="101"/>
      <c r="H71" s="92"/>
      <c r="X71" s="89"/>
    </row>
    <row r="72" spans="1:24" ht="15.75" x14ac:dyDescent="0.25">
      <c r="A72" s="99">
        <v>30</v>
      </c>
      <c r="B72" s="224"/>
      <c r="C72" s="227"/>
      <c r="D72" s="227" t="s">
        <v>105</v>
      </c>
      <c r="E72" s="101"/>
      <c r="F72" s="101"/>
      <c r="H72" s="92" t="s">
        <v>150</v>
      </c>
      <c r="X72" s="89"/>
    </row>
    <row r="73" spans="1:24" ht="15.75" x14ac:dyDescent="0.25">
      <c r="A73" s="95">
        <v>31</v>
      </c>
      <c r="B73" s="224"/>
      <c r="C73" s="227"/>
      <c r="D73" s="227"/>
      <c r="E73" s="97" t="s">
        <v>137</v>
      </c>
      <c r="F73" s="101"/>
      <c r="H73" s="92"/>
      <c r="X73" s="89"/>
    </row>
    <row r="74" spans="1:24" ht="15.75" x14ac:dyDescent="0.25">
      <c r="A74" s="99">
        <v>32</v>
      </c>
      <c r="B74" s="224"/>
      <c r="C74" s="227"/>
      <c r="D74" s="227"/>
      <c r="E74" s="97" t="s">
        <v>144</v>
      </c>
      <c r="F74" s="101"/>
      <c r="H74" s="92" t="s">
        <v>151</v>
      </c>
      <c r="X74" s="89"/>
    </row>
    <row r="75" spans="1:24" ht="15.75" x14ac:dyDescent="0.25">
      <c r="A75" s="95">
        <v>33</v>
      </c>
      <c r="B75" s="224"/>
      <c r="C75" s="224" t="s">
        <v>106</v>
      </c>
      <c r="D75" s="227"/>
      <c r="E75" s="96" t="s">
        <v>105</v>
      </c>
      <c r="F75" s="96" t="s">
        <v>105</v>
      </c>
      <c r="H75" s="92"/>
      <c r="X75" s="89"/>
    </row>
    <row r="76" spans="1:24" ht="15.75" x14ac:dyDescent="0.25">
      <c r="A76" s="99">
        <v>34</v>
      </c>
      <c r="B76" s="229" t="s">
        <v>152</v>
      </c>
      <c r="C76" s="224"/>
      <c r="D76" s="227"/>
      <c r="E76" s="96" t="s">
        <v>139</v>
      </c>
      <c r="F76" s="96" t="s">
        <v>139</v>
      </c>
      <c r="H76" s="92" t="s">
        <v>153</v>
      </c>
      <c r="X76" s="89"/>
    </row>
    <row r="77" spans="1:24" ht="15.75" x14ac:dyDescent="0.25">
      <c r="A77" s="95">
        <v>35</v>
      </c>
      <c r="B77" s="229"/>
      <c r="C77" s="229" t="s">
        <v>152</v>
      </c>
      <c r="D77" s="224" t="s">
        <v>106</v>
      </c>
      <c r="E77" s="224" t="s">
        <v>106</v>
      </c>
      <c r="F77" s="100"/>
      <c r="H77" s="92"/>
      <c r="X77" s="89"/>
    </row>
    <row r="78" spans="1:24" ht="15.75" x14ac:dyDescent="0.25">
      <c r="A78" s="99">
        <v>36</v>
      </c>
      <c r="B78" s="229"/>
      <c r="C78" s="229"/>
      <c r="D78" s="224"/>
      <c r="E78" s="224"/>
      <c r="F78" s="102" t="s">
        <v>106</v>
      </c>
      <c r="H78" s="92" t="s">
        <v>154</v>
      </c>
      <c r="X78" s="89"/>
    </row>
    <row r="79" spans="1:24" ht="15.75" x14ac:dyDescent="0.25">
      <c r="A79" s="228" t="s">
        <v>155</v>
      </c>
      <c r="B79" s="228"/>
      <c r="C79" s="228"/>
      <c r="D79" s="228"/>
      <c r="E79" s="228"/>
      <c r="F79" s="228"/>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4" priority="4" operator="lessThan">
      <formula>6</formula>
    </cfRule>
    <cfRule type="cellIs" dxfId="23" priority="5" operator="greaterThan">
      <formula>7</formula>
    </cfRule>
  </conditionalFormatting>
  <conditionalFormatting sqref="B23:W23">
    <cfRule type="cellIs" dxfId="22" priority="1" operator="lessThan">
      <formula>6</formula>
    </cfRule>
    <cfRule type="cellIs" dxfId="21"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C12" sqref="C12"/>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43088</v>
      </c>
      <c r="B1" t="s">
        <v>308</v>
      </c>
    </row>
    <row r="2" spans="1:5" x14ac:dyDescent="0.25">
      <c r="A2" t="s">
        <v>467</v>
      </c>
    </row>
    <row r="3" spans="1:5" s="52" customFormat="1" x14ac:dyDescent="0.25">
      <c r="A3" s="52" t="s">
        <v>442</v>
      </c>
      <c r="B3" s="52" t="s">
        <v>386</v>
      </c>
      <c r="C3" s="52" t="s">
        <v>387</v>
      </c>
      <c r="D3" s="52" t="s">
        <v>388</v>
      </c>
      <c r="E3" s="52" t="s">
        <v>389</v>
      </c>
    </row>
    <row r="4" spans="1:5" x14ac:dyDescent="0.25">
      <c r="A4" t="s">
        <v>393</v>
      </c>
      <c r="B4" t="s">
        <v>443</v>
      </c>
      <c r="C4">
        <v>2</v>
      </c>
      <c r="D4">
        <v>2</v>
      </c>
      <c r="E4" t="s">
        <v>444</v>
      </c>
    </row>
    <row r="5" spans="1:5" x14ac:dyDescent="0.25">
      <c r="A5" t="s">
        <v>396</v>
      </c>
      <c r="B5" t="s">
        <v>445</v>
      </c>
      <c r="C5">
        <v>4</v>
      </c>
      <c r="D5">
        <v>2</v>
      </c>
      <c r="E5" t="s">
        <v>446</v>
      </c>
    </row>
    <row r="6" spans="1:5" x14ac:dyDescent="0.25">
      <c r="A6" t="s">
        <v>399</v>
      </c>
      <c r="B6" t="s">
        <v>447</v>
      </c>
      <c r="C6">
        <v>6</v>
      </c>
      <c r="D6">
        <v>2</v>
      </c>
      <c r="E6" t="s">
        <v>448</v>
      </c>
    </row>
    <row r="7" spans="1:5" x14ac:dyDescent="0.25">
      <c r="A7" t="s">
        <v>402</v>
      </c>
      <c r="B7" t="s">
        <v>397</v>
      </c>
      <c r="C7">
        <v>8</v>
      </c>
      <c r="D7">
        <v>2</v>
      </c>
      <c r="E7" t="s">
        <v>398</v>
      </c>
    </row>
    <row r="8" spans="1:5" x14ac:dyDescent="0.25">
      <c r="A8" t="s">
        <v>405</v>
      </c>
      <c r="B8" t="s">
        <v>400</v>
      </c>
      <c r="C8">
        <v>11</v>
      </c>
      <c r="D8">
        <v>3</v>
      </c>
      <c r="E8" t="s">
        <v>401</v>
      </c>
    </row>
    <row r="9" spans="1:5" x14ac:dyDescent="0.25">
      <c r="A9" t="s">
        <v>408</v>
      </c>
      <c r="B9" t="s">
        <v>403</v>
      </c>
      <c r="C9">
        <v>14</v>
      </c>
      <c r="D9">
        <v>3</v>
      </c>
      <c r="E9" t="s">
        <v>404</v>
      </c>
    </row>
    <row r="10" spans="1:5" x14ac:dyDescent="0.25">
      <c r="A10" t="s">
        <v>411</v>
      </c>
      <c r="B10" t="s">
        <v>449</v>
      </c>
      <c r="C10">
        <v>18</v>
      </c>
      <c r="D10">
        <v>4</v>
      </c>
      <c r="E10" t="s">
        <v>450</v>
      </c>
    </row>
    <row r="11" spans="1:5" x14ac:dyDescent="0.25">
      <c r="A11" t="s">
        <v>414</v>
      </c>
      <c r="B11" t="s">
        <v>409</v>
      </c>
      <c r="C11">
        <v>23</v>
      </c>
      <c r="D11">
        <v>5</v>
      </c>
      <c r="E11" t="s">
        <v>410</v>
      </c>
    </row>
    <row r="12" spans="1:5" x14ac:dyDescent="0.25">
      <c r="A12" s="52" t="s">
        <v>417</v>
      </c>
      <c r="B12" s="52" t="s">
        <v>451</v>
      </c>
      <c r="C12" s="52">
        <v>28</v>
      </c>
      <c r="D12" s="52">
        <v>5</v>
      </c>
      <c r="E12" s="52" t="s">
        <v>452</v>
      </c>
    </row>
    <row r="13" spans="1:5" x14ac:dyDescent="0.25">
      <c r="A13" t="s">
        <v>420</v>
      </c>
      <c r="B13" t="s">
        <v>453</v>
      </c>
      <c r="C13">
        <v>33</v>
      </c>
      <c r="D13">
        <v>5</v>
      </c>
      <c r="E13" t="s">
        <v>454</v>
      </c>
    </row>
    <row r="14" spans="1:5" x14ac:dyDescent="0.25">
      <c r="A14" t="s">
        <v>423</v>
      </c>
      <c r="B14" t="s">
        <v>455</v>
      </c>
      <c r="C14">
        <v>40</v>
      </c>
      <c r="D14">
        <v>7</v>
      </c>
      <c r="E14" t="s">
        <v>456</v>
      </c>
    </row>
    <row r="15" spans="1:5" x14ac:dyDescent="0.25">
      <c r="A15" t="s">
        <v>426</v>
      </c>
      <c r="B15" t="s">
        <v>457</v>
      </c>
      <c r="C15">
        <v>47</v>
      </c>
      <c r="D15">
        <v>7</v>
      </c>
      <c r="E15" t="s">
        <v>458</v>
      </c>
    </row>
    <row r="16" spans="1:5" x14ac:dyDescent="0.25">
      <c r="A16" t="s">
        <v>429</v>
      </c>
      <c r="B16" t="s">
        <v>459</v>
      </c>
      <c r="C16">
        <v>56</v>
      </c>
      <c r="D16">
        <v>9</v>
      </c>
      <c r="E16" t="s">
        <v>460</v>
      </c>
    </row>
    <row r="17" spans="1:5" x14ac:dyDescent="0.25">
      <c r="A17" t="s">
        <v>432</v>
      </c>
      <c r="B17" t="s">
        <v>461</v>
      </c>
      <c r="C17">
        <v>66</v>
      </c>
      <c r="D17">
        <v>10</v>
      </c>
      <c r="E17" t="s">
        <v>462</v>
      </c>
    </row>
    <row r="18" spans="1:5" x14ac:dyDescent="0.25">
      <c r="A18" t="s">
        <v>435</v>
      </c>
      <c r="B18" t="s">
        <v>463</v>
      </c>
      <c r="C18">
        <v>79</v>
      </c>
      <c r="D18">
        <v>13</v>
      </c>
      <c r="E18" t="s">
        <v>464</v>
      </c>
    </row>
    <row r="19" spans="1:5" x14ac:dyDescent="0.25">
      <c r="A19" t="s">
        <v>438</v>
      </c>
      <c r="B19" t="s">
        <v>465</v>
      </c>
      <c r="C19">
        <v>96</v>
      </c>
      <c r="D19">
        <v>17</v>
      </c>
      <c r="E19" t="s">
        <v>466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20"/>
  <sheetViews>
    <sheetView workbookViewId="0">
      <selection activeCell="E10" sqref="E10"/>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221">
        <v>43088</v>
      </c>
      <c r="B1" s="220" t="s">
        <v>308</v>
      </c>
      <c r="C1" s="220"/>
      <c r="D1" s="220"/>
      <c r="E1" s="220"/>
    </row>
    <row r="2" spans="1:5" s="52" customFormat="1" x14ac:dyDescent="0.25">
      <c r="A2" s="66" t="s">
        <v>441</v>
      </c>
      <c r="B2" s="66"/>
      <c r="C2" s="66"/>
      <c r="D2" s="66"/>
      <c r="E2" s="66"/>
    </row>
    <row r="3" spans="1:5" s="52" customFormat="1" x14ac:dyDescent="0.25">
      <c r="A3" s="66" t="s">
        <v>385</v>
      </c>
      <c r="B3" s="66" t="s">
        <v>386</v>
      </c>
      <c r="C3" s="66" t="s">
        <v>387</v>
      </c>
      <c r="D3" s="66" t="s">
        <v>388</v>
      </c>
      <c r="E3" s="66" t="s">
        <v>389</v>
      </c>
    </row>
    <row r="4" spans="1:5" x14ac:dyDescent="0.25">
      <c r="A4" s="220" t="s">
        <v>390</v>
      </c>
      <c r="B4" s="220" t="s">
        <v>391</v>
      </c>
      <c r="C4" s="220">
        <v>3</v>
      </c>
      <c r="D4" s="220">
        <v>3</v>
      </c>
      <c r="E4" s="220" t="s">
        <v>392</v>
      </c>
    </row>
    <row r="5" spans="1:5" x14ac:dyDescent="0.25">
      <c r="A5" s="220" t="s">
        <v>393</v>
      </c>
      <c r="B5" s="220" t="s">
        <v>394</v>
      </c>
      <c r="C5" s="220">
        <v>5</v>
      </c>
      <c r="D5" s="220">
        <v>2</v>
      </c>
      <c r="E5" s="220" t="s">
        <v>395</v>
      </c>
    </row>
    <row r="6" spans="1:5" x14ac:dyDescent="0.25">
      <c r="A6" s="220" t="s">
        <v>396</v>
      </c>
      <c r="B6" s="220" t="s">
        <v>397</v>
      </c>
      <c r="C6" s="220">
        <v>8</v>
      </c>
      <c r="D6" s="220">
        <v>3</v>
      </c>
      <c r="E6" s="220" t="s">
        <v>398</v>
      </c>
    </row>
    <row r="7" spans="1:5" x14ac:dyDescent="0.25">
      <c r="A7" s="220" t="s">
        <v>399</v>
      </c>
      <c r="B7" s="220" t="s">
        <v>400</v>
      </c>
      <c r="C7" s="220">
        <v>11</v>
      </c>
      <c r="D7" s="220">
        <v>3</v>
      </c>
      <c r="E7" s="220" t="s">
        <v>401</v>
      </c>
    </row>
    <row r="8" spans="1:5" x14ac:dyDescent="0.25">
      <c r="A8" s="220" t="s">
        <v>402</v>
      </c>
      <c r="B8" s="220" t="s">
        <v>403</v>
      </c>
      <c r="C8" s="220">
        <v>14</v>
      </c>
      <c r="D8" s="220">
        <v>3</v>
      </c>
      <c r="E8" s="220" t="s">
        <v>404</v>
      </c>
    </row>
    <row r="9" spans="1:5" s="52" customFormat="1" x14ac:dyDescent="0.25">
      <c r="A9" s="66" t="s">
        <v>405</v>
      </c>
      <c r="B9" s="66" t="s">
        <v>406</v>
      </c>
      <c r="C9" s="66">
        <v>19</v>
      </c>
      <c r="D9" s="66">
        <v>5</v>
      </c>
      <c r="E9" s="66" t="s">
        <v>407</v>
      </c>
    </row>
    <row r="10" spans="1:5" x14ac:dyDescent="0.25">
      <c r="A10" s="220" t="s">
        <v>408</v>
      </c>
      <c r="B10" s="220" t="s">
        <v>409</v>
      </c>
      <c r="C10" s="220">
        <v>23</v>
      </c>
      <c r="D10" s="220">
        <v>4</v>
      </c>
      <c r="E10" s="220" t="s">
        <v>410</v>
      </c>
    </row>
    <row r="11" spans="1:5" x14ac:dyDescent="0.25">
      <c r="A11" s="220" t="s">
        <v>411</v>
      </c>
      <c r="B11" s="220" t="s">
        <v>412</v>
      </c>
      <c r="C11" s="220">
        <v>29</v>
      </c>
      <c r="D11" s="220">
        <v>6</v>
      </c>
      <c r="E11" s="220" t="s">
        <v>413</v>
      </c>
    </row>
    <row r="12" spans="1:5" x14ac:dyDescent="0.25">
      <c r="A12" s="220" t="s">
        <v>414</v>
      </c>
      <c r="B12" s="220" t="s">
        <v>415</v>
      </c>
      <c r="C12" s="220">
        <v>36</v>
      </c>
      <c r="D12" s="220">
        <v>7</v>
      </c>
      <c r="E12" s="220" t="s">
        <v>416</v>
      </c>
    </row>
    <row r="13" spans="1:5" x14ac:dyDescent="0.25">
      <c r="A13" s="220" t="s">
        <v>417</v>
      </c>
      <c r="B13" s="220" t="s">
        <v>418</v>
      </c>
      <c r="C13" s="220">
        <v>43</v>
      </c>
      <c r="D13" s="220">
        <v>7</v>
      </c>
      <c r="E13" s="220" t="s">
        <v>419</v>
      </c>
    </row>
    <row r="14" spans="1:5" x14ac:dyDescent="0.25">
      <c r="A14" s="220" t="s">
        <v>420</v>
      </c>
      <c r="B14" s="220" t="s">
        <v>421</v>
      </c>
      <c r="C14" s="220">
        <v>52</v>
      </c>
      <c r="D14" s="220">
        <v>9</v>
      </c>
      <c r="E14" s="220" t="s">
        <v>422</v>
      </c>
    </row>
    <row r="15" spans="1:5" x14ac:dyDescent="0.25">
      <c r="A15" s="220" t="s">
        <v>423</v>
      </c>
      <c r="B15" s="220" t="s">
        <v>424</v>
      </c>
      <c r="C15" s="220">
        <v>62</v>
      </c>
      <c r="D15" s="220">
        <v>10</v>
      </c>
      <c r="E15" s="220" t="s">
        <v>425</v>
      </c>
    </row>
    <row r="16" spans="1:5" x14ac:dyDescent="0.25">
      <c r="A16" s="220" t="s">
        <v>426</v>
      </c>
      <c r="B16" s="220" t="s">
        <v>427</v>
      </c>
      <c r="C16" s="220">
        <v>73</v>
      </c>
      <c r="D16" s="220">
        <v>11</v>
      </c>
      <c r="E16" s="220" t="s">
        <v>428</v>
      </c>
    </row>
    <row r="17" spans="1:5" x14ac:dyDescent="0.25">
      <c r="A17" s="220" t="s">
        <v>429</v>
      </c>
      <c r="B17" s="220" t="s">
        <v>430</v>
      </c>
      <c r="C17" s="220">
        <v>87</v>
      </c>
      <c r="D17" s="220">
        <v>14</v>
      </c>
      <c r="E17" s="220" t="s">
        <v>431</v>
      </c>
    </row>
    <row r="18" spans="1:5" x14ac:dyDescent="0.25">
      <c r="A18" s="220" t="s">
        <v>432</v>
      </c>
      <c r="B18" s="220" t="s">
        <v>433</v>
      </c>
      <c r="C18" s="220">
        <v>104</v>
      </c>
      <c r="D18" s="220">
        <v>17</v>
      </c>
      <c r="E18" s="220" t="s">
        <v>434</v>
      </c>
    </row>
    <row r="19" spans="1:5" x14ac:dyDescent="0.25">
      <c r="A19" s="220" t="s">
        <v>435</v>
      </c>
      <c r="B19" s="220" t="s">
        <v>436</v>
      </c>
      <c r="C19" s="220">
        <v>126</v>
      </c>
      <c r="D19" s="220">
        <v>22</v>
      </c>
      <c r="E19" s="220" t="s">
        <v>437</v>
      </c>
    </row>
    <row r="20" spans="1:5" x14ac:dyDescent="0.25">
      <c r="A20" s="220" t="s">
        <v>438</v>
      </c>
      <c r="B20" s="220" t="s">
        <v>439</v>
      </c>
      <c r="C20" s="220">
        <v>164</v>
      </c>
      <c r="D20" s="220">
        <v>38</v>
      </c>
      <c r="E20" s="220" t="s">
        <v>440</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6"/>
  <sheetViews>
    <sheetView tabSelected="1" zoomScaleNormal="100" workbookViewId="0">
      <pane xSplit="4" ySplit="3" topLeftCell="E4" activePane="bottomRight" state="frozen"/>
      <selection pane="topRight" activeCell="E1" sqref="E1"/>
      <selection pane="bottomLeft" activeCell="A4" sqref="A4"/>
      <selection pane="bottomRight" activeCell="V10" sqref="V10"/>
    </sheetView>
  </sheetViews>
  <sheetFormatPr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43105</v>
      </c>
      <c r="I2" s="32">
        <f>AVERAGE(I4:I21)</f>
        <v>0.8833333333333333</v>
      </c>
      <c r="J2" s="32"/>
      <c r="N2" s="37">
        <f ca="1">AVERAGE(N4:N21)</f>
        <v>0.48735900744642158</v>
      </c>
      <c r="O2" s="32">
        <f>AVERAGE(O4:O21)</f>
        <v>5.0666666666666673</v>
      </c>
      <c r="Q2" s="32">
        <f>AVERAGE(Q4:Q21)</f>
        <v>5.7222222222222223</v>
      </c>
      <c r="R2" s="116">
        <f>AVERAGE(R4:R21)</f>
        <v>0.89940005389749322</v>
      </c>
      <c r="S2" s="116">
        <f>AVERAGE(S4:S21)</f>
        <v>0.96040369178135321</v>
      </c>
      <c r="T2" s="38">
        <f>SUM(T4:T21)</f>
        <v>34670</v>
      </c>
      <c r="U2" s="38">
        <f>SUM(U4:U21)</f>
        <v>60</v>
      </c>
      <c r="V2" s="38">
        <f>SUM(V4:V21)</f>
        <v>6480</v>
      </c>
      <c r="W2" s="39">
        <f>T2/V2</f>
        <v>5.3503086419753085</v>
      </c>
      <c r="AD2" s="37">
        <f>AVERAGE(AD19:AD21)</f>
        <v>3.1666666666666665</v>
      </c>
      <c r="AE2" s="33">
        <f>AVERAGE(AE19:AE21)</f>
        <v>414</v>
      </c>
      <c r="AF2" s="33"/>
      <c r="AK2" s="32"/>
      <c r="AL2" s="32"/>
      <c r="AM2" s="32"/>
      <c r="AN2" s="32"/>
      <c r="AO2" s="32">
        <f>AVERAGE(AO19:AO22)</f>
        <v>1.25</v>
      </c>
      <c r="AP2" s="32"/>
      <c r="AQ2" s="32">
        <f>AVERAGE(AQ19:AQ22)</f>
        <v>1</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10.892857142857142</v>
      </c>
      <c r="D4" s="216" t="s">
        <v>469</v>
      </c>
      <c r="E4" s="1">
        <v>22</v>
      </c>
      <c r="F4" s="2">
        <f ca="1">8-659+D2-D1-112-62</f>
        <v>12</v>
      </c>
      <c r="G4" s="3" t="s">
        <v>296</v>
      </c>
      <c r="H4" s="4">
        <v>4</v>
      </c>
      <c r="I4" s="5">
        <v>2.2000000000000002</v>
      </c>
      <c r="J4" s="22">
        <f>LOG(I4)*4/3</f>
        <v>0.45656357442960838</v>
      </c>
      <c r="K4" s="6">
        <f t="shared" ref="K4:K5" si="0">(H4)*(H4)*(I4)</f>
        <v>35.200000000000003</v>
      </c>
      <c r="L4" s="6">
        <f t="shared" ref="L4:L5" si="1">(H4+1)*(H4+1)*I4</f>
        <v>55.000000000000007</v>
      </c>
      <c r="M4" s="130">
        <v>43097</v>
      </c>
      <c r="N4" s="131">
        <f ca="1">IF((TODAY()-M4)&gt;335,1,((TODAY()-M4)^0.64)/(336^0.64))</f>
        <v>9.1436681135175488E-2</v>
      </c>
      <c r="O4" s="25">
        <v>7</v>
      </c>
      <c r="P4" s="20">
        <f t="shared" ref="P4:P6" si="2">O4*10+19</f>
        <v>89</v>
      </c>
      <c r="Q4" s="26">
        <v>4</v>
      </c>
      <c r="R4" s="115">
        <f t="shared" ref="R4:R5" si="3">(Q4/7)^0.5</f>
        <v>0.7559289460184544</v>
      </c>
      <c r="S4" s="115">
        <f t="shared" ref="S4:S5" si="4">IF(Q4=7,1,((Q4+0.99)/7)^0.5)</f>
        <v>0.84430867747355465</v>
      </c>
      <c r="T4" s="29">
        <v>7330</v>
      </c>
      <c r="U4" s="29">
        <f>T4-AS4</f>
        <v>-1160</v>
      </c>
      <c r="V4" s="7">
        <v>710</v>
      </c>
      <c r="W4" s="8">
        <f t="shared" ref="W4:W5" si="5">T4/V4</f>
        <v>10.32394366197183</v>
      </c>
      <c r="X4" s="21">
        <v>0</v>
      </c>
      <c r="Y4" s="22">
        <v>7</v>
      </c>
      <c r="Z4" s="21">
        <v>2</v>
      </c>
      <c r="AA4" s="22">
        <v>5</v>
      </c>
      <c r="AB4" s="21">
        <v>7</v>
      </c>
      <c r="AC4" s="22">
        <f>5+1/21</f>
        <v>5.0476190476190474</v>
      </c>
      <c r="AD4" s="21">
        <v>4</v>
      </c>
      <c r="AE4" s="9">
        <v>645</v>
      </c>
      <c r="AF4" s="9">
        <v>1496</v>
      </c>
      <c r="AG4" s="23">
        <f ca="1">(AD4+1+(LOG(I4)*4/3)+N4)*(Q4/7)^0.5</f>
        <v>4.1938939856992032</v>
      </c>
      <c r="AH4" s="23">
        <f ca="1">(AD4+1+N4+(LOG(I4)*4/3))*(IF(Q4=7, (Q4/7)^0.5, ((Q4+1)/7)^0.5))</f>
        <v>4.6889160212254746</v>
      </c>
      <c r="AI4" s="120">
        <f ca="1">(Z4+N4+(LOG(I4)*4/3))*(Q4/7)^0.5</f>
        <v>1.9261071476438396</v>
      </c>
      <c r="AJ4" s="120">
        <f ca="1">(Z4+N4+(LOG(I4)*4/3))*(IF(Q4=7, (Q4/7)^0.5, ((Q4+1)/7)^0.5))</f>
        <v>2.1534532570399247</v>
      </c>
      <c r="AK4" s="8">
        <f ca="1">(((Y4+LOG(I4)*4/3+N4)+(AB4+LOG(I4)*4/3+N4)*2)/8)*(Q4/7)^0.5</f>
        <v>2.1396569541510422</v>
      </c>
      <c r="AL4" s="8">
        <f ca="1">(AD4+LOG(I4)*4/3+N4)*0.7+(AC4+LOG(I4)*4/3+N4)*0.3</f>
        <v>4.8622859698504985</v>
      </c>
      <c r="AM4" s="8">
        <f ca="1">(0.5*(AC4+LOG(I4)*4/3+N4)+ 0.3*(AD4+LOG(I4)*4/3+N4))/10</f>
        <v>0.41622097282613513</v>
      </c>
      <c r="AN4" s="8">
        <f ca="1">(0.4*(Y4+LOG(I4)*4/3+N4)+0.3*(AD4+LOG(I4)*4/3+N4))/10</f>
        <v>0.43836001788953494</v>
      </c>
      <c r="AO4" s="20">
        <v>4</v>
      </c>
      <c r="AP4" s="20">
        <v>1</v>
      </c>
      <c r="AQ4" s="20">
        <v>2</v>
      </c>
      <c r="AR4" s="129">
        <f t="shared" ref="AR4:AR5" si="6">IF(AP4=4,IF(AQ4=0,0.137+0.0697,0.137+0.02),IF(AP4=3,IF(AQ4=0,0.0958+0.0697,0.0958+0.02),IF(AP4=2,IF(AQ4=0,0.0415+0.0697,0.0415+0.02),IF(AP4=1,IF(AQ4=0,0.0294+0.0697,0.0294+0.02),IF(AP4=0,IF(AQ4=0,0.0063+0.0697,0.0063+0.02))))))</f>
        <v>4.9399999999999999E-2</v>
      </c>
      <c r="AS4">
        <v>8490</v>
      </c>
    </row>
    <row r="5" spans="1:45" x14ac:dyDescent="0.25">
      <c r="A5" s="15" t="s">
        <v>369</v>
      </c>
      <c r="B5" s="15" t="s">
        <v>370</v>
      </c>
      <c r="C5" s="121">
        <f t="shared" ref="C5" ca="1" si="7">((33*112)-(E5*112)-(F5))/112</f>
        <v>15.410714285714286</v>
      </c>
      <c r="D5" s="215" t="s">
        <v>306</v>
      </c>
      <c r="E5" s="16">
        <v>17</v>
      </c>
      <c r="F5" s="2">
        <f ca="1">8-159+16-570-5+D2-D1-2-12-49+9-11+44-40</f>
        <v>66</v>
      </c>
      <c r="G5" s="18" t="s">
        <v>177</v>
      </c>
      <c r="H5" s="4">
        <v>3</v>
      </c>
      <c r="I5" s="27">
        <v>1</v>
      </c>
      <c r="J5" s="22">
        <f t="shared" ref="J5" si="8">LOG(I5)*4/3</f>
        <v>0</v>
      </c>
      <c r="K5" s="6">
        <f t="shared" si="0"/>
        <v>9</v>
      </c>
      <c r="L5" s="6">
        <f t="shared" si="1"/>
        <v>16</v>
      </c>
      <c r="M5" s="130">
        <v>43046</v>
      </c>
      <c r="N5" s="131">
        <f t="shared" ref="N5" ca="1" si="9">IF((TODAY()-M5)&gt;335,1,((TODAY()-M5)^0.64)/(336^0.64))</f>
        <v>0.3284642817654399</v>
      </c>
      <c r="O5" s="19">
        <v>4.5</v>
      </c>
      <c r="P5" s="20">
        <f t="shared" si="2"/>
        <v>64</v>
      </c>
      <c r="Q5" s="26">
        <v>6</v>
      </c>
      <c r="R5" s="115">
        <f t="shared" si="3"/>
        <v>0.92582009977255142</v>
      </c>
      <c r="S5" s="115">
        <f t="shared" si="4"/>
        <v>0.99928545900129484</v>
      </c>
      <c r="T5" s="29">
        <v>560</v>
      </c>
      <c r="U5" s="29">
        <f t="shared" ref="U5" si="10">T5-AS5</f>
        <v>10</v>
      </c>
      <c r="V5" s="29">
        <v>250</v>
      </c>
      <c r="W5" s="8">
        <f t="shared" si="5"/>
        <v>2.2400000000000002</v>
      </c>
      <c r="X5" s="21">
        <v>0</v>
      </c>
      <c r="Y5" s="22">
        <v>4</v>
      </c>
      <c r="Z5" s="21">
        <v>4</v>
      </c>
      <c r="AA5" s="22">
        <v>3</v>
      </c>
      <c r="AB5" s="21">
        <f>4+0.25+(0.25*0.16*3/90)+0.25*3/90*0.16</f>
        <v>4.2526666666666664</v>
      </c>
      <c r="AC5" s="22">
        <f>3+1/15</f>
        <v>3.0666666666666669</v>
      </c>
      <c r="AD5" s="21">
        <v>0.4</v>
      </c>
      <c r="AE5" s="9">
        <v>360</v>
      </c>
      <c r="AF5" s="9">
        <v>1991</v>
      </c>
      <c r="AG5" s="23">
        <f t="shared" ref="AG5" ca="1" si="11">(AD5+1+(LOG(I5)*4/3)+N5)*(Q5/7)^0.5</f>
        <v>1.600246973797371</v>
      </c>
      <c r="AH5" s="23">
        <f t="shared" ref="AH5" ca="1" si="12">(AD5+1+N5+(LOG(I5)*4/3))*(IF(Q5=7, (Q5/7)^0.5, ((Q5+1)/7)^0.5))</f>
        <v>1.7284642817654399</v>
      </c>
      <c r="AI5" s="120">
        <f t="shared" ref="AI5" ca="1" si="13">(Z5+N5+(LOG(I5)*4/3))*(Q5/7)^0.5</f>
        <v>4.007379233206005</v>
      </c>
      <c r="AJ5" s="120">
        <f t="shared" ref="AJ5" ca="1" si="14">(Z5+N5+(LOG(I5)*4/3))*(IF(Q5=7, (Q5/7)^0.5, ((Q5+1)/7)^0.5))</f>
        <v>4.3284642817654397</v>
      </c>
      <c r="AK5" s="8">
        <f t="shared" ref="AK5" ca="1" si="15">(((Y5+LOG(I5)*4/3+N5)+(AB5+LOG(I5)*4/3+N5)*2)/8)*(Q5/7)^0.5</f>
        <v>1.5612481820878845</v>
      </c>
      <c r="AL5" s="8">
        <f t="shared" ref="AL5" ca="1" si="16">(AD5+LOG(I5)*4/3+N5)*0.7+(AC5+LOG(I5)*4/3+N5)*0.3</f>
        <v>1.5284642817654399</v>
      </c>
      <c r="AM5" s="8">
        <f t="shared" ref="AM5" ca="1" si="17">(0.5*(AC5+LOG(I5)*4/3+N5)+ 0.3*(AD5+LOG(I5)*4/3+N5))/10</f>
        <v>0.19161047587456853</v>
      </c>
      <c r="AN5" s="8">
        <f t="shared" ref="AN5" ca="1" si="18">(0.4*(Y5+LOG(I5)*4/3+N5)+0.3*(AD5+LOG(I5)*4/3+N5))/10</f>
        <v>0.19499249972358079</v>
      </c>
      <c r="AO5" s="20">
        <v>1</v>
      </c>
      <c r="AP5" s="20">
        <v>1</v>
      </c>
      <c r="AQ5" s="20">
        <v>3</v>
      </c>
      <c r="AR5" s="129">
        <f t="shared" si="6"/>
        <v>4.9399999999999999E-2</v>
      </c>
      <c r="AS5">
        <v>550</v>
      </c>
    </row>
    <row r="6" spans="1:45" x14ac:dyDescent="0.25">
      <c r="A6" s="15" t="s">
        <v>39</v>
      </c>
      <c r="B6" s="15" t="s">
        <v>370</v>
      </c>
      <c r="C6" s="121">
        <f ca="1">((33*112)-(E6*112)-(F6))/112</f>
        <v>15.883928571428571</v>
      </c>
      <c r="D6" s="215" t="s">
        <v>470</v>
      </c>
      <c r="E6" s="16">
        <v>17</v>
      </c>
      <c r="F6" s="17">
        <f ca="1">72+D2-D1-112-112-112-112-112+17-112-112+10-112-27</f>
        <v>13</v>
      </c>
      <c r="G6" s="18"/>
      <c r="H6" s="4">
        <v>1</v>
      </c>
      <c r="I6" s="27">
        <v>1</v>
      </c>
      <c r="J6" s="22">
        <f>LOG(I6)*4/3</f>
        <v>0</v>
      </c>
      <c r="K6" s="6">
        <f>(H6)*(H6)*(I6)</f>
        <v>1</v>
      </c>
      <c r="L6" s="6">
        <f>(H6+1)*(H6+1)*I6</f>
        <v>4</v>
      </c>
      <c r="M6" s="130">
        <v>43097</v>
      </c>
      <c r="N6" s="131">
        <v>1.5</v>
      </c>
      <c r="O6" s="19">
        <v>3.5</v>
      </c>
      <c r="P6" s="20">
        <f t="shared" si="2"/>
        <v>54</v>
      </c>
      <c r="Q6" s="20">
        <v>5</v>
      </c>
      <c r="R6" s="115">
        <f>(Q6/7)^0.5</f>
        <v>0.84515425472851657</v>
      </c>
      <c r="S6" s="115">
        <f>IF(Q6=7,1,((Q6+0.99)/7)^0.5)</f>
        <v>0.92504826128926143</v>
      </c>
      <c r="T6" s="29">
        <v>1360</v>
      </c>
      <c r="U6" s="29">
        <f>T6-AS6</f>
        <v>0</v>
      </c>
      <c r="V6" s="29">
        <v>470</v>
      </c>
      <c r="W6" s="8">
        <f>T6/V6</f>
        <v>2.8936170212765959</v>
      </c>
      <c r="X6" s="21">
        <v>0</v>
      </c>
      <c r="Y6" s="22">
        <v>5</v>
      </c>
      <c r="Z6" s="21">
        <v>6.7</v>
      </c>
      <c r="AA6" s="22">
        <v>3</v>
      </c>
      <c r="AB6" s="21">
        <v>2</v>
      </c>
      <c r="AC6" s="22">
        <f>3+1/15</f>
        <v>3.0666666666666669</v>
      </c>
      <c r="AD6" s="21">
        <v>2</v>
      </c>
      <c r="AE6" s="9">
        <v>422</v>
      </c>
      <c r="AF6" s="9">
        <v>2055</v>
      </c>
      <c r="AG6" s="23">
        <f>(AD6+1+(LOG(I6)*4/3)+N6)*(Q6/7)^0.5</f>
        <v>3.8031941462783245</v>
      </c>
      <c r="AH6" s="23">
        <f>(AD6+1+N6+(LOG(I6)*4/3))*(IF(Q6=7, (Q6/7)^0.5, ((Q6+1)/7)^0.5))</f>
        <v>4.1661904489764812</v>
      </c>
      <c r="AI6" s="120">
        <f>(Z6+N6+(LOG(I6)*4/3))*(Q6/7)^0.5</f>
        <v>6.9302648887738352</v>
      </c>
      <c r="AJ6" s="120">
        <f>(Z6+N6+(LOG(I6)*4/3))*(IF(Q6=7, (Q6/7)^0.5, ((Q6+1)/7)^0.5))</f>
        <v>7.5917248181349208</v>
      </c>
      <c r="AK6" s="8">
        <f>(((Y6+LOG(I6)*4/3+N6)+(AB6+LOG(I6)*4/3+N6)*2)/8)*(Q6/7)^0.5</f>
        <v>1.4261978048543718</v>
      </c>
      <c r="AL6" s="8">
        <f>(AD6+LOG(I6)*4/3+N6)*0.7+(AC6+LOG(I6)*4/3+N6)*0.3</f>
        <v>3.8199999999999994</v>
      </c>
      <c r="AM6" s="8">
        <f>(0.5*(AC6+LOG(I6)*4/3+N6)+ 0.3*(AD6+LOG(I6)*4/3+N6))/10</f>
        <v>0.33333333333333331</v>
      </c>
      <c r="AN6" s="8">
        <f>(0.4*(Y6+LOG(I6)*4/3+N6)+0.3*(AD6+LOG(I6)*4/3+N6))/10</f>
        <v>0.36500000000000005</v>
      </c>
      <c r="AO6" s="20">
        <v>2</v>
      </c>
      <c r="AP6" s="20">
        <v>2</v>
      </c>
      <c r="AQ6" s="20">
        <v>1</v>
      </c>
      <c r="AR6" s="129">
        <f>IF(AP6=4,IF(AQ6=0,0.137+0.0697,0.137+0.02),IF(AP6=3,IF(AQ6=0,0.0958+0.0697,0.0958+0.02),IF(AP6=2,IF(AQ6=0,0.0415+0.0697,0.0415+0.02),IF(AP6=1,IF(AQ6=0,0.0294+0.0697,0.0294+0.02),IF(AP6=0,IF(AQ6=0,0.0063+0.0697,0.0063+0.02))))))</f>
        <v>6.1499999999999999E-2</v>
      </c>
      <c r="AS6">
        <v>1360</v>
      </c>
    </row>
    <row r="7" spans="1:45" x14ac:dyDescent="0.25">
      <c r="A7" s="15" t="s">
        <v>41</v>
      </c>
      <c r="B7" s="15" t="s">
        <v>194</v>
      </c>
      <c r="C7" s="121">
        <f ca="1">((33*112)-(E7*112)-(F7))/112</f>
        <v>15.383928571428571</v>
      </c>
      <c r="D7" s="222" t="s">
        <v>308</v>
      </c>
      <c r="E7" s="16">
        <v>17</v>
      </c>
      <c r="F7" s="2">
        <f ca="1">8-159+16-570-5+D2-D1-2-31-25</f>
        <v>69</v>
      </c>
      <c r="G7" s="18" t="s">
        <v>296</v>
      </c>
      <c r="H7" s="40">
        <v>6</v>
      </c>
      <c r="I7" s="27">
        <v>1</v>
      </c>
      <c r="J7" s="22">
        <f>LOG(I7)*4/3</f>
        <v>0</v>
      </c>
      <c r="K7" s="6">
        <f>(H7)*(H7)*(I7)</f>
        <v>36</v>
      </c>
      <c r="L7" s="6">
        <f>(H7+1)*(H7+1)*I7</f>
        <v>49</v>
      </c>
      <c r="M7" s="130">
        <v>43051</v>
      </c>
      <c r="N7" s="131">
        <f ca="1">IF((TODAY()-M7)&gt;335,1,((TODAY()-M7)^0.64)/(336^0.64))</f>
        <v>0.31036652147110561</v>
      </c>
      <c r="O7" s="19">
        <v>5</v>
      </c>
      <c r="P7" s="20">
        <f>O7*10+19</f>
        <v>69</v>
      </c>
      <c r="Q7" s="26">
        <v>6</v>
      </c>
      <c r="R7" s="115">
        <f>(Q7/7)^0.5</f>
        <v>0.92582009977255142</v>
      </c>
      <c r="S7" s="115">
        <f>IF(Q7=7,1,((Q7+0.99)/7)^0.5)</f>
        <v>0.99928545900129484</v>
      </c>
      <c r="T7" s="29">
        <v>2000</v>
      </c>
      <c r="U7" s="29">
        <f>T7-AS7</f>
        <v>90</v>
      </c>
      <c r="V7" s="29">
        <v>330</v>
      </c>
      <c r="W7" s="8">
        <f>T7/V7</f>
        <v>6.0606060606060606</v>
      </c>
      <c r="X7" s="21">
        <v>0</v>
      </c>
      <c r="Y7" s="22">
        <v>6</v>
      </c>
      <c r="Z7" s="21">
        <v>3</v>
      </c>
      <c r="AA7" s="22">
        <v>3</v>
      </c>
      <c r="AB7" s="21">
        <f>5+0.2+0.2</f>
        <v>5.4</v>
      </c>
      <c r="AC7" s="22">
        <f>3+0.33+0.33</f>
        <v>3.66</v>
      </c>
      <c r="AD7" s="21">
        <v>3</v>
      </c>
      <c r="AE7" s="9">
        <v>447</v>
      </c>
      <c r="AF7" s="9">
        <v>2000</v>
      </c>
      <c r="AG7" s="23">
        <f t="shared" ref="AG7:AG17" ca="1" si="19">(AD7+1+(LOG(I7)*4/3)+N7)*(Q7/7)^0.5</f>
        <v>3.9906239629646443</v>
      </c>
      <c r="AH7" s="23">
        <f t="shared" ref="AH7:AH17" ca="1" si="20">(AD7+1+N7+(LOG(I7)*4/3))*(IF(Q7=7, (Q7/7)^0.5, ((Q7+1)/7)^0.5))</f>
        <v>4.3103665214711055</v>
      </c>
      <c r="AI7" s="120">
        <f t="shared" ref="AI7:AI17" ca="1" si="21">(Z7+N7+(LOG(I7)*4/3))*(Q7/7)^0.5</f>
        <v>3.0648038631920929</v>
      </c>
      <c r="AJ7" s="120">
        <f t="shared" ref="AJ7:AJ17" ca="1" si="22">(Z7+N7+(LOG(I7)*4/3))*(IF(Q7=7, (Q7/7)^0.5, ((Q7+1)/7)^0.5))</f>
        <v>3.3103665214711055</v>
      </c>
      <c r="AK7" s="8">
        <f t="shared" ref="AK7:AK17" ca="1" si="23">(((Y7+LOG(I7)*4/3+N7)+(AB7+LOG(I7)*4/3+N7)*2)/8)*(Q7/7)^0.5</f>
        <v>2.0519760459752723</v>
      </c>
      <c r="AL7" s="8">
        <f t="shared" ref="AL7:AL17" ca="1" si="24">(AD7+LOG(I7)*4/3+N7)*0.7+(AC7+LOG(I7)*4/3+N7)*0.3</f>
        <v>3.5083665214711051</v>
      </c>
      <c r="AM7" s="8">
        <f t="shared" ref="AM7:AM17" ca="1" si="25">(0.5*(AC7+LOG(I7)*4/3+N7)+ 0.3*(AD7+LOG(I7)*4/3+N7))/10</f>
        <v>0.29782932171768844</v>
      </c>
      <c r="AN7" s="8">
        <f t="shared" ref="AN7:AN17" ca="1" si="26">(0.4*(Y7+LOG(I7)*4/3+N7)+0.3*(AD7+LOG(I7)*4/3+N7))/10</f>
        <v>0.35172565650297738</v>
      </c>
      <c r="AO7" s="20">
        <v>2</v>
      </c>
      <c r="AP7" s="20">
        <v>2</v>
      </c>
      <c r="AQ7" s="20">
        <v>1</v>
      </c>
      <c r="AR7" s="129">
        <f>IF(AP7=4,IF(AQ7=0,0.137+0.0697,0.137+0.02),IF(AP7=3,IF(AQ7=0,0.0958+0.0697,0.0958+0.02),IF(AP7=2,IF(AQ7=0,0.0415+0.0697,0.0415+0.02),IF(AP7=1,IF(AQ7=0,0.0294+0.0697,0.0294+0.02),IF(AP7=0,IF(AQ7=0,0.0063+0.0697,0.0063+0.02))))))</f>
        <v>6.1499999999999999E-2</v>
      </c>
      <c r="AS7">
        <v>1910</v>
      </c>
    </row>
    <row r="8" spans="1:45" x14ac:dyDescent="0.25">
      <c r="A8" s="15" t="s">
        <v>38</v>
      </c>
      <c r="B8" s="15" t="s">
        <v>194</v>
      </c>
      <c r="C8" s="121">
        <f ca="1">((33*112)-(E8*112)-(F8))/112</f>
        <v>15.294642857142858</v>
      </c>
      <c r="D8" s="222" t="s">
        <v>382</v>
      </c>
      <c r="E8" s="16">
        <v>17</v>
      </c>
      <c r="F8" s="2">
        <f ca="1">8-159+16-570-5+D2-D1-2-31-15</f>
        <v>79</v>
      </c>
      <c r="G8" s="18" t="s">
        <v>70</v>
      </c>
      <c r="H8" s="4">
        <v>0</v>
      </c>
      <c r="I8" s="27">
        <v>1.2</v>
      </c>
      <c r="J8" s="22">
        <f>LOG(I8)*4/3</f>
        <v>0.10557499473016642</v>
      </c>
      <c r="K8" s="6">
        <f>(H8)*(H8)*(I8)</f>
        <v>0</v>
      </c>
      <c r="L8" s="6">
        <f>(H8+1)*(H8+1)*I8</f>
        <v>1.2</v>
      </c>
      <c r="M8" s="130">
        <v>43081</v>
      </c>
      <c r="N8" s="131">
        <f ca="1">IF((TODAY()-M8)&gt;335,1,((TODAY()-M8)^0.64)/(336^0.64))</f>
        <v>0.18470474700304157</v>
      </c>
      <c r="O8" s="19">
        <v>3.5</v>
      </c>
      <c r="P8" s="20">
        <f>O8*10+19</f>
        <v>54</v>
      </c>
      <c r="Q8" s="26">
        <v>6</v>
      </c>
      <c r="R8" s="115">
        <f>(Q8/7)^0.5</f>
        <v>0.92582009977255142</v>
      </c>
      <c r="S8" s="115">
        <f>IF(Q8=7,1,((Q8+0.99)/7)^0.5)</f>
        <v>0.99928545900129484</v>
      </c>
      <c r="T8" s="29">
        <v>5020</v>
      </c>
      <c r="U8" s="29">
        <f>T8-AS8</f>
        <v>350</v>
      </c>
      <c r="V8" s="29">
        <v>370</v>
      </c>
      <c r="W8" s="8">
        <f>T8/V8</f>
        <v>13.567567567567568</v>
      </c>
      <c r="X8" s="21">
        <v>0</v>
      </c>
      <c r="Y8" s="22">
        <v>6</v>
      </c>
      <c r="Z8" s="21">
        <v>5</v>
      </c>
      <c r="AA8" s="22">
        <v>6</v>
      </c>
      <c r="AB8" s="21">
        <f>5.8+0.2</f>
        <v>6</v>
      </c>
      <c r="AC8" s="22">
        <f>5+0.33</f>
        <v>5.33</v>
      </c>
      <c r="AD8" s="21">
        <v>0</v>
      </c>
      <c r="AE8" s="9">
        <v>653</v>
      </c>
      <c r="AF8" s="9">
        <v>2192</v>
      </c>
      <c r="AG8" s="23">
        <f t="shared" ca="1" si="19"/>
        <v>1.1945669192259407</v>
      </c>
      <c r="AH8" s="23">
        <f t="shared" ca="1" si="20"/>
        <v>1.2902797417332081</v>
      </c>
      <c r="AI8" s="120">
        <f t="shared" ca="1" si="21"/>
        <v>4.8978473183161464</v>
      </c>
      <c r="AJ8" s="120">
        <f t="shared" ca="1" si="22"/>
        <v>5.2902797417332081</v>
      </c>
      <c r="AK8" s="8">
        <f t="shared" ca="1" si="23"/>
        <v>2.1838752817832616</v>
      </c>
      <c r="AL8" s="8">
        <f t="shared" ca="1" si="24"/>
        <v>1.8892797417332079</v>
      </c>
      <c r="AM8" s="8">
        <f t="shared" ca="1" si="25"/>
        <v>0.28972237933865663</v>
      </c>
      <c r="AN8" s="8">
        <f t="shared" ca="1" si="26"/>
        <v>0.26031958192132459</v>
      </c>
      <c r="AO8" s="20">
        <v>1</v>
      </c>
      <c r="AP8" s="20">
        <v>2</v>
      </c>
      <c r="AQ8" s="20">
        <v>2</v>
      </c>
      <c r="AR8" s="129">
        <f>IF(AP8=4,IF(AQ8=0,0.137+0.0697,0.137+0.02),IF(AP8=3,IF(AQ8=0,0.0958+0.0697,0.0958+0.02),IF(AP8=2,IF(AQ8=0,0.0415+0.0697,0.0415+0.02),IF(AP8=1,IF(AQ8=0,0.0294+0.0697,0.0294+0.02),IF(AP8=0,IF(AQ8=0,0.0063+0.0697,0.0063+0.02))))))</f>
        <v>6.1499999999999999E-2</v>
      </c>
      <c r="AS8" s="214">
        <v>4670</v>
      </c>
    </row>
    <row r="9" spans="1:45" x14ac:dyDescent="0.25">
      <c r="A9" s="15" t="s">
        <v>364</v>
      </c>
      <c r="B9" s="24" t="s">
        <v>194</v>
      </c>
      <c r="C9" s="121">
        <f ca="1">((33*112)-(E9*112)-(F9))/112</f>
        <v>14.991071428571429</v>
      </c>
      <c r="D9" s="216" t="s">
        <v>301</v>
      </c>
      <c r="E9" s="1">
        <v>18</v>
      </c>
      <c r="F9" s="2">
        <f ca="1">8-159+16-570-5+D2-D1-2-12-112</f>
        <v>1</v>
      </c>
      <c r="G9" s="3" t="s">
        <v>70</v>
      </c>
      <c r="H9" s="4">
        <v>2</v>
      </c>
      <c r="I9" s="5">
        <v>0.5</v>
      </c>
      <c r="J9" s="22">
        <f>LOG(I9)*4/3</f>
        <v>-0.40137332755197491</v>
      </c>
      <c r="K9" s="6">
        <f>(H9)*(H9)*(I9)</f>
        <v>2</v>
      </c>
      <c r="L9" s="6">
        <f>(H9+1)*(H9+1)*I9</f>
        <v>4.5</v>
      </c>
      <c r="M9" s="130">
        <v>43046</v>
      </c>
      <c r="N9" s="131">
        <f ca="1">IF((TODAY()-M9)&gt;335,1,((TODAY()-M9)^0.64)/(336^0.64))</f>
        <v>0.3284642817654399</v>
      </c>
      <c r="O9" s="25">
        <v>6</v>
      </c>
      <c r="P9" s="20">
        <f>O9*10+19</f>
        <v>79</v>
      </c>
      <c r="Q9" s="26">
        <v>6</v>
      </c>
      <c r="R9" s="115">
        <f>(Q9/7)^0.5</f>
        <v>0.92582009977255142</v>
      </c>
      <c r="S9" s="115">
        <f>IF(Q9=7,1,((Q9+0.99)/7)^0.5)</f>
        <v>0.99928545900129484</v>
      </c>
      <c r="T9" s="29">
        <v>2360</v>
      </c>
      <c r="U9" s="29">
        <f>T9-AS9</f>
        <v>110</v>
      </c>
      <c r="V9" s="7">
        <v>450</v>
      </c>
      <c r="W9" s="8">
        <f>T9/V9</f>
        <v>5.2444444444444445</v>
      </c>
      <c r="X9" s="21">
        <v>0</v>
      </c>
      <c r="Y9" s="22">
        <v>6</v>
      </c>
      <c r="Z9" s="21">
        <v>4</v>
      </c>
      <c r="AA9" s="22">
        <v>4</v>
      </c>
      <c r="AB9" s="21">
        <f>2.67+0.33+0.33*0.16+0.25</f>
        <v>3.3028</v>
      </c>
      <c r="AC9" s="22">
        <f>3+0.33+1/15+1/15</f>
        <v>3.4633333333333338</v>
      </c>
      <c r="AD9" s="21">
        <v>6</v>
      </c>
      <c r="AE9" s="9">
        <v>459</v>
      </c>
      <c r="AF9" s="9">
        <v>1975</v>
      </c>
      <c r="AG9" s="23">
        <f t="shared" ca="1" si="19"/>
        <v>6.4132400383634485</v>
      </c>
      <c r="AH9" s="23">
        <f t="shared" ca="1" si="20"/>
        <v>6.9270909542134644</v>
      </c>
      <c r="AI9" s="120">
        <f t="shared" ca="1" si="21"/>
        <v>3.6357797390457942</v>
      </c>
      <c r="AJ9" s="120">
        <f t="shared" ca="1" si="22"/>
        <v>3.9270909542134649</v>
      </c>
      <c r="AK9" s="8">
        <f t="shared" ca="1" si="23"/>
        <v>1.433501983694955</v>
      </c>
      <c r="AL9" s="8">
        <f t="shared" ca="1" si="24"/>
        <v>5.1660909542134643</v>
      </c>
      <c r="AM9" s="8">
        <f t="shared" ca="1" si="25"/>
        <v>0.34733394300374387</v>
      </c>
      <c r="AN9" s="8">
        <f t="shared" ca="1" si="26"/>
        <v>0.41489636679494246</v>
      </c>
      <c r="AO9" s="20">
        <v>2</v>
      </c>
      <c r="AP9" s="20">
        <v>0</v>
      </c>
      <c r="AQ9" s="20">
        <v>3</v>
      </c>
      <c r="AR9" s="129">
        <f>IF(AP9=4,IF(AQ9=0,0.137+0.0697,0.137+0.02),IF(AP9=3,IF(AQ9=0,0.0958+0.0697,0.0958+0.02),IF(AP9=2,IF(AQ9=0,0.0415+0.0697,0.0415+0.02),IF(AP9=1,IF(AQ9=0,0.0294+0.0697,0.0294+0.02),IF(AP9=0,IF(AQ9=0,0.0063+0.0697,0.0063+0.02))))))</f>
        <v>2.63E-2</v>
      </c>
      <c r="AS9">
        <v>2250</v>
      </c>
    </row>
    <row r="10" spans="1:45" x14ac:dyDescent="0.25">
      <c r="A10" s="15" t="s">
        <v>309</v>
      </c>
      <c r="B10" s="15" t="s">
        <v>194</v>
      </c>
      <c r="C10" s="121">
        <f t="shared" ref="C10" ca="1" si="27">((33*112)-(E10*112)-(F10))/112</f>
        <v>15.419642857142858</v>
      </c>
      <c r="D10" s="216" t="s">
        <v>299</v>
      </c>
      <c r="E10" s="1">
        <v>17</v>
      </c>
      <c r="F10" s="2">
        <f ca="1">8-159+16-570-5+D2-D1-2-60</f>
        <v>65</v>
      </c>
      <c r="G10" s="3" t="s">
        <v>296</v>
      </c>
      <c r="H10" s="4">
        <v>3</v>
      </c>
      <c r="I10" s="5">
        <v>1</v>
      </c>
      <c r="J10" s="22">
        <f t="shared" ref="J10" si="28">LOG(I10)*4/3</f>
        <v>0</v>
      </c>
      <c r="K10" s="6">
        <f t="shared" ref="K10:K11" si="29">(H10)*(H10)*(I10)</f>
        <v>9</v>
      </c>
      <c r="L10" s="6">
        <f t="shared" ref="L10:L11" si="30">(H10+1)*(H10+1)*I10</f>
        <v>16</v>
      </c>
      <c r="M10" s="130">
        <v>43045</v>
      </c>
      <c r="N10" s="131">
        <f t="shared" ref="N10" ca="1" si="31">IF((TODAY()-M10)&gt;335,1,((TODAY()-M10)^0.64)/(336^0.64))</f>
        <v>0.33201649666360128</v>
      </c>
      <c r="O10" s="25">
        <v>5.7</v>
      </c>
      <c r="P10" s="20">
        <f t="shared" ref="P10:P11" si="32">O10*10+19</f>
        <v>76</v>
      </c>
      <c r="Q10" s="26">
        <v>7</v>
      </c>
      <c r="R10" s="115">
        <f t="shared" ref="R10" si="33">(Q10/7)^0.5</f>
        <v>1</v>
      </c>
      <c r="S10" s="115">
        <f t="shared" ref="S10" si="34">IF(Q10=7,1,((Q10+0.99)/7)^0.5)</f>
        <v>1</v>
      </c>
      <c r="T10" s="29">
        <v>1140</v>
      </c>
      <c r="U10" s="29">
        <f t="shared" ref="U10" si="35">T10-AS10</f>
        <v>0</v>
      </c>
      <c r="V10" s="7">
        <v>330</v>
      </c>
      <c r="W10" s="8">
        <f t="shared" ref="W10:W11" si="36">T10/V10</f>
        <v>3.4545454545454546</v>
      </c>
      <c r="X10" s="21">
        <v>0</v>
      </c>
      <c r="Y10" s="22">
        <v>5</v>
      </c>
      <c r="Z10" s="21">
        <v>3</v>
      </c>
      <c r="AA10" s="22">
        <v>4</v>
      </c>
      <c r="AB10" s="21">
        <f>2+(0.33*0.16)+0.33+(0.33*0.16)</f>
        <v>2.4356</v>
      </c>
      <c r="AC10" s="22">
        <f>3+1/15+1/15+1/15</f>
        <v>3.2000000000000006</v>
      </c>
      <c r="AD10" s="21">
        <v>3</v>
      </c>
      <c r="AE10" s="9">
        <v>352</v>
      </c>
      <c r="AF10" s="9">
        <v>1936</v>
      </c>
      <c r="AG10" s="23">
        <f t="shared" ca="1" si="19"/>
        <v>4.3320164966636012</v>
      </c>
      <c r="AH10" s="23">
        <f t="shared" ca="1" si="20"/>
        <v>4.3320164966636012</v>
      </c>
      <c r="AI10" s="120">
        <f t="shared" ca="1" si="21"/>
        <v>3.3320164966636012</v>
      </c>
      <c r="AJ10" s="120">
        <f t="shared" ca="1" si="22"/>
        <v>3.3320164966636012</v>
      </c>
      <c r="AK10" s="8">
        <f t="shared" ca="1" si="23"/>
        <v>1.3584061862488506</v>
      </c>
      <c r="AL10" s="8">
        <f t="shared" ca="1" si="24"/>
        <v>3.3920164966636013</v>
      </c>
      <c r="AM10" s="8">
        <f t="shared" ca="1" si="25"/>
        <v>0.27656131973308817</v>
      </c>
      <c r="AN10" s="8">
        <f t="shared" ca="1" si="26"/>
        <v>0.31324115476645209</v>
      </c>
      <c r="AO10" s="20">
        <v>3</v>
      </c>
      <c r="AP10" s="20">
        <v>1</v>
      </c>
      <c r="AQ10" s="20">
        <v>2</v>
      </c>
      <c r="AR10" s="129">
        <f t="shared" ref="AR10" si="37">IF(AP10=4,IF(AQ10=0,0.137+0.0697,0.137+0.02),IF(AP10=3,IF(AQ10=0,0.0958+0.0697,0.0958+0.02),IF(AP10=2,IF(AQ10=0,0.0415+0.0697,0.0415+0.02),IF(AP10=1,IF(AQ10=0,0.0294+0.0697,0.0294+0.02),IF(AP10=0,IF(AQ10=0,0.0063+0.0697,0.0063+0.02))))))</f>
        <v>4.9399999999999999E-2</v>
      </c>
      <c r="AS10">
        <v>1140</v>
      </c>
    </row>
    <row r="11" spans="1:45" x14ac:dyDescent="0.25">
      <c r="A11" s="15" t="s">
        <v>35</v>
      </c>
      <c r="B11" s="15" t="s">
        <v>194</v>
      </c>
      <c r="C11" s="121">
        <f ca="1">((33*112)-(E11*112)-(F11))/112</f>
        <v>15.607142857142858</v>
      </c>
      <c r="D11" s="223" t="s">
        <v>471</v>
      </c>
      <c r="E11" s="16">
        <v>17</v>
      </c>
      <c r="F11" s="2">
        <f ca="1">-35+D2-D1-67-112-112-112+87-112-112-112-112+6</f>
        <v>44</v>
      </c>
      <c r="G11" s="18" t="s">
        <v>45</v>
      </c>
      <c r="H11" s="40">
        <v>6</v>
      </c>
      <c r="I11" s="27">
        <v>0.5</v>
      </c>
      <c r="J11" s="22">
        <f>LOG(I11)*4/3</f>
        <v>-0.40137332755197491</v>
      </c>
      <c r="K11" s="6">
        <f t="shared" si="29"/>
        <v>18</v>
      </c>
      <c r="L11" s="6">
        <f t="shared" si="30"/>
        <v>24.5</v>
      </c>
      <c r="M11" s="130">
        <v>43097</v>
      </c>
      <c r="N11" s="131">
        <f ca="1">IF((TODAY()-M11)&gt;335,1,((TODAY()-M11)^0.64)/(336^0.64))</f>
        <v>9.1436681135175488E-2</v>
      </c>
      <c r="O11" s="25">
        <v>3.5</v>
      </c>
      <c r="P11" s="20">
        <f t="shared" si="32"/>
        <v>54</v>
      </c>
      <c r="Q11" s="20">
        <v>3</v>
      </c>
      <c r="R11" s="115">
        <f>(Q11/7)^0.5</f>
        <v>0.65465367070797709</v>
      </c>
      <c r="S11" s="115">
        <f>IF(Q11=7,1,((Q11+0.99)/7)^0.5)</f>
        <v>0.75498344352707503</v>
      </c>
      <c r="T11" s="29">
        <v>890</v>
      </c>
      <c r="U11" s="29">
        <f>T11-AS11</f>
        <v>-70</v>
      </c>
      <c r="V11" s="29">
        <v>350</v>
      </c>
      <c r="W11" s="8">
        <f t="shared" si="36"/>
        <v>2.5428571428571427</v>
      </c>
      <c r="X11" s="21">
        <v>0</v>
      </c>
      <c r="Y11" s="22">
        <v>6</v>
      </c>
      <c r="Z11" s="21">
        <v>3</v>
      </c>
      <c r="AA11" s="22">
        <v>3</v>
      </c>
      <c r="AB11" s="21">
        <v>3</v>
      </c>
      <c r="AC11" s="22">
        <v>5</v>
      </c>
      <c r="AD11" s="21">
        <v>4</v>
      </c>
      <c r="AE11" s="9">
        <v>460</v>
      </c>
      <c r="AF11" s="9">
        <v>2039</v>
      </c>
      <c r="AG11" s="23">
        <f ca="1">(AD11+1+(LOG(I11)*4/3)+N11)*(Q11/7)^0.5</f>
        <v>3.0703671902762073</v>
      </c>
      <c r="AH11" s="23">
        <f ca="1">(AD11+1+N11+(LOG(I11)*4/3))*(IF(Q11=7, (Q11/7)^0.5, ((Q11+1)/7)^0.5))</f>
        <v>3.5453546476339262</v>
      </c>
      <c r="AI11" s="120">
        <f t="shared" ca="1" si="21"/>
        <v>1.7610598488602534</v>
      </c>
      <c r="AJ11" s="120">
        <f t="shared" ca="1" si="22"/>
        <v>2.0334967555970178</v>
      </c>
      <c r="AK11" s="8">
        <f t="shared" ca="1" si="23"/>
        <v>0.90589256983808641</v>
      </c>
      <c r="AL11" s="8">
        <f ca="1">(AD11+LOG(I11)*4/3+N11)*0.7+(AC11+LOG(I11)*4/3+N11)*0.3</f>
        <v>3.9900633535832006</v>
      </c>
      <c r="AM11" s="8">
        <f ca="1">(0.5*(AC11+LOG(I11)*4/3+N11)+ 0.3*(AD11+LOG(I11)*4/3+N11))/10</f>
        <v>0.34520506828665604</v>
      </c>
      <c r="AN11" s="8">
        <f ca="1">(0.4*(Y11+LOG(I11)*4/3+N11)+0.3*(AD11+LOG(I11)*4/3+N11))/10</f>
        <v>0.33830443475082406</v>
      </c>
      <c r="AO11" s="20">
        <v>2</v>
      </c>
      <c r="AP11" s="20">
        <v>3</v>
      </c>
      <c r="AQ11" s="20">
        <v>1</v>
      </c>
      <c r="AR11" s="129">
        <f>IF(AP11=4,IF(AQ11=0,0.137+0.0697,0.137+0.02),IF(AP11=3,IF(AQ11=0,0.0958+0.0697,0.0958+0.02),IF(AP11=2,IF(AQ11=0,0.0415+0.0697,0.0415+0.02),IF(AP11=1,IF(AQ11=0,0.0294+0.0697,0.0294+0.02),IF(AP11=0,IF(AQ11=0,0.0063+0.0697,0.0063+0.02))))))</f>
        <v>0.1158</v>
      </c>
      <c r="AS11">
        <v>960</v>
      </c>
    </row>
    <row r="12" spans="1:45" x14ac:dyDescent="0.25">
      <c r="A12" s="15" t="s">
        <v>293</v>
      </c>
      <c r="B12" s="15" t="s">
        <v>95</v>
      </c>
      <c r="C12" s="121">
        <f ca="1">((33*112)-(E12*112)-(F12))/112</f>
        <v>15.053571428571429</v>
      </c>
      <c r="D12" s="215" t="s">
        <v>295</v>
      </c>
      <c r="E12" s="16">
        <v>17</v>
      </c>
      <c r="F12" s="17">
        <f ca="1">8-159+16-570-5+D2-D1-2-19</f>
        <v>106</v>
      </c>
      <c r="G12" s="18" t="s">
        <v>296</v>
      </c>
      <c r="H12" s="4">
        <v>3</v>
      </c>
      <c r="I12" s="27">
        <v>0.5</v>
      </c>
      <c r="J12" s="22">
        <f>LOG(I12)*4/3</f>
        <v>-0.40137332755197491</v>
      </c>
      <c r="K12" s="6">
        <f>(H12)*(H12)*(I12)</f>
        <v>4.5</v>
      </c>
      <c r="L12" s="6">
        <f>(H12+1)*(H12+1)*I12</f>
        <v>8</v>
      </c>
      <c r="M12" s="130">
        <v>43045</v>
      </c>
      <c r="N12" s="131">
        <f ca="1">IF((TODAY()-M12)&gt;335,1,((TODAY()-M12)^0.64)/(336^0.64))</f>
        <v>0.33201649666360128</v>
      </c>
      <c r="O12" s="19">
        <v>6</v>
      </c>
      <c r="P12" s="20">
        <f>O12*10+19</f>
        <v>79</v>
      </c>
      <c r="Q12" s="20">
        <v>7</v>
      </c>
      <c r="R12" s="115">
        <f>(Q12/7)^0.5</f>
        <v>1</v>
      </c>
      <c r="S12" s="115">
        <f>IF(Q12=7,1,((Q12+0.99)/7)^0.5)</f>
        <v>1</v>
      </c>
      <c r="T12" s="29">
        <v>1710</v>
      </c>
      <c r="U12" s="29">
        <f>T12-AS12</f>
        <v>20</v>
      </c>
      <c r="V12" s="29">
        <v>370</v>
      </c>
      <c r="W12" s="8">
        <f>T12/V12</f>
        <v>4.6216216216216219</v>
      </c>
      <c r="X12" s="21">
        <v>0</v>
      </c>
      <c r="Y12" s="22">
        <v>3</v>
      </c>
      <c r="Z12" s="21">
        <v>6</v>
      </c>
      <c r="AA12" s="22">
        <v>3</v>
      </c>
      <c r="AB12" s="21">
        <f>3.25+0.25+0.25+0.25</f>
        <v>4</v>
      </c>
      <c r="AC12" s="22">
        <f>4+0.33+0.33+1/17</f>
        <v>4.7188235294117646</v>
      </c>
      <c r="AD12" s="21">
        <v>3</v>
      </c>
      <c r="AE12" s="9">
        <v>430</v>
      </c>
      <c r="AF12" s="9">
        <v>1950</v>
      </c>
      <c r="AG12" s="23">
        <f t="shared" ca="1" si="19"/>
        <v>3.9306431691116264</v>
      </c>
      <c r="AH12" s="23">
        <f t="shared" ca="1" si="20"/>
        <v>3.9306431691116264</v>
      </c>
      <c r="AI12" s="120">
        <f t="shared" ca="1" si="21"/>
        <v>5.9306431691116259</v>
      </c>
      <c r="AJ12" s="120">
        <f t="shared" ca="1" si="22"/>
        <v>5.9306431691116259</v>
      </c>
      <c r="AK12" s="8">
        <f t="shared" ca="1" si="23"/>
        <v>1.3489911884168599</v>
      </c>
      <c r="AL12" s="8">
        <f t="shared" ca="1" si="24"/>
        <v>3.4462902279351555</v>
      </c>
      <c r="AM12" s="8">
        <f t="shared" ca="1" si="25"/>
        <v>0.32039262999951834</v>
      </c>
      <c r="AN12" s="8">
        <f t="shared" ca="1" si="26"/>
        <v>0.20514502183781386</v>
      </c>
      <c r="AO12" s="20">
        <v>2</v>
      </c>
      <c r="AP12" s="20">
        <v>3</v>
      </c>
      <c r="AQ12" s="20">
        <v>2</v>
      </c>
      <c r="AR12" s="129">
        <f>IF(AP12=4,IF(AQ12=0,0.137+0.0697,0.137+0.02),IF(AP12=3,IF(AQ12=0,0.0958+0.0697,0.0958+0.02),IF(AP12=2,IF(AQ12=0,0.0415+0.0697,0.0415+0.02),IF(AP12=1,IF(AQ12=0,0.0294+0.0697,0.0294+0.02),IF(AP12=0,IF(AQ12=0,0.0063+0.0697,0.0063+0.02))))))</f>
        <v>0.1158</v>
      </c>
      <c r="AS12">
        <v>1690</v>
      </c>
    </row>
    <row r="13" spans="1:45" x14ac:dyDescent="0.25">
      <c r="A13" s="15" t="s">
        <v>367</v>
      </c>
      <c r="B13" s="24" t="s">
        <v>95</v>
      </c>
      <c r="C13" s="121">
        <f ca="1">((33*112)-(E13*112)-(F13))/112</f>
        <v>15.160714285714286</v>
      </c>
      <c r="D13" s="216" t="s">
        <v>300</v>
      </c>
      <c r="E13" s="1">
        <v>17</v>
      </c>
      <c r="F13" s="2">
        <f ca="1">8-159+16-570-5+D2-D1-2-31</f>
        <v>94</v>
      </c>
      <c r="G13" s="3" t="s">
        <v>0</v>
      </c>
      <c r="H13" s="4">
        <v>4</v>
      </c>
      <c r="I13" s="5">
        <v>0.5</v>
      </c>
      <c r="J13" s="22">
        <f>LOG(I13)*4/3</f>
        <v>-0.40137332755197491</v>
      </c>
      <c r="K13" s="6">
        <f>(H13)*(H13)*(I13)</f>
        <v>8</v>
      </c>
      <c r="L13" s="6">
        <f>(H13+1)*(H13+1)*I13</f>
        <v>12.5</v>
      </c>
      <c r="M13" s="130">
        <v>43046</v>
      </c>
      <c r="N13" s="131">
        <f ca="1">IF((TODAY()-M13)&gt;335,1,((TODAY()-M13)^0.64)/(336^0.64))</f>
        <v>0.3284642817654399</v>
      </c>
      <c r="O13" s="25">
        <v>5.7</v>
      </c>
      <c r="P13" s="20">
        <f>O13*10+19</f>
        <v>76</v>
      </c>
      <c r="Q13" s="26">
        <v>6</v>
      </c>
      <c r="R13" s="115">
        <f>(Q13/7)^0.5</f>
        <v>0.92582009977255142</v>
      </c>
      <c r="S13" s="115">
        <f>IF(Q13=7,1,((Q13+0.99)/7)^0.5)</f>
        <v>0.99928545900129484</v>
      </c>
      <c r="T13" s="29">
        <v>1130</v>
      </c>
      <c r="U13" s="29">
        <f>T13-AS13</f>
        <v>10</v>
      </c>
      <c r="V13" s="7">
        <v>330</v>
      </c>
      <c r="W13" s="8">
        <f>T13/V13</f>
        <v>3.4242424242424243</v>
      </c>
      <c r="X13" s="21">
        <v>0</v>
      </c>
      <c r="Y13" s="22">
        <v>2</v>
      </c>
      <c r="Z13" s="21">
        <v>5</v>
      </c>
      <c r="AA13" s="22">
        <v>3</v>
      </c>
      <c r="AB13" s="21">
        <f>2+(0.33*0.16)+(0.33*0.16)+(0.33*0.16)</f>
        <v>2.1583999999999999</v>
      </c>
      <c r="AC13" s="22">
        <f>5+1/20+1/20+1/20</f>
        <v>5.1499999999999995</v>
      </c>
      <c r="AD13" s="21">
        <v>5</v>
      </c>
      <c r="AE13" s="9">
        <v>367</v>
      </c>
      <c r="AF13" s="9">
        <v>1910</v>
      </c>
      <c r="AG13" s="23">
        <f t="shared" ca="1" si="19"/>
        <v>5.4874199385908966</v>
      </c>
      <c r="AH13" s="23">
        <f t="shared" ca="1" si="20"/>
        <v>5.9270909542134644</v>
      </c>
      <c r="AI13" s="120">
        <f t="shared" ca="1" si="21"/>
        <v>4.5615998388183456</v>
      </c>
      <c r="AJ13" s="120">
        <f t="shared" ca="1" si="22"/>
        <v>4.9270909542134644</v>
      </c>
      <c r="AK13" s="8">
        <f t="shared" ca="1" si="23"/>
        <v>0.70571480326375235</v>
      </c>
      <c r="AL13" s="8">
        <f t="shared" ca="1" si="24"/>
        <v>4.9720909542134644</v>
      </c>
      <c r="AM13" s="8">
        <f t="shared" ca="1" si="25"/>
        <v>0.40166727633707711</v>
      </c>
      <c r="AN13" s="8">
        <f t="shared" ca="1" si="26"/>
        <v>0.22489636679494254</v>
      </c>
      <c r="AO13" s="20">
        <v>4</v>
      </c>
      <c r="AP13" s="20">
        <v>2</v>
      </c>
      <c r="AQ13" s="20">
        <v>2</v>
      </c>
      <c r="AR13" s="129">
        <f>IF(AP13=4,IF(AQ13=0,0.137+0.0697,0.137+0.02),IF(AP13=3,IF(AQ13=0,0.0958+0.0697,0.0958+0.02),IF(AP13=2,IF(AQ13=0,0.0415+0.0697,0.0415+0.02),IF(AP13=1,IF(AQ13=0,0.0294+0.0697,0.0294+0.02),IF(AP13=0,IF(AQ13=0,0.0063+0.0697,0.0063+0.02))))))</f>
        <v>6.1499999999999999E-2</v>
      </c>
      <c r="AS13">
        <v>1120</v>
      </c>
    </row>
    <row r="14" spans="1:45" x14ac:dyDescent="0.25">
      <c r="A14" s="15" t="s">
        <v>371</v>
      </c>
      <c r="B14" s="15" t="s">
        <v>95</v>
      </c>
      <c r="C14" s="121">
        <f t="shared" ref="C14" ca="1" si="38">((33*112)-(E14*112)-(F14))/112</f>
        <v>15.428571428571429</v>
      </c>
      <c r="D14" s="215" t="s">
        <v>302</v>
      </c>
      <c r="E14" s="16">
        <v>17</v>
      </c>
      <c r="F14" s="2">
        <f ca="1">8-159+16-570-5+D2-D1-2-12-49</f>
        <v>64</v>
      </c>
      <c r="G14" s="18" t="s">
        <v>177</v>
      </c>
      <c r="H14" s="4">
        <v>3</v>
      </c>
      <c r="I14" s="27">
        <v>0.5</v>
      </c>
      <c r="J14" s="22">
        <f t="shared" ref="J14" si="39">LOG(I14)*4/3</f>
        <v>-0.40137332755197491</v>
      </c>
      <c r="K14" s="6">
        <f t="shared" ref="K14" si="40">(H14)*(H14)*(I14)</f>
        <v>4.5</v>
      </c>
      <c r="L14" s="6">
        <f t="shared" ref="L14" si="41">(H14+1)*(H14+1)*I14</f>
        <v>8</v>
      </c>
      <c r="M14" s="130">
        <v>43046</v>
      </c>
      <c r="N14" s="131">
        <f t="shared" ref="N14" ca="1" si="42">IF((TODAY()-M14)&gt;335,1,((TODAY()-M14)^0.64)/(336^0.64))</f>
        <v>0.3284642817654399</v>
      </c>
      <c r="O14" s="19">
        <v>4.5</v>
      </c>
      <c r="P14" s="20">
        <f t="shared" ref="P14" si="43">O14*10+19</f>
        <v>64</v>
      </c>
      <c r="Q14" s="26">
        <v>6</v>
      </c>
      <c r="R14" s="115">
        <f t="shared" ref="R14" si="44">(Q14/7)^0.5</f>
        <v>0.92582009977255142</v>
      </c>
      <c r="S14" s="115">
        <f t="shared" ref="S14" si="45">IF(Q14=7,1,((Q14+0.99)/7)^0.5)</f>
        <v>0.99928545900129484</v>
      </c>
      <c r="T14" s="29">
        <v>690</v>
      </c>
      <c r="U14" s="29">
        <f t="shared" ref="U14:U15" si="46">T14-AS14</f>
        <v>10</v>
      </c>
      <c r="V14" s="29">
        <v>270</v>
      </c>
      <c r="W14" s="8">
        <f t="shared" ref="W14" si="47">T14/V14</f>
        <v>2.5555555555555554</v>
      </c>
      <c r="X14" s="21">
        <v>0</v>
      </c>
      <c r="Y14" s="22">
        <v>3</v>
      </c>
      <c r="Z14" s="21">
        <v>4</v>
      </c>
      <c r="AA14" s="22">
        <v>4</v>
      </c>
      <c r="AB14" s="21">
        <f>3+(0.25*0.16*31/90)+(0.25*0.16*3/90)</f>
        <v>3.0151111111111111</v>
      </c>
      <c r="AC14" s="22">
        <f>4+1/17</f>
        <v>4.0588235294117645</v>
      </c>
      <c r="AD14" s="21">
        <v>1.3</v>
      </c>
      <c r="AE14" s="9">
        <v>352</v>
      </c>
      <c r="AF14" s="9">
        <v>1986</v>
      </c>
      <c r="AG14" s="23">
        <f t="shared" ca="1" si="19"/>
        <v>2.0618855694324565</v>
      </c>
      <c r="AH14" s="23">
        <f t="shared" ca="1" si="20"/>
        <v>2.2270909542134647</v>
      </c>
      <c r="AI14" s="120">
        <f t="shared" ca="1" si="21"/>
        <v>3.6357797390457942</v>
      </c>
      <c r="AJ14" s="120">
        <f t="shared" ca="1" si="22"/>
        <v>3.9270909542134649</v>
      </c>
      <c r="AK14" s="8">
        <f t="shared" ca="1" si="23"/>
        <v>1.0197324073266067</v>
      </c>
      <c r="AL14" s="8">
        <f t="shared" ca="1" si="24"/>
        <v>2.0547380130369945</v>
      </c>
      <c r="AM14" s="8">
        <f t="shared" ca="1" si="25"/>
        <v>0.23610845280766543</v>
      </c>
      <c r="AN14" s="8">
        <f t="shared" ca="1" si="26"/>
        <v>0.15389636679494254</v>
      </c>
      <c r="AO14" s="20">
        <v>1</v>
      </c>
      <c r="AP14" s="20">
        <v>3</v>
      </c>
      <c r="AQ14" s="20">
        <v>1</v>
      </c>
      <c r="AR14" s="129">
        <f t="shared" ref="AR14" si="48">IF(AP14=4,IF(AQ14=0,0.137+0.0697,0.137+0.02),IF(AP14=3,IF(AQ14=0,0.0958+0.0697,0.0958+0.02),IF(AP14=2,IF(AQ14=0,0.0415+0.0697,0.0415+0.02),IF(AP14=1,IF(AQ14=0,0.0294+0.0697,0.0294+0.02),IF(AP14=0,IF(AQ14=0,0.0063+0.0697,0.0063+0.02))))))</f>
        <v>0.1158</v>
      </c>
      <c r="AS14">
        <v>680</v>
      </c>
    </row>
    <row r="15" spans="1:45" x14ac:dyDescent="0.25">
      <c r="A15" s="15" t="s">
        <v>31</v>
      </c>
      <c r="B15" s="15" t="s">
        <v>71</v>
      </c>
      <c r="C15" s="121">
        <f ca="1">((33*112)-(E15*112)-(F15))/112</f>
        <v>15.419642857142858</v>
      </c>
      <c r="D15" s="222" t="s">
        <v>294</v>
      </c>
      <c r="E15" s="16">
        <v>17</v>
      </c>
      <c r="F15" s="17">
        <f ca="1">8-159+16-570-5+D2-D1-62</f>
        <v>65</v>
      </c>
      <c r="G15" s="18" t="s">
        <v>45</v>
      </c>
      <c r="H15" s="4">
        <v>1</v>
      </c>
      <c r="I15" s="27">
        <v>1</v>
      </c>
      <c r="J15" s="22">
        <f>LOG(I15)*4/3</f>
        <v>0</v>
      </c>
      <c r="K15" s="6">
        <f>(H15)*(H15)*(I15)</f>
        <v>1</v>
      </c>
      <c r="L15" s="6">
        <f>(H15+1)*(H15+1)*I15</f>
        <v>4</v>
      </c>
      <c r="M15" s="130">
        <v>43046</v>
      </c>
      <c r="N15" s="131">
        <v>1.5</v>
      </c>
      <c r="O15" s="19">
        <v>5.7</v>
      </c>
      <c r="P15" s="20">
        <f>O15*10+19</f>
        <v>76</v>
      </c>
      <c r="Q15" s="20">
        <v>6</v>
      </c>
      <c r="R15" s="115">
        <f>(Q15/7)^0.5</f>
        <v>0.92582009977255142</v>
      </c>
      <c r="S15" s="115">
        <f>IF(Q15=7,1,((Q15+0.99)/7)^0.5)</f>
        <v>0.99928545900129484</v>
      </c>
      <c r="T15" s="29">
        <v>2540</v>
      </c>
      <c r="U15" s="29">
        <f t="shared" si="46"/>
        <v>280</v>
      </c>
      <c r="V15" s="29">
        <v>350</v>
      </c>
      <c r="W15" s="8">
        <f>T15/V15</f>
        <v>7.2571428571428571</v>
      </c>
      <c r="X15" s="21">
        <v>0</v>
      </c>
      <c r="Y15" s="22">
        <v>2</v>
      </c>
      <c r="Z15" s="21">
        <v>5.7</v>
      </c>
      <c r="AA15" s="22">
        <v>5.5</v>
      </c>
      <c r="AB15" s="21">
        <f>4.75+0.25+0.25+0.25</f>
        <v>5.5</v>
      </c>
      <c r="AC15" s="22">
        <f>4+0.33</f>
        <v>4.33</v>
      </c>
      <c r="AD15" s="21">
        <v>5</v>
      </c>
      <c r="AE15" s="9">
        <v>449</v>
      </c>
      <c r="AF15" s="9">
        <v>2008</v>
      </c>
      <c r="AG15" s="23">
        <f t="shared" si="19"/>
        <v>6.9436507482941359</v>
      </c>
      <c r="AH15" s="23">
        <f t="shared" si="20"/>
        <v>7.5</v>
      </c>
      <c r="AI15" s="120">
        <f t="shared" si="21"/>
        <v>6.6659047183623708</v>
      </c>
      <c r="AJ15" s="120">
        <f t="shared" si="22"/>
        <v>7.2</v>
      </c>
      <c r="AK15" s="8">
        <f t="shared" si="23"/>
        <v>2.0252314682524561</v>
      </c>
      <c r="AL15" s="8">
        <f t="shared" si="24"/>
        <v>6.2989999999999995</v>
      </c>
      <c r="AM15" s="8">
        <f t="shared" si="25"/>
        <v>0.48650000000000004</v>
      </c>
      <c r="AN15" s="8">
        <f t="shared" si="26"/>
        <v>0.33500000000000002</v>
      </c>
      <c r="AO15" s="20">
        <v>4</v>
      </c>
      <c r="AP15" s="20">
        <v>3</v>
      </c>
      <c r="AQ15" s="20">
        <v>2</v>
      </c>
      <c r="AR15" s="129">
        <f>IF(AP15=4,IF(AQ15=0,0.137+0.0697,0.137+0.02),IF(AP15=3,IF(AQ15=0,0.0958+0.0697,0.0958+0.02),IF(AP15=2,IF(AQ15=0,0.0415+0.0697,0.0415+0.02),IF(AP15=1,IF(AQ15=0,0.0294+0.0697,0.0294+0.02),IF(AP15=0,IF(AQ15=0,0.0063+0.0697,0.0063+0.02))))))</f>
        <v>0.1158</v>
      </c>
      <c r="AS15">
        <v>2260</v>
      </c>
    </row>
    <row r="16" spans="1:45" x14ac:dyDescent="0.25">
      <c r="A16" s="15" t="s">
        <v>36</v>
      </c>
      <c r="B16" s="15" t="s">
        <v>71</v>
      </c>
      <c r="C16" s="121">
        <f ca="1">((33*112)-(E16*112)-(F16))/112</f>
        <v>15.419642857142858</v>
      </c>
      <c r="D16" s="222" t="s">
        <v>384</v>
      </c>
      <c r="E16" s="16">
        <v>17</v>
      </c>
      <c r="F16" s="2">
        <f ca="1">8-159+16-570-5+D2-D1-2-31-25-4</f>
        <v>65</v>
      </c>
      <c r="G16" s="18" t="s">
        <v>296</v>
      </c>
      <c r="H16" s="40">
        <v>6</v>
      </c>
      <c r="I16" s="27">
        <v>1</v>
      </c>
      <c r="J16" s="22">
        <f>LOG(I16)*4/3</f>
        <v>0</v>
      </c>
      <c r="K16" s="6">
        <f>(H16)*(H16)*(I16)</f>
        <v>36</v>
      </c>
      <c r="L16" s="6">
        <f>(H16+1)*(H16+1)*I16</f>
        <v>49</v>
      </c>
      <c r="M16" s="130">
        <v>43054</v>
      </c>
      <c r="N16" s="131">
        <f ca="1">IF((TODAY()-M16)&gt;335,1,((TODAY()-M16)^0.64)/(336^0.64))</f>
        <v>0.2992180409422085</v>
      </c>
      <c r="O16" s="19">
        <v>5</v>
      </c>
      <c r="P16" s="20">
        <f>O16*10+19</f>
        <v>69</v>
      </c>
      <c r="Q16" s="26">
        <v>7</v>
      </c>
      <c r="R16" s="115">
        <f>(Q16/7)^0.5</f>
        <v>1</v>
      </c>
      <c r="S16" s="115">
        <f>IF(Q16=7,1,((Q16+0.99)/7)^0.5)</f>
        <v>1</v>
      </c>
      <c r="T16" s="29">
        <v>1490</v>
      </c>
      <c r="U16" s="29">
        <f>T16-AS16</f>
        <v>150</v>
      </c>
      <c r="V16" s="29">
        <v>290</v>
      </c>
      <c r="W16" s="8">
        <f>T16/V16</f>
        <v>5.1379310344827589</v>
      </c>
      <c r="X16" s="21">
        <v>0</v>
      </c>
      <c r="Y16" s="22">
        <v>3</v>
      </c>
      <c r="Z16" s="21">
        <v>5</v>
      </c>
      <c r="AA16" s="22">
        <v>4</v>
      </c>
      <c r="AB16" s="21">
        <f>4+0.25</f>
        <v>4.25</v>
      </c>
      <c r="AC16" s="22">
        <f>4+0.33+0.33</f>
        <v>4.66</v>
      </c>
      <c r="AD16" s="21">
        <v>3</v>
      </c>
      <c r="AE16" s="9">
        <v>413</v>
      </c>
      <c r="AF16" s="9">
        <v>1972</v>
      </c>
      <c r="AG16" s="23">
        <f t="shared" ca="1" si="19"/>
        <v>4.2992180409422085</v>
      </c>
      <c r="AH16" s="23">
        <f t="shared" ca="1" si="20"/>
        <v>4.2992180409422085</v>
      </c>
      <c r="AI16" s="120">
        <f t="shared" ca="1" si="21"/>
        <v>5.2992180409422085</v>
      </c>
      <c r="AJ16" s="120">
        <f t="shared" ca="1" si="22"/>
        <v>5.2992180409422085</v>
      </c>
      <c r="AK16" s="8">
        <f t="shared" ca="1" si="23"/>
        <v>1.5497067653533283</v>
      </c>
      <c r="AL16" s="8">
        <f t="shared" ca="1" si="24"/>
        <v>3.7972180409422078</v>
      </c>
      <c r="AM16" s="8">
        <f t="shared" ca="1" si="25"/>
        <v>0.34693744327537668</v>
      </c>
      <c r="AN16" s="8">
        <f t="shared" ca="1" si="26"/>
        <v>0.2309452628659546</v>
      </c>
      <c r="AO16" s="20">
        <v>2</v>
      </c>
      <c r="AP16" s="20">
        <v>2</v>
      </c>
      <c r="AQ16" s="20">
        <v>1</v>
      </c>
      <c r="AR16" s="129">
        <f>IF(AP16=4,IF(AQ16=0,0.137+0.0697,0.137+0.02),IF(AP16=3,IF(AQ16=0,0.0958+0.0697,0.0958+0.02),IF(AP16=2,IF(AQ16=0,0.0415+0.0697,0.0415+0.02),IF(AP16=1,IF(AQ16=0,0.0294+0.0697,0.0294+0.02),IF(AP16=0,IF(AQ16=0,0.0063+0.0697,0.0063+0.02))))))</f>
        <v>6.1499999999999999E-2</v>
      </c>
      <c r="AS16" s="193">
        <v>1340</v>
      </c>
    </row>
    <row r="17" spans="1:45" x14ac:dyDescent="0.25">
      <c r="A17" s="15" t="s">
        <v>365</v>
      </c>
      <c r="B17" s="15" t="s">
        <v>71</v>
      </c>
      <c r="C17" s="121">
        <f t="shared" ref="C17:C21" ca="1" si="49">((33*112)-(E17*112)-(F17))/112</f>
        <v>15.348214285714286</v>
      </c>
      <c r="D17" s="215" t="s">
        <v>303</v>
      </c>
      <c r="E17" s="16">
        <v>17</v>
      </c>
      <c r="F17" s="2">
        <f ca="1">8-159+16-570-5+D2-D1-2-12-49+9</f>
        <v>73</v>
      </c>
      <c r="G17" s="18" t="s">
        <v>45</v>
      </c>
      <c r="H17" s="4">
        <v>3</v>
      </c>
      <c r="I17" s="27">
        <v>1</v>
      </c>
      <c r="J17" s="22">
        <f t="shared" ref="J17:J21" si="50">LOG(I17)*4/3</f>
        <v>0</v>
      </c>
      <c r="K17" s="6">
        <f t="shared" ref="K17:K21" si="51">(H17)*(H17)*(I17)</f>
        <v>9</v>
      </c>
      <c r="L17" s="6">
        <f t="shared" ref="L17:L21" si="52">(H17+1)*(H17+1)*I17</f>
        <v>16</v>
      </c>
      <c r="M17" s="130">
        <v>43046</v>
      </c>
      <c r="N17" s="131">
        <f t="shared" ref="N17" ca="1" si="53">IF((TODAY()-M17)&gt;335,1,((TODAY()-M17)^0.64)/(336^0.64))</f>
        <v>0.3284642817654399</v>
      </c>
      <c r="O17" s="19">
        <v>5.7</v>
      </c>
      <c r="P17" s="20">
        <f t="shared" ref="P17:P21" si="54">O17*10+19</f>
        <v>76</v>
      </c>
      <c r="Q17" s="26">
        <v>6</v>
      </c>
      <c r="R17" s="115">
        <f t="shared" ref="R17:R21" si="55">(Q17/7)^0.5</f>
        <v>0.92582009977255142</v>
      </c>
      <c r="S17" s="115">
        <f t="shared" ref="S17:S21" si="56">IF(Q17=7,1,((Q17+0.99)/7)^0.5)</f>
        <v>0.99928545900129484</v>
      </c>
      <c r="T17" s="29">
        <v>700</v>
      </c>
      <c r="U17" s="29">
        <f t="shared" ref="U17" si="57">T17-AS17</f>
        <v>70</v>
      </c>
      <c r="V17" s="29">
        <v>270</v>
      </c>
      <c r="W17" s="8">
        <f t="shared" ref="W17:W21" si="58">T17/V17</f>
        <v>2.5925925925925926</v>
      </c>
      <c r="X17" s="21">
        <v>0</v>
      </c>
      <c r="Y17" s="22">
        <v>4</v>
      </c>
      <c r="Z17" s="21">
        <v>2</v>
      </c>
      <c r="AA17" s="22">
        <v>5</v>
      </c>
      <c r="AB17" s="21">
        <f>3.67+(0.25*0.16)+0.25+0.25*0.16</f>
        <v>4</v>
      </c>
      <c r="AC17" s="22">
        <f>4+1/17+1/17+1/17</f>
        <v>4.1764705882352935</v>
      </c>
      <c r="AD17" s="21">
        <v>4</v>
      </c>
      <c r="AE17" s="9">
        <v>393</v>
      </c>
      <c r="AF17" s="9">
        <v>1960</v>
      </c>
      <c r="AG17" s="23">
        <f t="shared" ca="1" si="19"/>
        <v>4.933199332978556</v>
      </c>
      <c r="AH17" s="23">
        <f t="shared" ca="1" si="20"/>
        <v>5.3284642817654397</v>
      </c>
      <c r="AI17" s="120">
        <f t="shared" ca="1" si="21"/>
        <v>2.1557390336609017</v>
      </c>
      <c r="AJ17" s="120">
        <f t="shared" ca="1" si="22"/>
        <v>2.3284642817654397</v>
      </c>
      <c r="AK17" s="8">
        <f t="shared" ca="1" si="23"/>
        <v>1.5027672124522518</v>
      </c>
      <c r="AL17" s="8">
        <f t="shared" ca="1" si="24"/>
        <v>4.3814054582360278</v>
      </c>
      <c r="AM17" s="8">
        <f t="shared" ca="1" si="25"/>
        <v>0.35510067195299982</v>
      </c>
      <c r="AN17" s="8">
        <f t="shared" ca="1" si="26"/>
        <v>0.30299249972358078</v>
      </c>
      <c r="AO17" s="20">
        <v>3</v>
      </c>
      <c r="AP17" s="20">
        <v>4</v>
      </c>
      <c r="AQ17" s="20">
        <v>3</v>
      </c>
      <c r="AR17" s="129">
        <f t="shared" ref="AR17" si="59">IF(AP17=4,IF(AQ17=0,0.137+0.0697,0.137+0.02),IF(AP17=3,IF(AQ17=0,0.0958+0.0697,0.0958+0.02),IF(AP17=2,IF(AQ17=0,0.0415+0.0697,0.0415+0.02),IF(AP17=1,IF(AQ17=0,0.0294+0.0697,0.0294+0.02),IF(AP17=0,IF(AQ17=0,0.0063+0.0697,0.0063+0.02))))))</f>
        <v>0.157</v>
      </c>
      <c r="AS17">
        <v>630</v>
      </c>
    </row>
    <row r="18" spans="1:45" x14ac:dyDescent="0.25">
      <c r="A18" s="15" t="s">
        <v>307</v>
      </c>
      <c r="B18" s="24" t="s">
        <v>44</v>
      </c>
      <c r="C18" s="121">
        <f t="shared" ca="1" si="49"/>
        <v>15.4375</v>
      </c>
      <c r="D18" s="216" t="s">
        <v>298</v>
      </c>
      <c r="E18" s="1">
        <v>17</v>
      </c>
      <c r="F18" s="2">
        <f ca="1">8-159+16-570-5+D2-D1-2-62</f>
        <v>63</v>
      </c>
      <c r="G18" s="3" t="s">
        <v>0</v>
      </c>
      <c r="H18" s="4">
        <v>4</v>
      </c>
      <c r="I18" s="5">
        <v>1</v>
      </c>
      <c r="J18" s="22">
        <f t="shared" si="50"/>
        <v>0</v>
      </c>
      <c r="K18" s="6">
        <f t="shared" si="51"/>
        <v>16</v>
      </c>
      <c r="L18" s="6">
        <f t="shared" si="52"/>
        <v>25</v>
      </c>
      <c r="M18" s="130">
        <v>43045</v>
      </c>
      <c r="N18" s="131">
        <f ca="1">IF((TODAY()-M18)&gt;335,1,((TODAY()-M18)^0.64)/(336^0.64))</f>
        <v>0.33201649666360128</v>
      </c>
      <c r="O18" s="25">
        <v>5.7</v>
      </c>
      <c r="P18" s="20">
        <f t="shared" si="54"/>
        <v>76</v>
      </c>
      <c r="Q18" s="26">
        <v>4</v>
      </c>
      <c r="R18" s="115">
        <f t="shared" si="55"/>
        <v>0.7559289460184544</v>
      </c>
      <c r="S18" s="115">
        <f t="shared" si="56"/>
        <v>0.84430867747355465</v>
      </c>
      <c r="T18" s="29">
        <v>960</v>
      </c>
      <c r="U18" s="29">
        <f>T18-AS18</f>
        <v>-10</v>
      </c>
      <c r="V18" s="7">
        <v>310</v>
      </c>
      <c r="W18" s="8">
        <f t="shared" si="58"/>
        <v>3.096774193548387</v>
      </c>
      <c r="X18" s="21">
        <v>1</v>
      </c>
      <c r="Y18" s="22">
        <v>4</v>
      </c>
      <c r="Z18" s="21">
        <v>2</v>
      </c>
      <c r="AA18" s="22">
        <v>3</v>
      </c>
      <c r="AB18" s="21">
        <f>3.75+0.25+0.25+0.25</f>
        <v>4.5</v>
      </c>
      <c r="AC18" s="22">
        <f>5+1/20+1/20+1/20*5/90</f>
        <v>5.1027777777777779</v>
      </c>
      <c r="AD18" s="21">
        <v>6</v>
      </c>
      <c r="AE18" s="9">
        <v>407</v>
      </c>
      <c r="AF18" s="9">
        <v>1994</v>
      </c>
      <c r="AG18" s="23">
        <f ca="1">(AD18+1+(LOG(I18)*4/3)+N18)*(Q18/7)^0.5</f>
        <v>5.5424835025128365</v>
      </c>
      <c r="AH18" s="23">
        <f ca="1">(AD18+1+N18+(LOG(I18)*4/3))*(IF(Q18=7, (Q18/7)^0.5, ((Q18+1)/7)^0.5))</f>
        <v>6.1966849378949149</v>
      </c>
      <c r="AI18" s="120">
        <f ca="1">(Z18+N18+(LOG(I18)*4/3))*(Q18/7)^0.5</f>
        <v>1.7628387724205645</v>
      </c>
      <c r="AJ18" s="120">
        <f ca="1">(Z18+N18+(LOG(I18)*4/3))*(IF(Q18=7, (Q18/7)^0.5, ((Q18+1)/7)^0.5))</f>
        <v>1.9709136642523319</v>
      </c>
      <c r="AK18" s="8">
        <f ca="1">(((Y18+LOG(I18)*4/3+N18)+(AB18+LOG(I18)*4/3+N18)*2)/8)*(Q18/7)^0.5</f>
        <v>1.3225023674238592</v>
      </c>
      <c r="AL18" s="8">
        <f ca="1">(AD18+LOG(I18)*4/3+N18)*0.7+(AC18+LOG(I18)*4/3+N18)*0.3</f>
        <v>6.0628498299969351</v>
      </c>
      <c r="AM18" s="8">
        <f ca="1">(0.5*(AC18+LOG(I18)*4/3+N18)+ 0.3*(AD18+LOG(I18)*4/3+N18))/10</f>
        <v>0.46170020862197703</v>
      </c>
      <c r="AN18" s="8">
        <f ca="1">(0.4*(Y18+LOG(I18)*4/3+N18)+0.3*(AD18+LOG(I18)*4/3+N18))/10</f>
        <v>0.36324115476645213</v>
      </c>
      <c r="AO18" s="20">
        <v>1</v>
      </c>
      <c r="AP18" s="20">
        <v>1</v>
      </c>
      <c r="AQ18" s="20">
        <v>2</v>
      </c>
      <c r="AR18" s="129">
        <f>IF(AP18=4,IF(AQ18=0,0.137+0.0697,0.137+0.02),IF(AP18=3,IF(AQ18=0,0.0958+0.0697,0.0958+0.02),IF(AP18=2,IF(AQ18=0,0.0415+0.0697,0.0415+0.02),IF(AP18=1,IF(AQ18=0,0.0294+0.0697,0.0294+0.02),IF(AP18=0,IF(AQ18=0,0.0063+0.0697,0.0063+0.02))))))</f>
        <v>4.9399999999999999E-2</v>
      </c>
      <c r="AS18">
        <v>970</v>
      </c>
    </row>
    <row r="19" spans="1:45" x14ac:dyDescent="0.25">
      <c r="A19" s="15" t="s">
        <v>366</v>
      </c>
      <c r="B19" s="15" t="s">
        <v>44</v>
      </c>
      <c r="C19" s="121">
        <f t="shared" ca="1" si="49"/>
        <v>15.053571428571429</v>
      </c>
      <c r="D19" s="215" t="s">
        <v>305</v>
      </c>
      <c r="E19" s="16">
        <v>17</v>
      </c>
      <c r="F19" s="2">
        <f ca="1">8-159+16-570-5+D2-D1-2-12-49+9-11+44</f>
        <v>106</v>
      </c>
      <c r="G19" s="18" t="s">
        <v>70</v>
      </c>
      <c r="H19" s="4">
        <v>3</v>
      </c>
      <c r="I19" s="27">
        <v>0.5</v>
      </c>
      <c r="J19" s="22">
        <f t="shared" si="50"/>
        <v>-0.40137332755197491</v>
      </c>
      <c r="K19" s="6">
        <f t="shared" si="51"/>
        <v>4.5</v>
      </c>
      <c r="L19" s="6">
        <f t="shared" si="52"/>
        <v>8</v>
      </c>
      <c r="M19" s="130">
        <v>43046</v>
      </c>
      <c r="N19" s="131">
        <f t="shared" ref="N19:N20" ca="1" si="60">IF((TODAY()-M19)&gt;335,1,((TODAY()-M19)^0.64)/(336^0.64))</f>
        <v>0.3284642817654399</v>
      </c>
      <c r="O19" s="19">
        <v>5.7</v>
      </c>
      <c r="P19" s="20">
        <f t="shared" si="54"/>
        <v>76</v>
      </c>
      <c r="Q19" s="26">
        <v>7</v>
      </c>
      <c r="R19" s="115">
        <f t="shared" si="55"/>
        <v>1</v>
      </c>
      <c r="S19" s="115">
        <f t="shared" si="56"/>
        <v>1</v>
      </c>
      <c r="T19" s="29">
        <v>2270</v>
      </c>
      <c r="U19" s="29">
        <f t="shared" ref="U19:U21" si="61">T19-AS19</f>
        <v>30</v>
      </c>
      <c r="V19" s="29">
        <v>370</v>
      </c>
      <c r="W19" s="8">
        <f t="shared" si="58"/>
        <v>6.1351351351351351</v>
      </c>
      <c r="X19" s="21">
        <v>0</v>
      </c>
      <c r="Y19" s="22">
        <v>5</v>
      </c>
      <c r="Z19" s="21">
        <v>2</v>
      </c>
      <c r="AA19" s="22">
        <v>3</v>
      </c>
      <c r="AB19" s="21">
        <f>4+0.25+0.25+0.25</f>
        <v>4.75</v>
      </c>
      <c r="AC19" s="22">
        <f>6+1/23+1/23+1/23</f>
        <v>6.1304347826086962</v>
      </c>
      <c r="AD19" s="21">
        <v>3</v>
      </c>
      <c r="AE19" s="9">
        <v>451</v>
      </c>
      <c r="AF19" s="9">
        <v>1977</v>
      </c>
      <c r="AG19" s="23">
        <f t="shared" ref="AG19:AG21" ca="1" si="62">(AD19+1+(LOG(I19)*4/3)+N19)*(Q19/7)^0.5</f>
        <v>3.9270909542134649</v>
      </c>
      <c r="AH19" s="23">
        <f t="shared" ref="AH19:AH21" ca="1" si="63">(AD19+1+N19+(LOG(I19)*4/3))*(IF(Q19=7, (Q19/7)^0.5, ((Q19+1)/7)^0.5))</f>
        <v>3.9270909542134649</v>
      </c>
      <c r="AI19" s="120">
        <f t="shared" ref="AI19:AI21" ca="1" si="64">(Z19+N19+(LOG(I19)*4/3))*(Q19/7)^0.5</f>
        <v>1.9270909542134649</v>
      </c>
      <c r="AJ19" s="120">
        <f t="shared" ref="AJ19:AJ21" ca="1" si="65">(Z19+N19+(LOG(I19)*4/3))*(IF(Q19=7, (Q19/7)^0.5, ((Q19+1)/7)^0.5))</f>
        <v>1.9270909542134649</v>
      </c>
      <c r="AK19" s="8">
        <f t="shared" ref="AK19:AK21" ca="1" si="66">(((Y19+LOG(I19)*4/3+N19)+(AB19+LOG(I19)*4/3+N19)*2)/8)*(Q19/7)^0.5</f>
        <v>1.7851591078300491</v>
      </c>
      <c r="AL19" s="8">
        <f t="shared" ref="AL19:AL21" ca="1" si="67">(AD19+LOG(I19)*4/3+N19)*0.7+(AC19+LOG(I19)*4/3+N19)*0.3</f>
        <v>3.866221388996073</v>
      </c>
      <c r="AM19" s="8">
        <f t="shared" ref="AM19:AM21" ca="1" si="68">(0.5*(AC19+LOG(I19)*4/3+N19)+ 0.3*(AD19+LOG(I19)*4/3+N19))/10</f>
        <v>0.39068901546751195</v>
      </c>
      <c r="AN19" s="8">
        <f t="shared" ref="AN19:AN21" ca="1" si="69">(0.4*(Y19+LOG(I19)*4/3+N19)+0.3*(AD19+LOG(I19)*4/3+N19))/10</f>
        <v>0.28489636679494251</v>
      </c>
      <c r="AO19" s="20">
        <v>2</v>
      </c>
      <c r="AP19" s="20">
        <v>3</v>
      </c>
      <c r="AQ19" s="20">
        <v>1</v>
      </c>
      <c r="AR19" s="129">
        <f t="shared" ref="AR19:AR21" si="70">IF(AP19=4,IF(AQ19=0,0.137+0.0697,0.137+0.02),IF(AP19=3,IF(AQ19=0,0.0958+0.0697,0.0958+0.02),IF(AP19=2,IF(AQ19=0,0.0415+0.0697,0.0415+0.02),IF(AP19=1,IF(AQ19=0,0.0294+0.0697,0.0294+0.02),IF(AP19=0,IF(AQ19=0,0.0063+0.0697,0.0063+0.02))))))</f>
        <v>0.1158</v>
      </c>
      <c r="AS19">
        <v>2240</v>
      </c>
    </row>
    <row r="20" spans="1:45" x14ac:dyDescent="0.25">
      <c r="A20" s="15" t="s">
        <v>368</v>
      </c>
      <c r="B20" s="15" t="s">
        <v>44</v>
      </c>
      <c r="C20" s="121">
        <f t="shared" ca="1" si="49"/>
        <v>15.446428571428571</v>
      </c>
      <c r="D20" s="215" t="s">
        <v>304</v>
      </c>
      <c r="E20" s="16">
        <v>17</v>
      </c>
      <c r="F20" s="2">
        <f ca="1">8-159+16-570-5+D2-D1-2-12-49+9-11</f>
        <v>62</v>
      </c>
      <c r="G20" s="18" t="s">
        <v>296</v>
      </c>
      <c r="H20" s="4">
        <v>4</v>
      </c>
      <c r="I20" s="27">
        <v>0.5</v>
      </c>
      <c r="J20" s="22">
        <f t="shared" si="50"/>
        <v>-0.40137332755197491</v>
      </c>
      <c r="K20" s="6">
        <f t="shared" si="51"/>
        <v>8</v>
      </c>
      <c r="L20" s="6">
        <f t="shared" si="52"/>
        <v>12.5</v>
      </c>
      <c r="M20" s="130">
        <v>43046</v>
      </c>
      <c r="N20" s="131">
        <f t="shared" ca="1" si="60"/>
        <v>0.3284642817654399</v>
      </c>
      <c r="O20" s="19">
        <v>5</v>
      </c>
      <c r="P20" s="20">
        <f t="shared" si="54"/>
        <v>69</v>
      </c>
      <c r="Q20" s="26">
        <v>6</v>
      </c>
      <c r="R20" s="115">
        <f t="shared" si="55"/>
        <v>0.92582009977255142</v>
      </c>
      <c r="S20" s="115">
        <f t="shared" si="56"/>
        <v>0.99928545900129484</v>
      </c>
      <c r="T20" s="29">
        <v>660</v>
      </c>
      <c r="U20" s="29">
        <f t="shared" si="61"/>
        <v>-20</v>
      </c>
      <c r="V20" s="29">
        <v>290</v>
      </c>
      <c r="W20" s="8">
        <f t="shared" si="58"/>
        <v>2.2758620689655173</v>
      </c>
      <c r="X20" s="21">
        <v>0</v>
      </c>
      <c r="Y20" s="22">
        <v>4</v>
      </c>
      <c r="Z20" s="21">
        <v>2</v>
      </c>
      <c r="AA20" s="22">
        <v>2</v>
      </c>
      <c r="AB20" s="21">
        <f>3+(0.25*0.16)+(0.25*0.16*3/90)+0.25*3/90</f>
        <v>3.0496666666666665</v>
      </c>
      <c r="AC20" s="22">
        <f>5+1/20+1/20*5/90</f>
        <v>5.052777777777778</v>
      </c>
      <c r="AD20" s="21">
        <v>2.5</v>
      </c>
      <c r="AE20" s="9">
        <v>334</v>
      </c>
      <c r="AF20" s="9">
        <v>1923</v>
      </c>
      <c r="AG20" s="23">
        <f t="shared" ca="1" si="62"/>
        <v>3.1728696891595183</v>
      </c>
      <c r="AH20" s="23">
        <f t="shared" ca="1" si="63"/>
        <v>3.4270909542134649</v>
      </c>
      <c r="AI20" s="120">
        <f t="shared" ca="1" si="64"/>
        <v>1.7841395395006914</v>
      </c>
      <c r="AJ20" s="120">
        <f t="shared" ca="1" si="65"/>
        <v>1.9270909542134649</v>
      </c>
      <c r="AK20" s="8">
        <f t="shared" ca="1" si="66"/>
        <v>1.1434579767712107</v>
      </c>
      <c r="AL20" s="8">
        <f t="shared" ca="1" si="67"/>
        <v>3.192924287546798</v>
      </c>
      <c r="AM20" s="8">
        <f t="shared" ca="1" si="68"/>
        <v>0.32180616522596606</v>
      </c>
      <c r="AN20" s="8">
        <f t="shared" ca="1" si="69"/>
        <v>0.22989636679494257</v>
      </c>
      <c r="AO20" s="20">
        <v>1</v>
      </c>
      <c r="AP20" s="20">
        <v>2</v>
      </c>
      <c r="AQ20" s="20">
        <v>1</v>
      </c>
      <c r="AR20" s="129">
        <f t="shared" si="70"/>
        <v>6.1499999999999999E-2</v>
      </c>
      <c r="AS20">
        <v>680</v>
      </c>
    </row>
    <row r="21" spans="1:45" x14ac:dyDescent="0.25">
      <c r="A21" s="15" t="s">
        <v>43</v>
      </c>
      <c r="B21" s="15" t="s">
        <v>44</v>
      </c>
      <c r="C21" s="121">
        <f t="shared" ca="1" si="49"/>
        <v>15.767857142857142</v>
      </c>
      <c r="D21" s="216" t="s">
        <v>468</v>
      </c>
      <c r="E21" s="1">
        <v>17</v>
      </c>
      <c r="F21" s="2">
        <f ca="1">58++D2-D1-112-112-112-112-112-112-112-85</f>
        <v>26</v>
      </c>
      <c r="G21" s="3"/>
      <c r="H21" s="4">
        <v>0</v>
      </c>
      <c r="I21" s="5">
        <v>1</v>
      </c>
      <c r="J21" s="22">
        <f t="shared" si="50"/>
        <v>0</v>
      </c>
      <c r="K21" s="6">
        <f t="shared" si="51"/>
        <v>0</v>
      </c>
      <c r="L21" s="6">
        <f t="shared" si="52"/>
        <v>1</v>
      </c>
      <c r="M21" s="130">
        <v>43090</v>
      </c>
      <c r="N21" s="131">
        <v>1.5</v>
      </c>
      <c r="O21" s="25">
        <v>3.5</v>
      </c>
      <c r="P21" s="20">
        <f t="shared" si="54"/>
        <v>54</v>
      </c>
      <c r="Q21" s="26">
        <v>5</v>
      </c>
      <c r="R21" s="115">
        <f t="shared" si="55"/>
        <v>0.84515425472851657</v>
      </c>
      <c r="S21" s="115">
        <f t="shared" si="56"/>
        <v>0.92504826128926143</v>
      </c>
      <c r="T21" s="29">
        <v>1860</v>
      </c>
      <c r="U21" s="29">
        <f t="shared" si="61"/>
        <v>190</v>
      </c>
      <c r="V21" s="7">
        <v>370</v>
      </c>
      <c r="W21" s="8">
        <f t="shared" si="58"/>
        <v>5.0270270270270272</v>
      </c>
      <c r="X21" s="21">
        <v>0</v>
      </c>
      <c r="Y21" s="22">
        <v>3</v>
      </c>
      <c r="Z21" s="21">
        <v>2</v>
      </c>
      <c r="AA21" s="22">
        <v>5</v>
      </c>
      <c r="AB21" s="21">
        <v>5</v>
      </c>
      <c r="AC21" s="22">
        <f>6+0.25+0.25</f>
        <v>6.5</v>
      </c>
      <c r="AD21" s="21">
        <v>4</v>
      </c>
      <c r="AE21" s="9">
        <v>457</v>
      </c>
      <c r="AF21" s="9">
        <v>2071</v>
      </c>
      <c r="AG21" s="23">
        <f t="shared" si="62"/>
        <v>5.4935026557353579</v>
      </c>
      <c r="AH21" s="23">
        <f t="shared" si="63"/>
        <v>6.017830648521584</v>
      </c>
      <c r="AI21" s="120">
        <f t="shared" si="64"/>
        <v>2.9580398915498081</v>
      </c>
      <c r="AJ21" s="120">
        <f t="shared" si="65"/>
        <v>3.2403703492039302</v>
      </c>
      <c r="AK21" s="8">
        <f t="shared" si="66"/>
        <v>1.84877493221863</v>
      </c>
      <c r="AL21" s="8">
        <f t="shared" si="67"/>
        <v>6.25</v>
      </c>
      <c r="AM21" s="8">
        <f t="shared" si="68"/>
        <v>0.56500000000000006</v>
      </c>
      <c r="AN21" s="8">
        <f t="shared" si="69"/>
        <v>0.34500000000000003</v>
      </c>
      <c r="AO21" s="20">
        <v>2</v>
      </c>
      <c r="AP21" s="20">
        <v>2</v>
      </c>
      <c r="AQ21" s="20">
        <v>2</v>
      </c>
      <c r="AR21" s="129">
        <f t="shared" si="70"/>
        <v>6.1499999999999999E-2</v>
      </c>
      <c r="AS21">
        <v>1670</v>
      </c>
    </row>
    <row r="22" spans="1:45" x14ac:dyDescent="0.25">
      <c r="A22" s="15"/>
      <c r="B22" s="15"/>
      <c r="C22" s="121"/>
      <c r="D22" s="28" t="s">
        <v>183</v>
      </c>
      <c r="E22" s="16"/>
      <c r="F22" s="17"/>
      <c r="G22" s="18"/>
      <c r="H22" s="4"/>
      <c r="I22" s="27"/>
      <c r="J22" s="22"/>
      <c r="K22" s="6"/>
      <c r="L22" s="6"/>
      <c r="M22" s="130"/>
      <c r="N22" s="131"/>
      <c r="O22" s="19"/>
      <c r="P22" s="20"/>
      <c r="Q22" s="20"/>
      <c r="R22" s="115"/>
      <c r="S22" s="115"/>
      <c r="T22" s="29"/>
      <c r="U22" s="29"/>
      <c r="V22" s="29"/>
      <c r="W22" s="8"/>
      <c r="X22" s="21"/>
      <c r="Y22" s="22"/>
      <c r="Z22" s="21"/>
      <c r="AA22" s="22"/>
      <c r="AB22" s="21"/>
      <c r="AC22" s="22"/>
      <c r="AD22" s="21"/>
      <c r="AE22" s="9"/>
      <c r="AF22" s="9"/>
      <c r="AG22" s="23"/>
      <c r="AH22" s="23"/>
      <c r="AI22" s="120"/>
      <c r="AJ22" s="120"/>
      <c r="AK22" s="8"/>
      <c r="AL22" s="8"/>
      <c r="AM22" s="8"/>
      <c r="AN22" s="8"/>
      <c r="AO22" s="20">
        <v>0</v>
      </c>
      <c r="AP22" s="20">
        <v>4</v>
      </c>
      <c r="AQ22" s="20">
        <v>0</v>
      </c>
      <c r="AR22" s="129">
        <f t="shared" ref="AR22" si="71">IF(AP22=4,IF(AQ22=0,0.137+0.0697,0.137+0.02),IF(AP22=3,IF(AQ22=0,0.0958+0.0697,0.0958+0.02),IF(AP22=2,IF(AQ22=0,0.0415+0.0697,0.0415+0.02),IF(AP22=1,IF(AQ22=0,0.0294+0.0697,0.0294+0.02),IF(AP22=0,IF(AQ22=0,0.0063+0.0697,0.0063+0.02))))))</f>
        <v>0.20669999999999999</v>
      </c>
    </row>
    <row r="23" spans="1:45" x14ac:dyDescent="0.25">
      <c r="V23" s="69"/>
    </row>
    <row r="25" spans="1:45" x14ac:dyDescent="0.25">
      <c r="V25" s="69"/>
    </row>
    <row r="26" spans="1:45" x14ac:dyDescent="0.25">
      <c r="T26">
        <f>(5+0.04+1.5)*0.93</f>
        <v>6.0822000000000003</v>
      </c>
      <c r="U26">
        <f>(5.99+0.62+1.5)*0.99</f>
        <v>8.0289000000000001</v>
      </c>
    </row>
  </sheetData>
  <conditionalFormatting sqref="U2">
    <cfRule type="dataBar" priority="437">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2">
    <cfRule type="cellIs" dxfId="20" priority="66" operator="lessThan">
      <formula>6</formula>
    </cfRule>
  </conditionalFormatting>
  <conditionalFormatting sqref="N22">
    <cfRule type="cellIs" dxfId="19" priority="65" operator="lessThan">
      <formula>0.75</formula>
    </cfRule>
  </conditionalFormatting>
  <conditionalFormatting sqref="P22">
    <cfRule type="cellIs" dxfId="18" priority="63" operator="greaterThan">
      <formula>90</formula>
    </cfRule>
    <cfRule type="cellIs" dxfId="17" priority="64" operator="lessThan">
      <formula>85</formula>
    </cfRule>
  </conditionalFormatting>
  <conditionalFormatting sqref="X22:AD22">
    <cfRule type="colorScale" priority="4758">
      <colorScale>
        <cfvo type="min"/>
        <cfvo type="max"/>
        <color rgb="FFFCFCFF"/>
        <color rgb="FFF8696B"/>
      </colorScale>
    </cfRule>
  </conditionalFormatting>
  <conditionalFormatting sqref="AG22:AH22">
    <cfRule type="colorScale" priority="4935">
      <colorScale>
        <cfvo type="min"/>
        <cfvo type="percentile" val="50"/>
        <cfvo type="max"/>
        <color rgb="FFF8696B"/>
        <color rgb="FFFFEB84"/>
        <color rgb="FF63BE7B"/>
      </colorScale>
    </cfRule>
  </conditionalFormatting>
  <conditionalFormatting sqref="AI22:AJ22">
    <cfRule type="colorScale" priority="4937">
      <colorScale>
        <cfvo type="min"/>
        <cfvo type="percentile" val="50"/>
        <cfvo type="max"/>
        <color rgb="FFF8696B"/>
        <color rgb="FFFFEB84"/>
        <color rgb="FF63BE7B"/>
      </colorScale>
    </cfRule>
  </conditionalFormatting>
  <conditionalFormatting sqref="AK22">
    <cfRule type="colorScale" priority="4939">
      <colorScale>
        <cfvo type="min"/>
        <cfvo type="percentile" val="50"/>
        <cfvo type="max"/>
        <color rgb="FFF8696B"/>
        <color rgb="FFFFEB84"/>
        <color rgb="FF63BE7B"/>
      </colorScale>
    </cfRule>
  </conditionalFormatting>
  <conditionalFormatting sqref="AL22">
    <cfRule type="colorScale" priority="4941">
      <colorScale>
        <cfvo type="min"/>
        <cfvo type="percentile" val="50"/>
        <cfvo type="max"/>
        <color rgb="FFF8696B"/>
        <color rgb="FFFFEB84"/>
        <color rgb="FF63BE7B"/>
      </colorScale>
    </cfRule>
  </conditionalFormatting>
  <conditionalFormatting sqref="AM22:AN22">
    <cfRule type="colorScale" priority="4943">
      <colorScale>
        <cfvo type="min"/>
        <cfvo type="percentile" val="50"/>
        <cfvo type="max"/>
        <color rgb="FFF8696B"/>
        <color rgb="FFFFEB84"/>
        <color rgb="FF63BE7B"/>
      </colorScale>
    </cfRule>
  </conditionalFormatting>
  <conditionalFormatting sqref="AE22:AF22">
    <cfRule type="dataBar" priority="1">
      <dataBar>
        <cfvo type="min"/>
        <cfvo type="max"/>
        <color rgb="FF638EC6"/>
      </dataBar>
      <extLst>
        <ext xmlns:x14="http://schemas.microsoft.com/office/spreadsheetml/2009/9/main" uri="{B025F937-C7B1-47D3-B67F-A62EFF666E3E}">
          <x14:id>{265B886C-B53E-4D74-A1DE-1E6C1BE02C4A}</x14:id>
        </ext>
      </extLst>
    </cfRule>
  </conditionalFormatting>
  <conditionalFormatting sqref="AF4:AF21">
    <cfRule type="dataBar" priority="4944">
      <dataBar>
        <cfvo type="min"/>
        <cfvo type="max"/>
        <color rgb="FF638EC6"/>
      </dataBar>
      <extLst>
        <ext xmlns:x14="http://schemas.microsoft.com/office/spreadsheetml/2009/9/main" uri="{B025F937-C7B1-47D3-B67F-A62EFF666E3E}">
          <x14:id>{294B0C5F-9F6D-41A8-8500-43D29FE0342A}</x14:id>
        </ext>
      </extLst>
    </cfRule>
  </conditionalFormatting>
  <conditionalFormatting sqref="I4:I21">
    <cfRule type="cellIs" dxfId="16" priority="7" operator="lessThan">
      <formula>6</formula>
    </cfRule>
  </conditionalFormatting>
  <conditionalFormatting sqref="N4:N21">
    <cfRule type="cellIs" dxfId="15" priority="6" operator="lessThan">
      <formula>0.75</formula>
    </cfRule>
  </conditionalFormatting>
  <conditionalFormatting sqref="P4:P21">
    <cfRule type="cellIs" dxfId="14" priority="4" operator="greaterThan">
      <formula>90</formula>
    </cfRule>
    <cfRule type="cellIs" dxfId="13" priority="5" operator="lessThan">
      <formula>85</formula>
    </cfRule>
  </conditionalFormatting>
  <conditionalFormatting sqref="C4:C21">
    <cfRule type="colorScale" priority="8">
      <colorScale>
        <cfvo type="min"/>
        <cfvo type="max"/>
        <color rgb="FFFFEF9C"/>
        <color rgb="FF63BE7B"/>
      </colorScale>
    </cfRule>
  </conditionalFormatting>
  <conditionalFormatting sqref="R4:S21">
    <cfRule type="colorScale" priority="9">
      <colorScale>
        <cfvo type="min"/>
        <cfvo type="percentile" val="50"/>
        <cfvo type="max"/>
        <color rgb="FFF8696B"/>
        <color rgb="FFFFEB84"/>
        <color rgb="FF63BE7B"/>
      </colorScale>
    </cfRule>
  </conditionalFormatting>
  <conditionalFormatting sqref="T4:T21">
    <cfRule type="dataBar" priority="10">
      <dataBar>
        <cfvo type="min"/>
        <cfvo type="max"/>
        <color rgb="FF63C384"/>
      </dataBar>
      <extLst>
        <ext xmlns:x14="http://schemas.microsoft.com/office/spreadsheetml/2009/9/main" uri="{B025F937-C7B1-47D3-B67F-A62EFF666E3E}">
          <x14:id>{C35C0DE7-5F65-4381-A07A-B1D6FDCCAC4C}</x14:id>
        </ext>
      </extLst>
    </cfRule>
  </conditionalFormatting>
  <conditionalFormatting sqref="V4:V21">
    <cfRule type="dataBar" priority="11">
      <dataBar>
        <cfvo type="min"/>
        <cfvo type="max"/>
        <color rgb="FFFF555A"/>
      </dataBar>
      <extLst>
        <ext xmlns:x14="http://schemas.microsoft.com/office/spreadsheetml/2009/9/main" uri="{B025F937-C7B1-47D3-B67F-A62EFF666E3E}">
          <x14:id>{4C43B3BD-095C-4A57-91E7-E1A560147E82}</x14:id>
        </ext>
      </extLst>
    </cfRule>
  </conditionalFormatting>
  <conditionalFormatting sqref="U4:U21">
    <cfRule type="dataBar" priority="12">
      <dataBar>
        <cfvo type="min"/>
        <cfvo type="max"/>
        <color rgb="FF63C384"/>
      </dataBar>
      <extLst>
        <ext xmlns:x14="http://schemas.microsoft.com/office/spreadsheetml/2009/9/main" uri="{B025F937-C7B1-47D3-B67F-A62EFF666E3E}">
          <x14:id>{75B212E4-2032-441A-B12F-3A33567DF88D}</x14:id>
        </ext>
      </extLst>
    </cfRule>
  </conditionalFormatting>
  <conditionalFormatting sqref="W4:W21">
    <cfRule type="dataBar" priority="13">
      <dataBar>
        <cfvo type="min"/>
        <cfvo type="max"/>
        <color rgb="FFFFB628"/>
      </dataBar>
      <extLst>
        <ext xmlns:x14="http://schemas.microsoft.com/office/spreadsheetml/2009/9/main" uri="{B025F937-C7B1-47D3-B67F-A62EFF666E3E}">
          <x14:id>{13F98023-5B4C-4784-9284-9AD216F39290}</x14:id>
        </ext>
      </extLst>
    </cfRule>
  </conditionalFormatting>
  <conditionalFormatting sqref="AG4:AH21">
    <cfRule type="colorScale" priority="14">
      <colorScale>
        <cfvo type="min"/>
        <cfvo type="percentile" val="50"/>
        <cfvo type="max"/>
        <color rgb="FFF8696B"/>
        <color rgb="FFFFEB84"/>
        <color rgb="FF63BE7B"/>
      </colorScale>
    </cfRule>
  </conditionalFormatting>
  <conditionalFormatting sqref="AI4:AJ21">
    <cfRule type="colorScale" priority="15">
      <colorScale>
        <cfvo type="min"/>
        <cfvo type="percentile" val="50"/>
        <cfvo type="max"/>
        <color rgb="FFF8696B"/>
        <color rgb="FFFFEB84"/>
        <color rgb="FF63BE7B"/>
      </colorScale>
    </cfRule>
  </conditionalFormatting>
  <conditionalFormatting sqref="AK4:AK21">
    <cfRule type="colorScale" priority="16">
      <colorScale>
        <cfvo type="min"/>
        <cfvo type="percentile" val="50"/>
        <cfvo type="max"/>
        <color rgb="FFF8696B"/>
        <color rgb="FFFFEB84"/>
        <color rgb="FF63BE7B"/>
      </colorScale>
    </cfRule>
  </conditionalFormatting>
  <conditionalFormatting sqref="AL4:AL21">
    <cfRule type="colorScale" priority="17">
      <colorScale>
        <cfvo type="min"/>
        <cfvo type="percentile" val="50"/>
        <cfvo type="max"/>
        <color rgb="FFF8696B"/>
        <color rgb="FFFFEB84"/>
        <color rgb="FF63BE7B"/>
      </colorScale>
    </cfRule>
  </conditionalFormatting>
  <conditionalFormatting sqref="AM4:AN21">
    <cfRule type="colorScale" priority="18">
      <colorScale>
        <cfvo type="min"/>
        <cfvo type="percentile" val="50"/>
        <cfvo type="max"/>
        <color rgb="FFF8696B"/>
        <color rgb="FFFFEB84"/>
        <color rgb="FF63BE7B"/>
      </colorScale>
    </cfRule>
  </conditionalFormatting>
  <conditionalFormatting sqref="AR4:AR21">
    <cfRule type="colorScale" priority="19">
      <colorScale>
        <cfvo type="min"/>
        <cfvo type="percentile" val="50"/>
        <cfvo type="max"/>
        <color rgb="FF63BE7B"/>
        <color rgb="FFFFEB84"/>
        <color rgb="FFF8696B"/>
      </colorScale>
    </cfRule>
  </conditionalFormatting>
  <conditionalFormatting sqref="X4:AD21">
    <cfRule type="colorScale" priority="3">
      <colorScale>
        <cfvo type="min"/>
        <cfvo type="max"/>
        <color rgb="FFFCFCFF"/>
        <color rgb="FFF8696B"/>
      </colorScale>
    </cfRule>
  </conditionalFormatting>
  <conditionalFormatting sqref="AE4:AE21">
    <cfRule type="dataBar" priority="2">
      <dataBar>
        <cfvo type="min"/>
        <cfvo type="max"/>
        <color rgb="FFFFB628"/>
      </dataBar>
      <extLst>
        <ext xmlns:x14="http://schemas.microsoft.com/office/spreadsheetml/2009/9/main" uri="{B025F937-C7B1-47D3-B67F-A62EFF666E3E}">
          <x14:id>{45DFBB1C-C54B-41BA-B288-27E24A1B1B25}</x14:id>
        </ext>
      </extLst>
    </cfRule>
  </conditionalFormatting>
  <conditionalFormatting sqref="C22">
    <cfRule type="colorScale" priority="4974">
      <colorScale>
        <cfvo type="min"/>
        <cfvo type="max"/>
        <color rgb="FFFFEF9C"/>
        <color rgb="FF63BE7B"/>
      </colorScale>
    </cfRule>
  </conditionalFormatting>
  <conditionalFormatting sqref="R22:S22">
    <cfRule type="colorScale" priority="4975">
      <colorScale>
        <cfvo type="min"/>
        <cfvo type="percentile" val="50"/>
        <cfvo type="max"/>
        <color rgb="FFF8696B"/>
        <color rgb="FFFFEB84"/>
        <color rgb="FF63BE7B"/>
      </colorScale>
    </cfRule>
  </conditionalFormatting>
  <conditionalFormatting sqref="T22">
    <cfRule type="dataBar" priority="4976">
      <dataBar>
        <cfvo type="min"/>
        <cfvo type="max"/>
        <color rgb="FF63C384"/>
      </dataBar>
      <extLst>
        <ext xmlns:x14="http://schemas.microsoft.com/office/spreadsheetml/2009/9/main" uri="{B025F937-C7B1-47D3-B67F-A62EFF666E3E}">
          <x14:id>{F860546A-4F1E-4989-99AD-7501305A84EB}</x14:id>
        </ext>
      </extLst>
    </cfRule>
  </conditionalFormatting>
  <conditionalFormatting sqref="V22">
    <cfRule type="dataBar" priority="4977">
      <dataBar>
        <cfvo type="min"/>
        <cfvo type="max"/>
        <color rgb="FFFF555A"/>
      </dataBar>
      <extLst>
        <ext xmlns:x14="http://schemas.microsoft.com/office/spreadsheetml/2009/9/main" uri="{B025F937-C7B1-47D3-B67F-A62EFF666E3E}">
          <x14:id>{10C27641-B545-40C6-AB33-61DE0C4A3523}</x14:id>
        </ext>
      </extLst>
    </cfRule>
  </conditionalFormatting>
  <conditionalFormatting sqref="U22">
    <cfRule type="dataBar" priority="4978">
      <dataBar>
        <cfvo type="min"/>
        <cfvo type="max"/>
        <color rgb="FF63C384"/>
      </dataBar>
      <extLst>
        <ext xmlns:x14="http://schemas.microsoft.com/office/spreadsheetml/2009/9/main" uri="{B025F937-C7B1-47D3-B67F-A62EFF666E3E}">
          <x14:id>{865F7CB9-FE3D-4143-AA80-12651D5E426D}</x14:id>
        </ext>
      </extLst>
    </cfRule>
  </conditionalFormatting>
  <conditionalFormatting sqref="W22">
    <cfRule type="dataBar" priority="4979">
      <dataBar>
        <cfvo type="min"/>
        <cfvo type="max"/>
        <color rgb="FFFFB628"/>
      </dataBar>
      <extLst>
        <ext xmlns:x14="http://schemas.microsoft.com/office/spreadsheetml/2009/9/main" uri="{B025F937-C7B1-47D3-B67F-A62EFF666E3E}">
          <x14:id>{BC0019C4-5DF2-4032-8F76-A8A2E8FCCC3F}</x14:id>
        </ext>
      </extLst>
    </cfRule>
  </conditionalFormatting>
  <conditionalFormatting sqref="AR22">
    <cfRule type="colorScale" priority="498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265B886C-B53E-4D74-A1DE-1E6C1BE02C4A}">
            <x14:dataBar minLength="0" maxLength="100" border="1" negativeBarBorderColorSameAsPositive="0">
              <x14:cfvo type="autoMin"/>
              <x14:cfvo type="autoMax"/>
              <x14:borderColor rgb="FF638EC6"/>
              <x14:negativeFillColor rgb="FFFF0000"/>
              <x14:negativeBorderColor rgb="FFFF0000"/>
              <x14:axisColor rgb="FF000000"/>
            </x14:dataBar>
          </x14:cfRule>
          <xm:sqref>AE22:AF22</xm:sqref>
        </x14:conditionalFormatting>
        <x14:conditionalFormatting xmlns:xm="http://schemas.microsoft.com/office/excel/2006/main">
          <x14:cfRule type="dataBar" id="{294B0C5F-9F6D-41A8-8500-43D29FE0342A}">
            <x14:dataBar minLength="0" maxLength="100" border="1" negativeBarBorderColorSameAsPositive="0">
              <x14:cfvo type="autoMin"/>
              <x14:cfvo type="autoMax"/>
              <x14:borderColor rgb="FF638EC6"/>
              <x14:negativeFillColor rgb="FFFF0000"/>
              <x14:negativeBorderColor rgb="FFFF0000"/>
              <x14:axisColor rgb="FF000000"/>
            </x14:dataBar>
          </x14:cfRule>
          <xm:sqref>AF4:AF21</xm:sqref>
        </x14:conditionalFormatting>
        <x14:conditionalFormatting xmlns:xm="http://schemas.microsoft.com/office/excel/2006/main">
          <x14:cfRule type="dataBar" id="{C35C0DE7-5F65-4381-A07A-B1D6FDCCAC4C}">
            <x14:dataBar minLength="0" maxLength="100" border="1" negativeBarBorderColorSameAsPositive="0">
              <x14:cfvo type="autoMin"/>
              <x14:cfvo type="autoMax"/>
              <x14:borderColor rgb="FF63C384"/>
              <x14:negativeFillColor rgb="FFFF0000"/>
              <x14:negativeBorderColor rgb="FFFF0000"/>
              <x14:axisColor rgb="FF000000"/>
            </x14:dataBar>
          </x14:cfRule>
          <xm:sqref>T4:T21</xm:sqref>
        </x14:conditionalFormatting>
        <x14:conditionalFormatting xmlns:xm="http://schemas.microsoft.com/office/excel/2006/main">
          <x14:cfRule type="dataBar" id="{4C43B3BD-095C-4A57-91E7-E1A560147E82}">
            <x14:dataBar minLength="0" maxLength="100" border="1" negativeBarBorderColorSameAsPositive="0">
              <x14:cfvo type="autoMin"/>
              <x14:cfvo type="autoMax"/>
              <x14:borderColor rgb="FFFF555A"/>
              <x14:negativeFillColor rgb="FFFF0000"/>
              <x14:negativeBorderColor rgb="FFFF0000"/>
              <x14:axisColor rgb="FF000000"/>
            </x14:dataBar>
          </x14:cfRule>
          <xm:sqref>V4:V21</xm:sqref>
        </x14:conditionalFormatting>
        <x14:conditionalFormatting xmlns:xm="http://schemas.microsoft.com/office/excel/2006/main">
          <x14:cfRule type="dataBar" id="{75B212E4-2032-441A-B12F-3A33567DF88D}">
            <x14:dataBar minLength="0" maxLength="100" border="1" negativeBarBorderColorSameAsPositive="0">
              <x14:cfvo type="autoMin"/>
              <x14:cfvo type="autoMax"/>
              <x14:borderColor rgb="FF63C384"/>
              <x14:negativeFillColor rgb="FFFF0000"/>
              <x14:negativeBorderColor rgb="FFFF0000"/>
              <x14:axisColor rgb="FF000000"/>
            </x14:dataBar>
          </x14:cfRule>
          <xm:sqref>U4:U21</xm:sqref>
        </x14:conditionalFormatting>
        <x14:conditionalFormatting xmlns:xm="http://schemas.microsoft.com/office/excel/2006/main">
          <x14:cfRule type="dataBar" id="{13F98023-5B4C-4784-9284-9AD216F39290}">
            <x14:dataBar minLength="0" maxLength="100" border="1" negativeBarBorderColorSameAsPositive="0">
              <x14:cfvo type="autoMin"/>
              <x14:cfvo type="autoMax"/>
              <x14:borderColor rgb="FFFFB628"/>
              <x14:negativeFillColor rgb="FFFF0000"/>
              <x14:negativeBorderColor rgb="FFFF0000"/>
              <x14:axisColor rgb="FF000000"/>
            </x14:dataBar>
          </x14:cfRule>
          <xm:sqref>W4:W21</xm:sqref>
        </x14:conditionalFormatting>
        <x14:conditionalFormatting xmlns:xm="http://schemas.microsoft.com/office/excel/2006/main">
          <x14:cfRule type="dataBar" id="{45DFBB1C-C54B-41BA-B288-27E24A1B1B25}">
            <x14:dataBar minLength="0" maxLength="100" border="1" negativeBarBorderColorSameAsPositive="0">
              <x14:cfvo type="autoMin"/>
              <x14:cfvo type="autoMax"/>
              <x14:borderColor rgb="FFFFB628"/>
              <x14:negativeFillColor rgb="FFFF0000"/>
              <x14:negativeBorderColor rgb="FFFF0000"/>
              <x14:axisColor rgb="FF000000"/>
            </x14:dataBar>
          </x14:cfRule>
          <xm:sqref>AE4:AE21</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T22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V22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U22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Q21" sqref="Q21"/>
    </sheetView>
  </sheetViews>
  <sheetFormatPr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2.2000000000000002</v>
      </c>
      <c r="E3" s="209">
        <f>D3</f>
        <v>2.2000000000000002</v>
      </c>
      <c r="F3" s="209">
        <f>E3+0.1</f>
        <v>2.3000000000000003</v>
      </c>
      <c r="G3" s="209">
        <f>C3</f>
        <v>4</v>
      </c>
      <c r="H3" s="209">
        <f>G3+0.99</f>
        <v>4.99</v>
      </c>
      <c r="I3" s="210">
        <f>G3*G3*E3</f>
        <v>35.200000000000003</v>
      </c>
      <c r="J3" s="210">
        <f>H3*H3*F3</f>
        <v>57.270230000000012</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v>
      </c>
      <c r="Q4" s="212">
        <f>F5</f>
        <v>1.1000000000000001</v>
      </c>
      <c r="R4" s="212">
        <f>G5</f>
        <v>1</v>
      </c>
      <c r="S4" s="212">
        <f>H5</f>
        <v>1.99</v>
      </c>
    </row>
    <row r="5" spans="1:19" x14ac:dyDescent="0.25">
      <c r="A5" s="206" t="str">
        <f>PLANTILLA!D6</f>
        <v>Manuel Parejo</v>
      </c>
      <c r="B5" s="207">
        <f>PLANTILLA!E6</f>
        <v>17</v>
      </c>
      <c r="C5" s="207">
        <f>PLANTILLA!H6</f>
        <v>1</v>
      </c>
      <c r="D5" s="208">
        <f>PLANTILLA!I6</f>
        <v>1</v>
      </c>
      <c r="E5" s="209">
        <f t="shared" si="1"/>
        <v>1</v>
      </c>
      <c r="F5" s="209">
        <f t="shared" si="2"/>
        <v>1.1000000000000001</v>
      </c>
      <c r="G5" s="209">
        <f t="shared" si="3"/>
        <v>1</v>
      </c>
      <c r="H5" s="209">
        <f t="shared" si="4"/>
        <v>1.99</v>
      </c>
      <c r="I5" s="210">
        <f t="shared" si="5"/>
        <v>1</v>
      </c>
      <c r="J5" s="210">
        <f t="shared" si="6"/>
        <v>4.3561100000000001</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v>
      </c>
      <c r="E6" s="209">
        <f t="shared" si="1"/>
        <v>1</v>
      </c>
      <c r="F6" s="209">
        <f t="shared" si="2"/>
        <v>1.1000000000000001</v>
      </c>
      <c r="G6" s="209">
        <f t="shared" si="3"/>
        <v>6</v>
      </c>
      <c r="H6" s="209">
        <f t="shared" si="4"/>
        <v>6.99</v>
      </c>
      <c r="I6" s="210">
        <f t="shared" si="5"/>
        <v>36</v>
      </c>
      <c r="J6" s="210">
        <f t="shared" si="6"/>
        <v>53.746110000000009</v>
      </c>
      <c r="K6" s="211"/>
      <c r="O6" t="str">
        <f>A11</f>
        <v>Fernando Gazón</v>
      </c>
      <c r="P6" s="212">
        <f>E11</f>
        <v>0.5</v>
      </c>
      <c r="Q6" s="212">
        <f t="shared" ref="Q6:S6" si="7">F11</f>
        <v>0.6</v>
      </c>
      <c r="R6" s="212">
        <f t="shared" si="7"/>
        <v>3</v>
      </c>
      <c r="S6" s="212">
        <f t="shared" si="7"/>
        <v>3.99</v>
      </c>
    </row>
    <row r="7" spans="1:19" x14ac:dyDescent="0.25">
      <c r="A7" s="206" t="str">
        <f>PLANTILLA!D8</f>
        <v>J. G. de Minaya</v>
      </c>
      <c r="B7" s="207">
        <f>PLANTILLA!E8</f>
        <v>17</v>
      </c>
      <c r="C7" s="207">
        <f>PLANTILLA!H8</f>
        <v>0</v>
      </c>
      <c r="D7" s="208">
        <f>PLANTILLA!I8</f>
        <v>1.2</v>
      </c>
      <c r="E7" s="209">
        <f t="shared" si="1"/>
        <v>1.2</v>
      </c>
      <c r="F7" s="209">
        <f t="shared" si="2"/>
        <v>1.3</v>
      </c>
      <c r="G7" s="209">
        <f t="shared" si="3"/>
        <v>0</v>
      </c>
      <c r="H7" s="209">
        <f t="shared" si="4"/>
        <v>0.99</v>
      </c>
      <c r="I7" s="210">
        <f t="shared" si="5"/>
        <v>0</v>
      </c>
      <c r="J7" s="210">
        <f t="shared" si="6"/>
        <v>1.27413</v>
      </c>
      <c r="K7" s="211"/>
      <c r="O7" t="str">
        <f>A3</f>
        <v>Alberto Ercilla</v>
      </c>
      <c r="P7" s="212">
        <f>E3</f>
        <v>2.2000000000000002</v>
      </c>
      <c r="Q7" s="212">
        <f>F3</f>
        <v>2.3000000000000003</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v>
      </c>
      <c r="E9" s="209">
        <f t="shared" si="1"/>
        <v>1</v>
      </c>
      <c r="F9" s="209">
        <f t="shared" si="2"/>
        <v>1.1000000000000001</v>
      </c>
      <c r="G9" s="209">
        <f t="shared" si="3"/>
        <v>3</v>
      </c>
      <c r="H9" s="209">
        <f t="shared" si="4"/>
        <v>3.99</v>
      </c>
      <c r="I9" s="210">
        <f t="shared" si="5"/>
        <v>9</v>
      </c>
      <c r="J9" s="210">
        <f t="shared" si="6"/>
        <v>17.512110000000003</v>
      </c>
      <c r="K9" s="211"/>
      <c r="O9" t="str">
        <f>A16</f>
        <v>Paulo Beltrán</v>
      </c>
      <c r="P9" s="212">
        <f>E16</f>
        <v>1</v>
      </c>
      <c r="Q9" s="212">
        <f>F16</f>
        <v>1.1000000000000001</v>
      </c>
      <c r="R9" s="212">
        <f>G16</f>
        <v>3</v>
      </c>
      <c r="S9" s="212">
        <f>H16</f>
        <v>3.99</v>
      </c>
    </row>
    <row r="10" spans="1:19" x14ac:dyDescent="0.25">
      <c r="A10" s="206" t="str">
        <f>PLANTILLA!D11</f>
        <v>Raul Riquelme</v>
      </c>
      <c r="B10" s="207">
        <f>PLANTILLA!E11</f>
        <v>17</v>
      </c>
      <c r="C10" s="207">
        <f>PLANTILLA!H11</f>
        <v>6</v>
      </c>
      <c r="D10" s="208">
        <f>PLANTILLA!I11</f>
        <v>0.5</v>
      </c>
      <c r="E10" s="209">
        <f t="shared" si="1"/>
        <v>0.5</v>
      </c>
      <c r="F10" s="209">
        <f t="shared" si="2"/>
        <v>0.6</v>
      </c>
      <c r="G10" s="209">
        <f t="shared" si="3"/>
        <v>6</v>
      </c>
      <c r="H10" s="209">
        <f t="shared" si="4"/>
        <v>6.99</v>
      </c>
      <c r="I10" s="210">
        <f t="shared" si="5"/>
        <v>18</v>
      </c>
      <c r="J10" s="210">
        <f t="shared" si="6"/>
        <v>29.31606</v>
      </c>
      <c r="K10" s="211"/>
      <c r="O10" t="str">
        <f>A14</f>
        <v>Enrique Cubas</v>
      </c>
      <c r="P10" s="212">
        <f>E14</f>
        <v>1</v>
      </c>
      <c r="Q10" s="212">
        <f>F14</f>
        <v>1.1000000000000001</v>
      </c>
      <c r="R10" s="212">
        <f>G14</f>
        <v>1</v>
      </c>
      <c r="S10" s="212">
        <f>H14</f>
        <v>1.99</v>
      </c>
    </row>
    <row r="11" spans="1:19" x14ac:dyDescent="0.25">
      <c r="A11" s="206" t="str">
        <f>PLANTILLA!D12</f>
        <v>Fernando Gazón</v>
      </c>
      <c r="B11" s="207">
        <f>PLANTILLA!E12</f>
        <v>17</v>
      </c>
      <c r="C11" s="207">
        <f>PLANTILLA!H12</f>
        <v>3</v>
      </c>
      <c r="D11" s="208">
        <f>PLANTILLA!I12</f>
        <v>0.5</v>
      </c>
      <c r="E11" s="209">
        <f t="shared" si="1"/>
        <v>0.5</v>
      </c>
      <c r="F11" s="209">
        <f t="shared" si="2"/>
        <v>0.6</v>
      </c>
      <c r="G11" s="209">
        <f t="shared" si="3"/>
        <v>3</v>
      </c>
      <c r="H11" s="209">
        <f t="shared" si="4"/>
        <v>3.99</v>
      </c>
      <c r="I11" s="210">
        <f t="shared" si="5"/>
        <v>4.5</v>
      </c>
      <c r="J11" s="210">
        <f t="shared" si="6"/>
        <v>9.5520600000000009</v>
      </c>
      <c r="K11" s="211"/>
      <c r="O11" t="str">
        <f>A10</f>
        <v>Raul Riquelme</v>
      </c>
      <c r="P11" s="212">
        <f>E10</f>
        <v>0.5</v>
      </c>
      <c r="Q11" s="212">
        <f>F10</f>
        <v>0.6</v>
      </c>
      <c r="R11" s="212">
        <f>G10</f>
        <v>6</v>
      </c>
      <c r="S11" s="212">
        <f>H10</f>
        <v>6.99</v>
      </c>
    </row>
    <row r="12" spans="1:19" x14ac:dyDescent="0.25">
      <c r="A12" s="206" t="str">
        <f>PLANTILLA!D13</f>
        <v>Roberto Abenoza</v>
      </c>
      <c r="B12" s="207">
        <f>PLANTILLA!E13</f>
        <v>17</v>
      </c>
      <c r="C12" s="207">
        <f>PLANTILLA!H13</f>
        <v>4</v>
      </c>
      <c r="D12" s="208">
        <f>PLANTILLA!I13</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1.2</v>
      </c>
      <c r="Q12" s="212">
        <f t="shared" ref="Q12:S12" si="8">F7</f>
        <v>1.3</v>
      </c>
      <c r="R12" s="212">
        <f t="shared" si="8"/>
        <v>0</v>
      </c>
      <c r="S12" s="212">
        <f t="shared" si="8"/>
        <v>0.99</v>
      </c>
    </row>
    <row r="13" spans="1:19" x14ac:dyDescent="0.25">
      <c r="A13" s="206" t="str">
        <f>PLANTILLA!D14</f>
        <v>Julio Calle</v>
      </c>
      <c r="B13" s="207">
        <f>PLANTILLA!E14</f>
        <v>17</v>
      </c>
      <c r="C13" s="207">
        <f>PLANTILLA!H14</f>
        <v>3</v>
      </c>
      <c r="D13" s="208">
        <f>PLANTILLA!I14</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PLANTILLA!D15</f>
        <v>Enrique Cubas</v>
      </c>
      <c r="B14" s="207">
        <f>PLANTILLA!E15</f>
        <v>17</v>
      </c>
      <c r="C14" s="207">
        <f>PLANTILLA!H15</f>
        <v>1</v>
      </c>
      <c r="D14" s="208">
        <f>PLANTILLA!I15</f>
        <v>1</v>
      </c>
      <c r="E14" s="209">
        <f t="shared" si="1"/>
        <v>1</v>
      </c>
      <c r="F14" s="209">
        <f t="shared" si="2"/>
        <v>1.1000000000000001</v>
      </c>
      <c r="G14" s="209">
        <f t="shared" si="3"/>
        <v>1</v>
      </c>
      <c r="H14" s="209">
        <f t="shared" si="4"/>
        <v>1.99</v>
      </c>
      <c r="I14" s="210">
        <f t="shared" si="5"/>
        <v>1</v>
      </c>
      <c r="J14" s="210">
        <f t="shared" si="6"/>
        <v>4.3561100000000001</v>
      </c>
      <c r="K14" s="211"/>
      <c r="P14" s="37">
        <f>SUM(P4:P13)/10</f>
        <v>0.89</v>
      </c>
      <c r="Q14" s="37">
        <f>SUM(Q4:Q13)/10</f>
        <v>0.99</v>
      </c>
      <c r="R14" s="37"/>
      <c r="S14" s="37"/>
    </row>
    <row r="15" spans="1:19" x14ac:dyDescent="0.25">
      <c r="A15" s="206" t="str">
        <f>PLANTILLA!D16</f>
        <v>J. G. Peñuela</v>
      </c>
      <c r="B15" s="207">
        <f>PLANTILLA!E16</f>
        <v>17</v>
      </c>
      <c r="C15" s="207">
        <f>PLANTILLA!H16</f>
        <v>6</v>
      </c>
      <c r="D15" s="208">
        <f>PLANTILLA!I16</f>
        <v>1</v>
      </c>
      <c r="E15" s="209">
        <f t="shared" si="1"/>
        <v>1</v>
      </c>
      <c r="F15" s="209">
        <f t="shared" si="2"/>
        <v>1.1000000000000001</v>
      </c>
      <c r="G15" s="209">
        <f t="shared" si="3"/>
        <v>6</v>
      </c>
      <c r="H15" s="209">
        <f t="shared" si="4"/>
        <v>6.99</v>
      </c>
      <c r="I15" s="210">
        <f t="shared" si="5"/>
        <v>36</v>
      </c>
      <c r="J15" s="210">
        <f t="shared" si="6"/>
        <v>53.746110000000009</v>
      </c>
      <c r="K15" s="211"/>
    </row>
    <row r="16" spans="1:19" x14ac:dyDescent="0.25">
      <c r="A16" s="206" t="str">
        <f>PLANTILLA!D17</f>
        <v>Paulo Beltrán</v>
      </c>
      <c r="B16" s="207">
        <f>PLANTILLA!E17</f>
        <v>17</v>
      </c>
      <c r="C16" s="207">
        <f>PLANTILLA!H17</f>
        <v>3</v>
      </c>
      <c r="D16" s="208">
        <f>PLANTILLA!I17</f>
        <v>1</v>
      </c>
      <c r="E16" s="209">
        <f t="shared" si="1"/>
        <v>1</v>
      </c>
      <c r="F16" s="209">
        <f t="shared" si="2"/>
        <v>1.1000000000000001</v>
      </c>
      <c r="G16" s="209">
        <f t="shared" si="3"/>
        <v>3</v>
      </c>
      <c r="H16" s="209">
        <f t="shared" si="4"/>
        <v>3.99</v>
      </c>
      <c r="I16" s="210">
        <f t="shared" si="5"/>
        <v>9</v>
      </c>
      <c r="J16" s="210">
        <f t="shared" si="6"/>
        <v>17.512110000000003</v>
      </c>
      <c r="K16" s="211"/>
      <c r="L16" s="71" t="s">
        <v>343</v>
      </c>
      <c r="O16" t="s">
        <v>344</v>
      </c>
      <c r="P16" s="32">
        <f>SUM(P3:P13)</f>
        <v>9.8999999999999986</v>
      </c>
      <c r="Q16" s="32">
        <f>SUM(Q3:Q13)</f>
        <v>11</v>
      </c>
      <c r="R16" s="32"/>
    </row>
    <row r="17" spans="1:18" x14ac:dyDescent="0.25">
      <c r="A17" s="206" t="str">
        <f>PLANTILLA!D19</f>
        <v>Nicolás Eans</v>
      </c>
      <c r="B17" s="207">
        <f>PLANTILLA!E19</f>
        <v>17</v>
      </c>
      <c r="C17" s="207">
        <f>PLANTILLA!H19</f>
        <v>3</v>
      </c>
      <c r="D17" s="208">
        <f>PLANTILLA!I19</f>
        <v>0.5</v>
      </c>
      <c r="E17" s="209">
        <f t="shared" si="1"/>
        <v>0.5</v>
      </c>
      <c r="F17" s="209">
        <f t="shared" si="2"/>
        <v>0.6</v>
      </c>
      <c r="G17" s="209">
        <f t="shared" si="3"/>
        <v>3</v>
      </c>
      <c r="H17" s="209">
        <f t="shared" si="4"/>
        <v>3.99</v>
      </c>
      <c r="I17" s="210">
        <f t="shared" si="5"/>
        <v>4.5</v>
      </c>
      <c r="J17" s="210">
        <f t="shared" si="6"/>
        <v>9.5520600000000009</v>
      </c>
      <c r="K17" s="211"/>
      <c r="O17" t="s">
        <v>345</v>
      </c>
      <c r="P17" s="37">
        <f>P16/17</f>
        <v>0.58235294117647052</v>
      </c>
      <c r="Q17" s="37">
        <f>Q16/17</f>
        <v>0.6470588235294118</v>
      </c>
      <c r="R17" s="37"/>
    </row>
    <row r="18" spans="1:18" x14ac:dyDescent="0.25">
      <c r="A18" s="206" t="str">
        <f>PLANTILLA!D20</f>
        <v>Noel Fuster</v>
      </c>
      <c r="B18" s="207">
        <f>PLANTILLA!E20</f>
        <v>17</v>
      </c>
      <c r="C18" s="207">
        <f>PLANTILLA!H20</f>
        <v>4</v>
      </c>
      <c r="D18" s="208">
        <f>PLANTILLA!I20</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PLANTILLA!D21</f>
        <v>Casildo Abraldes</v>
      </c>
      <c r="B19" s="207">
        <f>PLANTILLA!E21</f>
        <v>17</v>
      </c>
      <c r="C19" s="207">
        <f>PLANTILLA!H21</f>
        <v>0</v>
      </c>
      <c r="D19" s="208">
        <f>PLANTILLA!I21</f>
        <v>1</v>
      </c>
      <c r="E19" s="209">
        <f t="shared" si="1"/>
        <v>1</v>
      </c>
      <c r="F19" s="209">
        <f t="shared" si="2"/>
        <v>1.1000000000000001</v>
      </c>
      <c r="G19" s="209">
        <f t="shared" si="3"/>
        <v>0</v>
      </c>
      <c r="H19" s="209">
        <f t="shared" si="4"/>
        <v>0.99</v>
      </c>
      <c r="I19" s="210">
        <f t="shared" si="5"/>
        <v>0</v>
      </c>
      <c r="J19" s="210">
        <f t="shared" si="6"/>
        <v>1.0781100000000001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PLANTILLA!D22</f>
        <v>A. Ilisie</v>
      </c>
      <c r="B21" s="207">
        <f>PLANTILLA!E22</f>
        <v>0</v>
      </c>
      <c r="C21" s="207">
        <f>PLANTILLA!H22</f>
        <v>0</v>
      </c>
      <c r="D21" s="208">
        <f>PLANTILLA!I22</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0.7265778982072113</v>
      </c>
      <c r="Q21" s="157">
        <f>Q17+Q20</f>
        <v>0.871845757118206</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3"/>
  <sheetViews>
    <sheetView workbookViewId="0">
      <pane xSplit="8" ySplit="2" topLeftCell="I3" activePane="bottomRight" state="frozen"/>
      <selection pane="topRight" activeCell="I1" sqref="I1"/>
      <selection pane="bottomLeft" activeCell="A3" sqref="A3"/>
      <selection pane="bottomRight" activeCell="J3" sqref="J3"/>
    </sheetView>
  </sheetViews>
  <sheetFormatPr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12</v>
      </c>
      <c r="D3" s="65" t="str">
        <f>PLANTILLA!G4</f>
        <v>IMP</v>
      </c>
      <c r="E3" s="30">
        <f>PLANTILLA!M4</f>
        <v>43097</v>
      </c>
      <c r="F3" s="47">
        <f>PLANTILLA!Q4</f>
        <v>4</v>
      </c>
      <c r="G3" s="48">
        <f>(F3/7)^0.5</f>
        <v>0.7559289460184544</v>
      </c>
      <c r="H3" s="48">
        <f>IF(F3=7,1,((F3+0.99)/7)^0.5)</f>
        <v>0.84430867747355465</v>
      </c>
      <c r="I3" s="51">
        <f t="shared" ref="I3" ca="1" si="0">IF(TODAY()-E3&gt;335,1,((TODAY()-E3)^0.5)/336^0.5)</f>
        <v>0.15430334996209194</v>
      </c>
      <c r="J3" s="39">
        <f>PLANTILLA!I4</f>
        <v>2.2000000000000002</v>
      </c>
      <c r="K3" s="46">
        <f>PLANTILLA!X4</f>
        <v>0</v>
      </c>
      <c r="L3" s="46">
        <f>PLANTILLA!Y4</f>
        <v>7</v>
      </c>
      <c r="M3" s="46">
        <f>PLANTILLA!Z4</f>
        <v>2</v>
      </c>
      <c r="N3" s="46">
        <f>PLANTILLA!AA4</f>
        <v>5</v>
      </c>
      <c r="O3" s="46">
        <f>PLANTILLA!AB4</f>
        <v>7</v>
      </c>
      <c r="P3" s="46">
        <f>PLANTILLA!AC4</f>
        <v>5.0476190476190474</v>
      </c>
      <c r="Q3" s="46">
        <f>PLANTILLA!AD4</f>
        <v>4</v>
      </c>
      <c r="R3" s="46">
        <f>((2*(O3+1))+(L3+1))/8</f>
        <v>3</v>
      </c>
      <c r="S3" s="46">
        <f>(0.5*P3+ 0.3*Q3)/10</f>
        <v>0.37238095238095237</v>
      </c>
      <c r="T3" s="46">
        <f>(0.4*L3+0.3*Q3)/10</f>
        <v>0.4</v>
      </c>
      <c r="U3" s="46">
        <f ca="1">IF(TODAY()-E3&gt;335,(Q3+1+(LOG(J3)*4/3))*(F3/7)^0.5,(Q3+((TODAY()-E3)^0.5)/(336^0.5)+(LOG(J3)*4/3))*(F3/7)^0.5)</f>
        <v>3.4854877743867707</v>
      </c>
      <c r="V3" s="46">
        <f ca="1">IF(F3=7,U3,IF(TODAY()-E3&gt;335,(Q3+1+(LOG(J3)*4/3))*((F3+0.99)/7)^0.5,(Q3+((TODAY()-E3)^0.5)/(336^0.5)+(LOG(J3)*4/3))*((F3+0.99)/7)^0.5))</f>
        <v>3.8929949549397134</v>
      </c>
      <c r="W3" s="37">
        <f ca="1">IF(TODAY()-E3&gt;335,((K3+1+(LOG(J3)*4/3))*0.597)+((L3+1+(LOG(J3)*4/3))*0.276),((K3+(((TODAY()-E3)^0.5)/(336^0.5))+(LOG(J3)*4/3))*0.597)+((L3+(((TODAY()-E3)^0.5)/(336^0.5))+(LOG(J3)*4/3))*0.276))</f>
        <v>2.4652868249939548</v>
      </c>
      <c r="X3" s="37">
        <f ca="1">IF(TODAY()-E3&gt;335,((K3+1+(LOG(J3)*4/3))*0.866)+((L3+1+(LOG(J3)*4/3))*0.425),((K3+(((TODAY()-E3)^0.5)/(336^0.5))+(LOG(J3)*4/3))*0.866)+((L3+(((TODAY()-E3)^0.5)/(336^0.5))+(LOG(J3)*4/3))*0.425))</f>
        <v>3.7636291993896851</v>
      </c>
      <c r="Y3" s="37">
        <f ca="1">W3</f>
        <v>2.4652868249939548</v>
      </c>
      <c r="Z3" s="37">
        <f ca="1">IF(TODAY()-E3&gt;335,((L3+1+(LOG(J3)*4/3))*0.516),((L3+(((TODAY()-E3)^0.5)/(336^0.516))+(LOG(J3)*4/3))*0.516))</f>
        <v>3.920131160122815</v>
      </c>
      <c r="AA3" s="37">
        <f ca="1">IF(TODAY()-E3&gt;335,((L3+1+(LOG(J3)*4/3))*1),((L3+(((TODAY()-E3)^0.5)/(336^0.5))+(LOG(J3)*4/3))*1))</f>
        <v>7.6108669243917006</v>
      </c>
      <c r="AB3" s="37">
        <f ca="1">Z3/2</f>
        <v>1.9600655800614075</v>
      </c>
      <c r="AC3" s="37">
        <f ca="1">IF(TODAY()-E3&gt;335,((M3+1+(LOG(J3)*4/3))*0.238),((M3+(((TODAY()-E3)^0.5)/(336^0.238))+(LOG(J3)*4/3))*0.238))</f>
        <v>0.75326043509105922</v>
      </c>
      <c r="AD3" s="37">
        <f ca="1">IF(TODAY()-E3&gt;335,((L3+1+(LOG(J3)*4/3))*0.378),((L3+(((TODAY()-E3)^0.5)/(336^0.516))+(LOG(J3)*4/3))*0.378))</f>
        <v>2.8717239893922946</v>
      </c>
      <c r="AE3" s="37">
        <f ca="1">IF(TODAY()-E3&gt;335,((L3+1+(LOG(J3)*4/3))*0.723),((L3+(((TODAY()-E3)^0.5)/(336^0.5))+(LOG(J3)*4/3))*0.723))</f>
        <v>5.5026567863351996</v>
      </c>
      <c r="AF3" s="37">
        <f ca="1">AD3/2</f>
        <v>1.4358619946961473</v>
      </c>
      <c r="AG3" s="37">
        <f ca="1">IF(TODAY()-E3&gt;335,((M3+1+(LOG(J3)*4/3))*0.385),((M3+(((TODAY()-E3)^0.5)/(336^0.238))+(LOG(J3)*4/3))*0.385))</f>
        <v>1.2185095273531841</v>
      </c>
      <c r="AH3" s="37">
        <f ca="1">IF(TODAY()-E3&gt;335,((L3+1+(LOG(J3)*4/3))*0.92),((L3+(((TODAY()-E3)^0.5)/(336^0.5))+(LOG(J3)*4/3))*0.92))</f>
        <v>7.0019975704403645</v>
      </c>
      <c r="AI3" s="37">
        <f ca="1">IF(TODAY()-E3&gt;335,((L3+1+(LOG(J3)*4/3))*0.414),((L3+(((TODAY()-E3)^0.5)/(336^0.414))+(LOG(J3)*4/3))*0.414))</f>
        <v>3.1923688562695061</v>
      </c>
      <c r="AJ3" s="37">
        <f ca="1">IF(TODAY()-E3&gt;335,((M3+1+(LOG(J3)*4/3))*0.167),((M3+(((TODAY()-E3)^0.5)/(336^0.5))+(LOG(J3)*4/3))*0.167))</f>
        <v>0.43601477637341396</v>
      </c>
      <c r="AK3" s="37">
        <f ca="1">IF(TODAY()-E3&gt;335,((N3+1+(LOG(J3)*4/3))*0.588),((N3+(((TODAY()-E3)^0.5)/(336^0.5))+(LOG(J3)*4/3))*0.588))</f>
        <v>3.2991897515423196</v>
      </c>
      <c r="AL3" s="37">
        <f ca="1">IF(TODAY()-E3&gt;335,((L3+1+(LOG(J3)*4/3))*0.754),((L3+(((TODAY()-E3)^0.5)/(336^0.5))+(LOG(J3)*4/3))*0.754))</f>
        <v>5.7385936609913424</v>
      </c>
      <c r="AM3" s="37">
        <f ca="1">IF(TODAY()-E3&gt;335,((L3+1+(LOG(J3)*4/3))*0.708),((L3+(((TODAY()-E3)^0.5)/(336^0.414))+(LOG(J3)*4/3))*0.708))</f>
        <v>5.4594134063739377</v>
      </c>
      <c r="AN3" s="37">
        <f ca="1">IF(TODAY()-E3&gt;335,((Q3+1+(LOG(J3)*4/3))*0.167),((Q3+(((TODAY()-E3)^0.5)/(336^0.5))+(LOG(J3)*4/3))*0.167))</f>
        <v>0.77001477637341409</v>
      </c>
      <c r="AO3" s="37">
        <f ca="1">IF(TODAY()-E3&gt;335,((R3+1+(LOG(J3)*4/3))*0.288),((R3+(((TODAY()-E3)^0.5)/(336^0.5))+(LOG(J3)*4/3))*0.288))</f>
        <v>1.0399296742248096</v>
      </c>
      <c r="AP3" s="37">
        <f ca="1">IF(TODAY()-E3&gt;335,((L3+1+(LOG(J3)*4/3))*0.27),((L3+(((TODAY()-E3)^0.5)/(336^0.5))+(LOG(J3)*4/3))*0.27))</f>
        <v>2.0549340695857592</v>
      </c>
      <c r="AQ3" s="37">
        <f ca="1">IF(TODAY()-E3&gt;335,((L3+1+(LOG(J3)*4/3))*0.594),((L3+(((TODAY()-E3)^0.5)/(336^0.5))+(LOG(J3)*4/3))*0.594))</f>
        <v>4.5208549530886701</v>
      </c>
      <c r="AR3" s="37">
        <f ca="1">AP3/2</f>
        <v>1.0274670347928796</v>
      </c>
      <c r="AS3" s="37">
        <f ca="1">IF(TODAY()-E3&gt;335,((M3+1+(LOG(J3)*4/3))*0.944),((M3+(((TODAY()-E3)^0.5)/(336^0.5))+(LOG(J3)*4/3))*0.944))</f>
        <v>2.4646583766257648</v>
      </c>
      <c r="AT3" s="37">
        <f ca="1">IF(TODAY()-E3&gt;335,((O3+1+(LOG(J3)*4/3))*0.13),((O3+(((TODAY()-E3)^0.5)/(336^0.5))+(LOG(J3)*4/3))*0.13))</f>
        <v>0.98941270017092109</v>
      </c>
      <c r="AU3" s="37">
        <f ca="1">IF(TODAY()-E3&gt;335,((P3+1+(LOG(J3)*4/3))*0.173)+((O3+1+(LOG(J3)*4/3))*0.12),((P3+(((TODAY()-E3)^0.5)/(336^0.5))+(LOG(J3)*4/3))*0.173)+((O3+(((TODAY()-E3)^0.5)/(336^0.5))+(LOG(J3)*4/3))*0.12))</f>
        <v>1.8922221040848635</v>
      </c>
      <c r="AV3" s="37">
        <f ca="1">AT3/2</f>
        <v>0.49470635008546054</v>
      </c>
      <c r="AW3" s="37">
        <f ca="1">IF(TODAY()-E3&gt;335,((L3+1+(LOG(J3)*4/3))*0.189),((L3+(((TODAY()-E3)^0.5)/(336^0.5))+(LOG(J3)*4/3))*0.189))</f>
        <v>1.4384538487100313</v>
      </c>
      <c r="AX3" s="37">
        <f ca="1">IF(TODAY()-E3&gt;335,((L3+1+(LOG(J3)*4/3))*0.4),((L3+(((TODAY()-E3)^0.5)/(336^0.5))+(LOG(J3)*4/3))*0.4))</f>
        <v>3.0443467697566806</v>
      </c>
      <c r="AY3" s="37">
        <f ca="1">AW3/2</f>
        <v>0.71922692435501567</v>
      </c>
      <c r="AZ3" s="37">
        <f ca="1">IF(TODAY()-E3&gt;335,((M3+1+(LOG(J3)*4/3))*1),((M3+(((TODAY()-E3)^0.5)/(336^0.5))+(LOG(J3)*4/3))*1))</f>
        <v>2.6108669243917002</v>
      </c>
      <c r="BA3" s="37">
        <f ca="1">IF(TODAY()-E3&gt;335,((O3+1+(LOG(J3)*4/3))*0.253),((O3+(((TODAY()-E3)^0.5)/(336^0.5))+(LOG(J3)*4/3))*0.253))</f>
        <v>1.9255493318711003</v>
      </c>
      <c r="BB3" s="37">
        <f ca="1">IF(TODAY()-E3&gt;335,((P3+1+(LOG(J3)*4/3))*0.21)+((O3+1+(LOG(J3)*4/3))*0.341),((P3+(((TODAY()-E3)^0.5)/(336^0.5))+(LOG(J3)*4/3))*0.21)+((O3+(((TODAY()-E3)^0.5)/(336^0.5))+(LOG(J3)*4/3))*0.341))</f>
        <v>3.783587675339827</v>
      </c>
      <c r="BC3" s="37">
        <f ca="1">BA3/2</f>
        <v>0.96277466593555017</v>
      </c>
      <c r="BD3" s="37">
        <f ca="1">IF(TODAY()-E3&gt;335,((L3+1+(LOG(J3)*4/3))*0.291),((L3+(((TODAY()-E3)^0.5)/(336^0.5))+(LOG(J3)*4/3))*0.291))</f>
        <v>2.2147622749979847</v>
      </c>
      <c r="BE3" s="37">
        <f ca="1">IF(TODAY()-E3&gt;335,((L3+1+(LOG(J3)*4/3))*0.348),((L3+(((TODAY()-E3)^0.5)/(336^0.5))+(LOG(J3)*4/3))*0.348))</f>
        <v>2.6485816896883114</v>
      </c>
      <c r="BF3" s="37">
        <f ca="1">IF(TODAY()-E3&gt;335,((M3+1+(LOG(J3)*4/3))*0.881),((M3+(((TODAY()-E3)^0.5)/(336^0.5))+(LOG(J3)*4/3))*0.881))</f>
        <v>2.3001737603890877</v>
      </c>
      <c r="BG3" s="37">
        <f ca="1">IF(TODAY()-E3&gt;335,((N3+1+(LOG(J3)*4/3))*0.574)+((O3+1+(LOG(J3)*4/3))*0.315),((N3+(((TODAY()-E3)^0.5)/(336^0.5))+(LOG(J3)*4/3))*0.574)+((O3+(((TODAY()-E3)^0.5)/(336^0.5))+(LOG(J3)*4/3))*0.315))</f>
        <v>5.6180606957842212</v>
      </c>
      <c r="BH3" s="37">
        <f ca="1">IF(TODAY()-E3&gt;335,((O3+1+(LOG(J3)*4/3))*0.241),((O3+(((TODAY()-E3)^0.5)/(336^0.5))+(LOG(J3)*4/3))*0.241))</f>
        <v>1.8342189287783999</v>
      </c>
      <c r="BI3" s="37">
        <f ca="1">IF(TODAY()-E3&gt;335,((L3+1+(LOG(J3)*4/3))*0.485),((L3+(((TODAY()-E3)^0.5)/(336^0.5))+(LOG(J3)*4/3))*0.485))</f>
        <v>3.6912704583299747</v>
      </c>
      <c r="BJ3" s="37">
        <f ca="1">IF(TODAY()-E3&gt;335,((L3+1+(LOG(J3)*4/3))*0.264),((L3+(((TODAY()-E3)^0.5)/(336^0.5))+(LOG(J3)*4/3))*0.264))</f>
        <v>2.0092688680394089</v>
      </c>
      <c r="BK3" s="37">
        <f ca="1">IF(TODAY()-E3&gt;335,((M3+1+(LOG(J3)*4/3))*0.381),((M3+(((TODAY()-E3)^0.5)/(336^0.5))+(LOG(J3)*4/3))*0.381))</f>
        <v>0.99474029819323784</v>
      </c>
      <c r="BL3" s="37">
        <f ca="1">IF(TODAY()-E3&gt;335,((N3+1+(LOG(J3)*4/3))*0.673)+((O3+1+(LOG(J3)*4/3))*0.201),((N3+(((TODAY()-E3)^0.5)/(336^0.5))+(LOG(J3)*4/3))*0.673)+((O3+(((TODAY()-E3)^0.5)/(336^0.5))+(LOG(J3)*4/3))*0.201))</f>
        <v>5.3058976919183465</v>
      </c>
      <c r="BM3" s="37">
        <f ca="1">IF(TODAY()-E3&gt;335,((O3+1+(LOG(J3)*4/3))*0.052),((O3+(((TODAY()-E3)^0.5)/(336^0.5))+(LOG(J3)*4/3))*0.052))</f>
        <v>0.39576508006836841</v>
      </c>
      <c r="BN3" s="37">
        <f ca="1">IF(TODAY()-E3&gt;335,((L3+1+(LOG(J3)*4/3))*0.18),((L3+(((TODAY()-E3)^0.5)/(336^0.5))+(LOG(J3)*4/3))*0.18))</f>
        <v>1.3699560463905061</v>
      </c>
      <c r="BO3" s="37">
        <f ca="1">IF(TODAY()-E3&gt;335,((L3+1+(LOG(J3)*4/3))*0.068),((L3+(((TODAY()-E3)^0.5)/(336^0.5))+(LOG(J3)*4/3))*0.068))</f>
        <v>0.51753895085863566</v>
      </c>
      <c r="BP3" s="37">
        <f ca="1">IF(TODAY()-E3&gt;335,((M3+1+(LOG(J3)*4/3))*0.305),((M3+(((TODAY()-E3)^0.5)/(336^0.5))+(LOG(J3)*4/3))*0.305))</f>
        <v>0.7963144119394685</v>
      </c>
      <c r="BQ3" s="37">
        <f ca="1">IF(TODAY()-E3&gt;335,((N3+1+(LOG(J3)*4/3))*1)+((O3+1+(LOG(J3)*4/3))*0.286),((N3+(((TODAY()-E3)^0.5)/(336^0.5))+(LOG(J3)*4/3))*1)+((O3+(((TODAY()-E3)^0.5)/(336^0.5))+(LOG(J3)*4/3))*0.286))</f>
        <v>7.787574864767727</v>
      </c>
      <c r="BR3" s="37">
        <f ca="1">IF(TODAY()-E3&gt;335,((O3+1+(LOG(J3)*4/3))*0.135),((O3+(((TODAY()-E3)^0.5)/(336^0.5))+(LOG(J3)*4/3))*0.135))</f>
        <v>1.0274670347928796</v>
      </c>
      <c r="BS3" s="37">
        <f ca="1">IF(TODAY()-E3&gt;335,((L3+1+(LOG(J3)*4/3))*0.284),((L3+(((TODAY()-E3)^0.5)/(336^0.5))+(LOG(J3)*4/3))*0.284))</f>
        <v>2.1614862065272429</v>
      </c>
      <c r="BT3" s="37">
        <f ca="1">IF(TODAY()-E3&gt;335,((L3+1+(LOG(J3)*4/3))*0.244),((L3+(((TODAY()-E3)^0.5)/(336^0.5))+(LOG(J3)*4/3))*0.244))</f>
        <v>1.8570515295515748</v>
      </c>
      <c r="BU3" s="37">
        <f ca="1">IF(TODAY()-E3&gt;335,((M3+1+(LOG(J3)*4/3))*0.631),((M3+(((TODAY()-E3)^0.5)/(336^0.5))+(LOG(J3)*4/3))*0.631))</f>
        <v>1.6474570292911628</v>
      </c>
      <c r="BV3" s="37">
        <f ca="1">IF(TODAY()-E3&gt;335,((N3+1+(LOG(J3)*4/3))*0.702)+((O3+1+(LOG(J3)*4/3))*0.193),((N3+(((TODAY()-E3)^0.5)/(336^0.5))+(LOG(J3)*4/3))*0.702)+((O3+(((TODAY()-E3)^0.5)/(336^0.5))+(LOG(J3)*4/3))*0.193))</f>
        <v>5.4077258973305717</v>
      </c>
      <c r="BW3" s="37">
        <f ca="1">IF(TODAY()-E3&gt;335,((O3+1+(LOG(J3)*4/3))*0.148),((O3+(((TODAY()-E3)^0.5)/(336^0.5))+(LOG(J3)*4/3))*0.148))</f>
        <v>1.1264083048099716</v>
      </c>
      <c r="BX3" s="37">
        <f ca="1">IF(TODAY()-E3&gt;335,((M3+1+(LOG(J3)*4/3))*0.406),((M3+(((TODAY()-E3)^0.5)/(336^0.5))+(LOG(J3)*4/3))*0.406))</f>
        <v>1.0600119713030303</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3.4293092866556951</v>
      </c>
      <c r="BZ3" s="37">
        <f ca="1">IF(D3="TEC",IF(TODAY()-E3&gt;335,((O3+1+(LOG(J3)*4/3))*0.543)+((P3+1+(LOG(J3)*4/3))*0.583),((O3+(((TODAY()-E3)^0.5)/(336^0.5))+(LOG(J3)*4/3))*0.543)+((P3+(((TODAY()-E3)^0.5)/(336^0.5))+(LOG(J3)*4/3))*0.583)),IF(TODAY()-E3&gt;335,((O3+1+(LOG(J3)*4/3))*0.543)+((P3+1+(LOG(J3)*4/3))*0.583),((O3+(((TODAY()-E3)^0.5)/(336^0.5))+(LOG(J3)*4/3))*0.543)+((P3+(((TODAY()-E3)^0.5)/(336^0.5))+(LOG(J3)*4/3))*0.583)))</f>
        <v>7.4315980616269597</v>
      </c>
      <c r="CA3" s="37">
        <f ca="1">BY3</f>
        <v>3.4293092866556951</v>
      </c>
      <c r="CB3" s="37">
        <f ca="1">IF(TODAY()-E3&gt;335,((P3+1+(LOG(J3)*4/3))*0.26)+((N3+1+(LOG(J3)*4/3))*0.221)+((O3+1+(LOG(J3)*4/3))*0.142),((P3+(((TODAY()-E3)^0.5)/(336^0.5))+(LOG(J3)*4/3))*0.26)+((N3+(((TODAY()-E3)^0.5)/(336^0.5))+(LOG(J3)*4/3))*0.221)+((P3+(((TODAY()-E3)^0.5)/(336^0.5))+(LOG(J3)*4/3))*0.142))</f>
        <v>3.514712951038887</v>
      </c>
      <c r="CC3" s="37">
        <f ca="1">IF(TODAY()-E3&gt;335,((P3+1+(LOG(J3)*4/3))*1)+((O3+1+(LOG(J3)*4/3))*0.369),((P3+(((TODAY()-E3)^0.5)/(336^0.5))+(LOG(J3)*4/3))*1)+((O3+(((TODAY()-E3)^0.5)/(336^0.5))+(LOG(J3)*4/3))*0.369))</f>
        <v>8.4668958671112851</v>
      </c>
      <c r="CD3" s="37">
        <f ca="1">CB3</f>
        <v>3.514712951038887</v>
      </c>
      <c r="CE3" s="37">
        <f ca="1">IF(TODAY()-E3&gt;335,((M3+1+(LOG(J3)*4/3))*0.25),((M3+(((TODAY()-E3)^0.5)/(336^0.5))+(LOG(J3)*4/3))*0.25))</f>
        <v>0.65271673109792505</v>
      </c>
    </row>
    <row r="4" spans="1:83" x14ac:dyDescent="0.25">
      <c r="A4" t="str">
        <f>PLANTILLA!D5</f>
        <v>Marc Dolz</v>
      </c>
      <c r="B4">
        <f>PLANTILLA!E5</f>
        <v>17</v>
      </c>
      <c r="C4" s="33">
        <f ca="1">PLANTILLA!F5</f>
        <v>66</v>
      </c>
      <c r="D4" s="220" t="str">
        <f>PLANTILLA!G5</f>
        <v>POT</v>
      </c>
      <c r="E4" s="30">
        <f>PLANTILLA!M5</f>
        <v>43046</v>
      </c>
      <c r="F4" s="47">
        <f>PLANTILLA!Q5</f>
        <v>6</v>
      </c>
      <c r="G4" s="48">
        <f t="shared" ref="G4:G20" si="1">(F4/7)^0.5</f>
        <v>0.92582009977255142</v>
      </c>
      <c r="H4" s="48">
        <f t="shared" ref="H4:H20" si="2">IF(F4=7,1,((F4+0.99)/7)^0.5)</f>
        <v>0.99928545900129484</v>
      </c>
      <c r="I4" s="51">
        <f t="shared" ref="I4:I20" ca="1" si="3">IF(TODAY()-E4&gt;335,1,((TODAY()-E4)^0.5)/336^0.5)</f>
        <v>0.41904085492376286</v>
      </c>
      <c r="J4" s="39">
        <f>PLANTILLA!I5</f>
        <v>1</v>
      </c>
      <c r="K4" s="46">
        <f>PLANTILLA!X5</f>
        <v>0</v>
      </c>
      <c r="L4" s="46">
        <f>PLANTILLA!Y5</f>
        <v>4</v>
      </c>
      <c r="M4" s="46">
        <f>PLANTILLA!Z5</f>
        <v>4</v>
      </c>
      <c r="N4" s="46">
        <f>PLANTILLA!AA5</f>
        <v>3</v>
      </c>
      <c r="O4" s="46">
        <f>PLANTILLA!AB5</f>
        <v>4.2526666666666664</v>
      </c>
      <c r="P4" s="46">
        <f>PLANTILLA!AC5</f>
        <v>3.0666666666666669</v>
      </c>
      <c r="Q4" s="46">
        <f>PLANTILLA!AD5</f>
        <v>0.4</v>
      </c>
      <c r="R4" s="46">
        <f t="shared" ref="R4:R5" si="4">((2*(O4+1))+(L4+1))/8</f>
        <v>1.9381666666666666</v>
      </c>
      <c r="S4" s="46">
        <f t="shared" ref="S4:S5" si="5">(0.5*P4+ 0.3*Q4)/10</f>
        <v>0.16533333333333333</v>
      </c>
      <c r="T4" s="46">
        <f t="shared" ref="T4:T5" si="6">(0.4*L4+0.3*Q4)/10</f>
        <v>0.17200000000000001</v>
      </c>
      <c r="U4" s="46">
        <f t="shared" ref="U4:U5" ca="1" si="7">IF(TODAY()-E4&gt;335,(Q4+1+(LOG(J4)*4/3))*(F4/7)^0.5,(Q4+((TODAY()-E4)^0.5)/(336^0.5)+(LOG(J4)*4/3))*(F4/7)^0.5)</f>
        <v>0.758284486023314</v>
      </c>
      <c r="V4" s="46">
        <f t="shared" ref="V4:V5" ca="1" si="8">IF(F4=7,U4,IF(TODAY()-E4&gt;335,(Q4+1+(LOG(J4)*4/3))*((F4+0.99)/7)^0.5,(Q4+((TODAY()-E4)^0.5)/(336^0.5)+(LOG(J4)*4/3))*((F4+0.99)/7)^0.5))</f>
        <v>0.81845561665330535</v>
      </c>
      <c r="W4" s="37">
        <f t="shared" ref="W4:W5" ca="1" si="9">IF(TODAY()-E4&gt;335,((K4+1+(LOG(J4)*4/3))*0.597)+((L4+1+(LOG(J4)*4/3))*0.276),((K4+(((TODAY()-E4)^0.5)/(336^0.5))+(LOG(J4)*4/3))*0.597)+((L4+(((TODAY()-E4)^0.5)/(336^0.5))+(LOG(J4)*4/3))*0.276))</f>
        <v>1.4698226663484451</v>
      </c>
      <c r="X4" s="37">
        <f t="shared" ref="X4:X5" ca="1" si="10">IF(TODAY()-E4&gt;335,((K4+1+(LOG(J4)*4/3))*0.866)+((L4+1+(LOG(J4)*4/3))*0.425),((K4+(((TODAY()-E4)^0.5)/(336^0.5))+(LOG(J4)*4/3))*0.866)+((L4+(((TODAY()-E4)^0.5)/(336^0.5))+(LOG(J4)*4/3))*0.425))</f>
        <v>2.2409817437065778</v>
      </c>
      <c r="Y4" s="37">
        <f t="shared" ref="Y4:Y5" ca="1" si="11">W4</f>
        <v>1.4698226663484451</v>
      </c>
      <c r="Z4" s="37">
        <f t="shared" ref="Z4:Z5" ca="1" si="12">IF(TODAY()-E4&gt;335,((L4+1+(LOG(J4)*4/3))*0.516),((L4+(((TODAY()-E4)^0.5)/(336^0.516))+(LOG(J4)*4/3))*0.516))</f>
        <v>2.2610083530077008</v>
      </c>
      <c r="AA4" s="37">
        <f t="shared" ref="AA4:AA5" ca="1" si="13">IF(TODAY()-E4&gt;335,((L4+1+(LOG(J4)*4/3))*1),((L4+(((TODAY()-E4)^0.5)/(336^0.5))+(LOG(J4)*4/3))*1))</f>
        <v>4.4190408549237628</v>
      </c>
      <c r="AB4" s="37">
        <f t="shared" ref="AB4:AB5" ca="1" si="14">Z4/2</f>
        <v>1.1305041765038504</v>
      </c>
      <c r="AC4" s="37">
        <f t="shared" ref="AC4:AC5" ca="1" si="15">IF(TODAY()-E4&gt;335,((M4+1+(LOG(J4)*4/3))*0.238),((M4+(((TODAY()-E4)^0.5)/(336^0.238))+(LOG(J4)*4/3))*0.238))</f>
        <v>1.4098615929084684</v>
      </c>
      <c r="AD4" s="37">
        <f t="shared" ref="AD4:AD5" ca="1" si="16">IF(TODAY()-E4&gt;335,((L4+1+(LOG(J4)*4/3))*0.378),((L4+(((TODAY()-E4)^0.5)/(336^0.516))+(LOG(J4)*4/3))*0.378))</f>
        <v>1.656320072552153</v>
      </c>
      <c r="AE4" s="37">
        <f t="shared" ref="AE4:AE5" ca="1" si="17">IF(TODAY()-E4&gt;335,((L4+1+(LOG(J4)*4/3))*0.723),((L4+(((TODAY()-E4)^0.5)/(336^0.5))+(LOG(J4)*4/3))*0.723))</f>
        <v>3.1949665381098802</v>
      </c>
      <c r="AF4" s="37">
        <f t="shared" ref="AF4:AF5" ca="1" si="18">AD4/2</f>
        <v>0.82816003627607648</v>
      </c>
      <c r="AG4" s="37">
        <f t="shared" ref="AG4:AG5" ca="1" si="19">IF(TODAY()-E4&gt;335,((M4+1+(LOG(J4)*4/3))*0.385),((M4+(((TODAY()-E4)^0.5)/(336^0.238))+(LOG(J4)*4/3))*0.385))</f>
        <v>2.2806584591166401</v>
      </c>
      <c r="AH4" s="37">
        <f t="shared" ref="AH4:AH5" ca="1" si="20">IF(TODAY()-E4&gt;335,((L4+1+(LOG(J4)*4/3))*0.92),((L4+(((TODAY()-E4)^0.5)/(336^0.5))+(LOG(J4)*4/3))*0.92))</f>
        <v>4.0655175865298618</v>
      </c>
      <c r="AI4" s="37">
        <f t="shared" ref="AI4:AI5" ca="1" si="21">IF(TODAY()-E4&gt;335,((L4+1+(LOG(J4)*4/3))*0.414),((L4+(((TODAY()-E4)^0.5)/(336^0.414))+(LOG(J4)*4/3))*0.414))</f>
        <v>1.9421026537320973</v>
      </c>
      <c r="AJ4" s="37">
        <f t="shared" ref="AJ4:AJ5" ca="1" si="22">IF(TODAY()-E4&gt;335,((M4+1+(LOG(J4)*4/3))*0.167),((M4+(((TODAY()-E4)^0.5)/(336^0.5))+(LOG(J4)*4/3))*0.167))</f>
        <v>0.73797982277226837</v>
      </c>
      <c r="AK4" s="37">
        <f t="shared" ref="AK4:AK5" ca="1" si="23">IF(TODAY()-E4&gt;335,((N4+1+(LOG(J4)*4/3))*0.588),((N4+(((TODAY()-E4)^0.5)/(336^0.5))+(LOG(J4)*4/3))*0.588))</f>
        <v>2.0103960226951725</v>
      </c>
      <c r="AL4" s="37">
        <f t="shared" ref="AL4:AL5" ca="1" si="24">IF(TODAY()-E4&gt;335,((L4+1+(LOG(J4)*4/3))*0.754),((L4+(((TODAY()-E4)^0.5)/(336^0.5))+(LOG(J4)*4/3))*0.754))</f>
        <v>3.331956804612517</v>
      </c>
      <c r="AM4" s="37">
        <f t="shared" ref="AM4:AM5" ca="1" si="25">IF(TODAY()-E4&gt;335,((L4+1+(LOG(J4)*4/3))*0.708),((L4+(((TODAY()-E4)^0.5)/(336^0.414))+(LOG(J4)*4/3))*0.708))</f>
        <v>3.3212770020346012</v>
      </c>
      <c r="AN4" s="37">
        <f t="shared" ref="AN4:AN5" ca="1" si="26">IF(TODAY()-E4&gt;335,((Q4+1+(LOG(J4)*4/3))*0.167),((Q4+(((TODAY()-E4)^0.5)/(336^0.5))+(LOG(J4)*4/3))*0.167))</f>
        <v>0.13677982277226841</v>
      </c>
      <c r="AO4" s="37">
        <f t="shared" ref="AO4:AO5" ca="1" si="27">IF(TODAY()-E4&gt;335,((R4+1+(LOG(J4)*4/3))*0.288),((R4+(((TODAY()-E4)^0.5)/(336^0.5))+(LOG(J4)*4/3))*0.288))</f>
        <v>0.67887576621804357</v>
      </c>
      <c r="AP4" s="37">
        <f t="shared" ref="AP4:AP5" ca="1" si="28">IF(TODAY()-E4&gt;335,((L4+1+(LOG(J4)*4/3))*0.27),((L4+(((TODAY()-E4)^0.5)/(336^0.5))+(LOG(J4)*4/3))*0.27))</f>
        <v>1.1931410308294159</v>
      </c>
      <c r="AQ4" s="37">
        <f t="shared" ref="AQ4:AQ5" ca="1" si="29">IF(TODAY()-E4&gt;335,((L4+1+(LOG(J4)*4/3))*0.594),((L4+(((TODAY()-E4)^0.5)/(336^0.5))+(LOG(J4)*4/3))*0.594))</f>
        <v>2.6249102678247151</v>
      </c>
      <c r="AR4" s="37">
        <f t="shared" ref="AR4:AR5" ca="1" si="30">AP4/2</f>
        <v>0.59657051541470796</v>
      </c>
      <c r="AS4" s="37">
        <f t="shared" ref="AS4:AS5" ca="1" si="31">IF(TODAY()-E4&gt;335,((M4+1+(LOG(J4)*4/3))*0.944),((M4+(((TODAY()-E4)^0.5)/(336^0.5))+(LOG(J4)*4/3))*0.944))</f>
        <v>4.1715745670480322</v>
      </c>
      <c r="AT4" s="37">
        <f t="shared" ref="AT4:AT5" ca="1" si="32">IF(TODAY()-E4&gt;335,((O4+1+(LOG(J4)*4/3))*0.13),((O4+(((TODAY()-E4)^0.5)/(336^0.5))+(LOG(J4)*4/3))*0.13))</f>
        <v>0.60732197780675579</v>
      </c>
      <c r="AU4" s="37">
        <f t="shared" ref="AU4:AU5" ca="1" si="33">IF(TODAY()-E4&gt;335,((P4+1+(LOG(J4)*4/3))*0.173)+((O4+1+(LOG(J4)*4/3))*0.12),((P4+(((TODAY()-E4)^0.5)/(336^0.5))+(LOG(J4)*4/3))*0.173)+((O4+(((TODAY()-E4)^0.5)/(336^0.5))+(LOG(J4)*4/3))*0.12))</f>
        <v>1.1636323038259957</v>
      </c>
      <c r="AV4" s="37">
        <f t="shared" ref="AV4:AV5" ca="1" si="34">AT4/2</f>
        <v>0.30366098890337789</v>
      </c>
      <c r="AW4" s="37">
        <f t="shared" ref="AW4:AW5" ca="1" si="35">IF(TODAY()-E4&gt;335,((L4+1+(LOG(J4)*4/3))*0.189),((L4+(((TODAY()-E4)^0.5)/(336^0.5))+(LOG(J4)*4/3))*0.189))</f>
        <v>0.83519872158059116</v>
      </c>
      <c r="AX4" s="37">
        <f t="shared" ref="AX4:AX5" ca="1" si="36">IF(TODAY()-E4&gt;335,((L4+1+(LOG(J4)*4/3))*0.4),((L4+(((TODAY()-E4)^0.5)/(336^0.5))+(LOG(J4)*4/3))*0.4))</f>
        <v>1.7676163419695052</v>
      </c>
      <c r="AY4" s="37">
        <f t="shared" ref="AY4:AY5" ca="1" si="37">AW4/2</f>
        <v>0.41759936079029558</v>
      </c>
      <c r="AZ4" s="37">
        <f t="shared" ref="AZ4:AZ5" ca="1" si="38">IF(TODAY()-E4&gt;335,((M4+1+(LOG(J4)*4/3))*1),((M4+(((TODAY()-E4)^0.5)/(336^0.5))+(LOG(J4)*4/3))*1))</f>
        <v>4.4190408549237628</v>
      </c>
      <c r="BA4" s="37">
        <f t="shared" ref="BA4:BA5" ca="1" si="39">IF(TODAY()-E4&gt;335,((O4+1+(LOG(J4)*4/3))*0.253),((O4+(((TODAY()-E4)^0.5)/(336^0.5))+(LOG(J4)*4/3))*0.253))</f>
        <v>1.1819420029623786</v>
      </c>
      <c r="BB4" s="37">
        <f t="shared" ref="BB4:BB5" ca="1" si="40">IF(TODAY()-E4&gt;335,((P4+1+(LOG(J4)*4/3))*0.21)+((O4+1+(LOG(J4)*4/3))*0.341),((P4+(((TODAY()-E4)^0.5)/(336^0.5))+(LOG(J4)*4/3))*0.21)+((O4+(((TODAY()-E4)^0.5)/(336^0.5))+(LOG(J4)*4/3))*0.341))</f>
        <v>2.3250508443963267</v>
      </c>
      <c r="BC4" s="37">
        <f t="shared" ref="BC4:BC5" ca="1" si="41">BA4/2</f>
        <v>0.59097100148118931</v>
      </c>
      <c r="BD4" s="37">
        <f t="shared" ref="BD4:BD5" ca="1" si="42">IF(TODAY()-E4&gt;335,((L4+1+(LOG(J4)*4/3))*0.291),((L4+(((TODAY()-E4)^0.5)/(336^0.5))+(LOG(J4)*4/3))*0.291))</f>
        <v>1.285940888782815</v>
      </c>
      <c r="BE4" s="37">
        <f t="shared" ref="BE4:BE5" ca="1" si="43">IF(TODAY()-E4&gt;335,((L4+1+(LOG(J4)*4/3))*0.348),((L4+(((TODAY()-E4)^0.5)/(336^0.5))+(LOG(J4)*4/3))*0.348))</f>
        <v>1.5378262175134694</v>
      </c>
      <c r="BF4" s="37">
        <f t="shared" ref="BF4:BF5" ca="1" si="44">IF(TODAY()-E4&gt;335,((M4+1+(LOG(J4)*4/3))*0.881),((M4+(((TODAY()-E4)^0.5)/(336^0.5))+(LOG(J4)*4/3))*0.881))</f>
        <v>3.8931749931878352</v>
      </c>
      <c r="BG4" s="37">
        <f t="shared" ref="BG4:BG5" ca="1" si="45">IF(TODAY()-E4&gt;335,((N4+1+(LOG(J4)*4/3))*0.574)+((O4+1+(LOG(J4)*4/3))*0.315),((N4+(((TODAY()-E4)^0.5)/(336^0.5))+(LOG(J4)*4/3))*0.574)+((O4+(((TODAY()-E4)^0.5)/(336^0.5))+(LOG(J4)*4/3))*0.315))</f>
        <v>3.4341173200272248</v>
      </c>
      <c r="BH4" s="37">
        <f t="shared" ref="BH4:BH5" ca="1" si="46">IF(TODAY()-E4&gt;335,((O4+1+(LOG(J4)*4/3))*0.241),((O4+(((TODAY()-E4)^0.5)/(336^0.5))+(LOG(J4)*4/3))*0.241))</f>
        <v>1.1258815127032933</v>
      </c>
      <c r="BI4" s="37">
        <f t="shared" ref="BI4:BI5" ca="1" si="47">IF(TODAY()-E4&gt;335,((L4+1+(LOG(J4)*4/3))*0.485),((L4+(((TODAY()-E4)^0.5)/(336^0.5))+(LOG(J4)*4/3))*0.485))</f>
        <v>2.1432348146380247</v>
      </c>
      <c r="BJ4" s="37">
        <f t="shared" ref="BJ4:BJ5" ca="1" si="48">IF(TODAY()-E4&gt;335,((L4+1+(LOG(J4)*4/3))*0.264),((L4+(((TODAY()-E4)^0.5)/(336^0.5))+(LOG(J4)*4/3))*0.264))</f>
        <v>1.1666267856998733</v>
      </c>
      <c r="BK4" s="37">
        <f t="shared" ref="BK4:BK5" ca="1" si="49">IF(TODAY()-E4&gt;335,((M4+1+(LOG(J4)*4/3))*0.381),((M4+(((TODAY()-E4)^0.5)/(336^0.5))+(LOG(J4)*4/3))*0.381))</f>
        <v>1.6836545657259536</v>
      </c>
      <c r="BL4" s="37">
        <f t="shared" ref="BL4:BL5" ca="1" si="50">IF(TODAY()-E4&gt;335,((N4+1+(LOG(J4)*4/3))*0.673)+((O4+1+(LOG(J4)*4/3))*0.201),((N4+(((TODAY()-E4)^0.5)/(336^0.5))+(LOG(J4)*4/3))*0.673)+((O4+(((TODAY()-E4)^0.5)/(336^0.5))+(LOG(J4)*4/3))*0.201))</f>
        <v>3.2400277072033692</v>
      </c>
      <c r="BM4" s="37">
        <f t="shared" ref="BM4:BM5" ca="1" si="51">IF(TODAY()-E4&gt;335,((O4+1+(LOG(J4)*4/3))*0.052),((O4+(((TODAY()-E4)^0.5)/(336^0.5))+(LOG(J4)*4/3))*0.052))</f>
        <v>0.2429287911227023</v>
      </c>
      <c r="BN4" s="37">
        <f t="shared" ref="BN4:BN5" ca="1" si="52">IF(TODAY()-E4&gt;335,((L4+1+(LOG(J4)*4/3))*0.18),((L4+(((TODAY()-E4)^0.5)/(336^0.5))+(LOG(J4)*4/3))*0.18))</f>
        <v>0.79542735388627728</v>
      </c>
      <c r="BO4" s="37">
        <f t="shared" ref="BO4:BO5" ca="1" si="53">IF(TODAY()-E4&gt;335,((L4+1+(LOG(J4)*4/3))*0.068),((L4+(((TODAY()-E4)^0.5)/(336^0.5))+(LOG(J4)*4/3))*0.068))</f>
        <v>0.3004947781348159</v>
      </c>
      <c r="BP4" s="37">
        <f t="shared" ref="BP4:BP5" ca="1" si="54">IF(TODAY()-E4&gt;335,((M4+1+(LOG(J4)*4/3))*0.305),((M4+(((TODAY()-E4)^0.5)/(336^0.5))+(LOG(J4)*4/3))*0.305))</f>
        <v>1.3478074607517476</v>
      </c>
      <c r="BQ4" s="37">
        <f t="shared" ref="BQ4:BQ5" ca="1" si="55">IF(TODAY()-E4&gt;335,((N4+1+(LOG(J4)*4/3))*1)+((O4+1+(LOG(J4)*4/3))*0.286),((N4+(((TODAY()-E4)^0.5)/(336^0.5))+(LOG(J4)*4/3))*1)+((O4+(((TODAY()-E4)^0.5)/(336^0.5))+(LOG(J4)*4/3))*0.286))</f>
        <v>4.7551492060986256</v>
      </c>
      <c r="BR4" s="37">
        <f t="shared" ref="BR4:BR5" ca="1" si="56">IF(TODAY()-E4&gt;335,((O4+1+(LOG(J4)*4/3))*0.135),((O4+(((TODAY()-E4)^0.5)/(336^0.5))+(LOG(J4)*4/3))*0.135))</f>
        <v>0.63068051541470793</v>
      </c>
      <c r="BS4" s="37">
        <f t="shared" ref="BS4:BS5" ca="1" si="57">IF(TODAY()-E4&gt;335,((L4+1+(LOG(J4)*4/3))*0.284),((L4+(((TODAY()-E4)^0.5)/(336^0.5))+(LOG(J4)*4/3))*0.284))</f>
        <v>1.2550076027983486</v>
      </c>
      <c r="BT4" s="37">
        <f t="shared" ref="BT4:BT5" ca="1" si="58">IF(TODAY()-E4&gt;335,((L4+1+(LOG(J4)*4/3))*0.244),((L4+(((TODAY()-E4)^0.5)/(336^0.5))+(LOG(J4)*4/3))*0.244))</f>
        <v>1.0782459686013981</v>
      </c>
      <c r="BU4" s="37">
        <f t="shared" ref="BU4:BU5" ca="1" si="59">IF(TODAY()-E4&gt;335,((M4+1+(LOG(J4)*4/3))*0.631),((M4+(((TODAY()-E4)^0.5)/(336^0.5))+(LOG(J4)*4/3))*0.631))</f>
        <v>2.7884147794568945</v>
      </c>
      <c r="BV4" s="37">
        <f t="shared" ref="BV4:BV5" ca="1" si="60">IF(TODAY()-E4&gt;335,((N4+1+(LOG(J4)*4/3))*0.702)+((O4+1+(LOG(J4)*4/3))*0.193),((N4+(((TODAY()-E4)^0.5)/(336^0.5))+(LOG(J4)*4/3))*0.702)+((O4+(((TODAY()-E4)^0.5)/(336^0.5))+(LOG(J4)*4/3))*0.193))</f>
        <v>3.3018062318234342</v>
      </c>
      <c r="BW4" s="37">
        <f t="shared" ref="BW4:BW5" ca="1" si="61">IF(TODAY()-E4&gt;335,((O4+1+(LOG(J4)*4/3))*0.148),((O4+(((TODAY()-E4)^0.5)/(336^0.5))+(LOG(J4)*4/3))*0.148))</f>
        <v>0.69141271319538344</v>
      </c>
      <c r="BX4" s="37">
        <f t="shared" ref="BX4:BX5" ca="1" si="62">IF(TODAY()-E4&gt;335,((M4+1+(LOG(J4)*4/3))*0.406),((M4+(((TODAY()-E4)^0.5)/(336^0.5))+(LOG(J4)*4/3))*0.406))</f>
        <v>1.7941305870990478</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2.1029536187486135</v>
      </c>
      <c r="BZ4" s="37">
        <f t="shared" ref="BZ4:BZ5" ca="1" si="64">IF(D4="TEC",IF(TODAY()-E4&gt;335,((O4+1+(LOG(J4)*4/3))*0.543)+((P4+1+(LOG(J4)*4/3))*0.583),((O4+(((TODAY()-E4)^0.5)/(336^0.5))+(LOG(J4)*4/3))*0.543)+((P4+(((TODAY()-E4)^0.5)/(336^0.5))+(LOG(J4)*4/3))*0.583)),IF(TODAY()-E4&gt;335,((O4+1+(LOG(J4)*4/3))*0.543)+((P4+1+(LOG(J4)*4/3))*0.583),((O4+(((TODAY()-E4)^0.5)/(336^0.5))+(LOG(J4)*4/3))*0.543)+((P4+(((TODAY()-E4)^0.5)/(336^0.5))+(LOG(J4)*4/3))*0.583)))</f>
        <v>4.5689046693108235</v>
      </c>
      <c r="CA4" s="37">
        <f t="shared" ref="CA4:CA5" ca="1" si="65">BY4</f>
        <v>2.1029536187486135</v>
      </c>
      <c r="CB4" s="37">
        <f t="shared" ref="CB4:CB5" ca="1" si="66">IF(TODAY()-E4&gt;335,((P4+1+(LOG(J4)*4/3))*0.26)+((N4+1+(LOG(J4)*4/3))*0.221)+((O4+1+(LOG(J4)*4/3))*0.142),((P4+(((TODAY()-E4)^0.5)/(336^0.5))+(LOG(J4)*4/3))*0.26)+((N4+(((TODAY()-E4)^0.5)/(336^0.5))+(LOG(J4)*4/3))*0.221)+((P4+(((TODAY()-E4)^0.5)/(336^0.5))+(LOG(J4)*4/3))*0.142))</f>
        <v>2.1568624526175042</v>
      </c>
      <c r="CC4" s="37">
        <f t="shared" ref="CC4:CC5" ca="1" si="67">IF(TODAY()-E4&gt;335,((P4+1+(LOG(J4)*4/3))*1)+((O4+1+(LOG(J4)*4/3))*0.369),((P4+(((TODAY()-E4)^0.5)/(336^0.5))+(LOG(J4)*4/3))*1)+((O4+(((TODAY()-E4)^0.5)/(336^0.5))+(LOG(J4)*4/3))*0.369))</f>
        <v>5.2095675970572977</v>
      </c>
      <c r="CD4" s="37">
        <f t="shared" ref="CD4:CD5" ca="1" si="68">CB4</f>
        <v>2.1568624526175042</v>
      </c>
      <c r="CE4" s="37">
        <f t="shared" ref="CE4:CE5" ca="1" si="69">IF(TODAY()-E4&gt;335,((M4+1+(LOG(J4)*4/3))*0.25),((M4+(((TODAY()-E4)^0.5)/(336^0.5))+(LOG(J4)*4/3))*0.25))</f>
        <v>1.1047602137309407</v>
      </c>
    </row>
    <row r="5" spans="1:83" x14ac:dyDescent="0.25">
      <c r="A5" t="str">
        <f>PLANTILLA!D6</f>
        <v>Manuel Parejo</v>
      </c>
      <c r="B5">
        <f>PLANTILLA!E6</f>
        <v>17</v>
      </c>
      <c r="C5" s="33">
        <f ca="1">PLANTILLA!F6</f>
        <v>13</v>
      </c>
      <c r="D5" s="220">
        <f>PLANTILLA!G6</f>
        <v>0</v>
      </c>
      <c r="E5" s="30">
        <f>PLANTILLA!M6</f>
        <v>43097</v>
      </c>
      <c r="F5" s="47">
        <f>PLANTILLA!Q6</f>
        <v>5</v>
      </c>
      <c r="G5" s="48">
        <f t="shared" si="1"/>
        <v>0.84515425472851657</v>
      </c>
      <c r="H5" s="48">
        <f t="shared" si="2"/>
        <v>0.92504826128926143</v>
      </c>
      <c r="I5" s="51">
        <f t="shared" ca="1" si="3"/>
        <v>0.15430334996209194</v>
      </c>
      <c r="J5" s="39">
        <f>PLANTILLA!I6</f>
        <v>1</v>
      </c>
      <c r="K5" s="46">
        <f>PLANTILLA!X6</f>
        <v>0</v>
      </c>
      <c r="L5" s="46">
        <f>PLANTILLA!Y6</f>
        <v>5</v>
      </c>
      <c r="M5" s="46">
        <f>PLANTILLA!Z6</f>
        <v>6.7</v>
      </c>
      <c r="N5" s="46">
        <f>PLANTILLA!AA6</f>
        <v>3</v>
      </c>
      <c r="O5" s="46">
        <f>PLANTILLA!AB6</f>
        <v>2</v>
      </c>
      <c r="P5" s="46">
        <f>PLANTILLA!AC6</f>
        <v>3.0666666666666669</v>
      </c>
      <c r="Q5" s="46">
        <f>PLANTILLA!AD6</f>
        <v>2</v>
      </c>
      <c r="R5" s="46">
        <f t="shared" si="4"/>
        <v>1.5</v>
      </c>
      <c r="S5" s="46">
        <f t="shared" si="5"/>
        <v>0.21333333333333332</v>
      </c>
      <c r="T5" s="46">
        <f t="shared" si="6"/>
        <v>0.26</v>
      </c>
      <c r="U5" s="46">
        <f t="shared" ca="1" si="7"/>
        <v>1.8207186421963584</v>
      </c>
      <c r="V5" s="46">
        <f t="shared" ca="1" si="8"/>
        <v>1.9928345681720643</v>
      </c>
      <c r="W5" s="37">
        <f t="shared" ca="1" si="9"/>
        <v>1.5147068245169064</v>
      </c>
      <c r="X5" s="37">
        <f t="shared" ca="1" si="10"/>
        <v>2.3242056248010603</v>
      </c>
      <c r="Y5" s="37">
        <f t="shared" ca="1" si="11"/>
        <v>1.5147068245169064</v>
      </c>
      <c r="Z5" s="37">
        <f t="shared" ca="1" si="12"/>
        <v>2.6525443557171373</v>
      </c>
      <c r="AA5" s="37">
        <f t="shared" ca="1" si="13"/>
        <v>5.1543033499620918</v>
      </c>
      <c r="AB5" s="37">
        <f t="shared" ca="1" si="14"/>
        <v>1.3262721778585687</v>
      </c>
      <c r="AC5" s="37">
        <f t="shared" ca="1" si="15"/>
        <v>1.7631983043768122</v>
      </c>
      <c r="AD5" s="37">
        <f t="shared" ca="1" si="16"/>
        <v>1.9431429582579027</v>
      </c>
      <c r="AE5" s="37">
        <f t="shared" ca="1" si="17"/>
        <v>3.7265613220225924</v>
      </c>
      <c r="AF5" s="37">
        <f t="shared" ca="1" si="18"/>
        <v>0.97157147912895137</v>
      </c>
      <c r="AG5" s="37">
        <f t="shared" ca="1" si="19"/>
        <v>2.8522325511977846</v>
      </c>
      <c r="AH5" s="37">
        <f t="shared" ca="1" si="20"/>
        <v>4.7419590819651249</v>
      </c>
      <c r="AI5" s="37">
        <f t="shared" ca="1" si="21"/>
        <v>2.1753515364556484</v>
      </c>
      <c r="AJ5" s="37">
        <f t="shared" ca="1" si="22"/>
        <v>1.1446686594436695</v>
      </c>
      <c r="AK5" s="37">
        <f t="shared" ca="1" si="23"/>
        <v>1.85473036977771</v>
      </c>
      <c r="AL5" s="37">
        <f t="shared" ca="1" si="24"/>
        <v>3.8863447258714174</v>
      </c>
      <c r="AM5" s="37">
        <f t="shared" ca="1" si="25"/>
        <v>3.7201663956777757</v>
      </c>
      <c r="AN5" s="37">
        <f t="shared" ca="1" si="26"/>
        <v>0.35976865944366937</v>
      </c>
      <c r="AO5" s="37">
        <f t="shared" ca="1" si="27"/>
        <v>0.47643936478908239</v>
      </c>
      <c r="AP5" s="37">
        <f t="shared" ca="1" si="28"/>
        <v>1.3916619044897649</v>
      </c>
      <c r="AQ5" s="37">
        <f t="shared" ca="1" si="29"/>
        <v>3.0616561898774823</v>
      </c>
      <c r="AR5" s="37">
        <f t="shared" ca="1" si="30"/>
        <v>0.69583095224488245</v>
      </c>
      <c r="AS5" s="37">
        <f t="shared" ca="1" si="31"/>
        <v>6.4704623623642146</v>
      </c>
      <c r="AT5" s="37">
        <f t="shared" ca="1" si="32"/>
        <v>0.28005943549507195</v>
      </c>
      <c r="AU5" s="37">
        <f t="shared" ca="1" si="33"/>
        <v>0.81574421487222626</v>
      </c>
      <c r="AV5" s="37">
        <f t="shared" ca="1" si="34"/>
        <v>0.14002971774753598</v>
      </c>
      <c r="AW5" s="37">
        <f t="shared" ca="1" si="35"/>
        <v>0.97416333314283532</v>
      </c>
      <c r="AX5" s="37">
        <f t="shared" ca="1" si="36"/>
        <v>2.0617213399848366</v>
      </c>
      <c r="AY5" s="37">
        <f t="shared" ca="1" si="37"/>
        <v>0.48708166657141766</v>
      </c>
      <c r="AZ5" s="37">
        <f t="shared" ca="1" si="38"/>
        <v>6.854303349962092</v>
      </c>
      <c r="BA5" s="37">
        <f t="shared" ca="1" si="39"/>
        <v>0.54503874754040926</v>
      </c>
      <c r="BB5" s="37">
        <f t="shared" ca="1" si="40"/>
        <v>1.4110211458291126</v>
      </c>
      <c r="BC5" s="37">
        <f t="shared" ca="1" si="41"/>
        <v>0.27251937377020463</v>
      </c>
      <c r="BD5" s="37">
        <f t="shared" ca="1" si="42"/>
        <v>1.4999022748389685</v>
      </c>
      <c r="BE5" s="37">
        <f t="shared" ca="1" si="43"/>
        <v>1.7936975657868077</v>
      </c>
      <c r="BF5" s="37">
        <f t="shared" ca="1" si="44"/>
        <v>6.0386412513166032</v>
      </c>
      <c r="BG5" s="37">
        <f t="shared" ca="1" si="45"/>
        <v>2.4891756781162995</v>
      </c>
      <c r="BH5" s="37">
        <f t="shared" ca="1" si="46"/>
        <v>0.51918710734086415</v>
      </c>
      <c r="BI5" s="37">
        <f t="shared" ca="1" si="47"/>
        <v>2.4998371247316147</v>
      </c>
      <c r="BJ5" s="37">
        <f t="shared" ca="1" si="48"/>
        <v>1.3607360843899923</v>
      </c>
      <c r="BK5" s="37">
        <f t="shared" ca="1" si="49"/>
        <v>2.6114895763355572</v>
      </c>
      <c r="BL5" s="37">
        <f t="shared" ca="1" si="50"/>
        <v>2.5558611278668684</v>
      </c>
      <c r="BM5" s="37">
        <f t="shared" ca="1" si="51"/>
        <v>0.11202377419802877</v>
      </c>
      <c r="BN5" s="37">
        <f t="shared" ca="1" si="52"/>
        <v>0.92777460299317649</v>
      </c>
      <c r="BO5" s="37">
        <f t="shared" ca="1" si="53"/>
        <v>0.3504926277974223</v>
      </c>
      <c r="BP5" s="37">
        <f t="shared" ca="1" si="54"/>
        <v>2.090562521738438</v>
      </c>
      <c r="BQ5" s="37">
        <f t="shared" ca="1" si="55"/>
        <v>3.77043410805125</v>
      </c>
      <c r="BR5" s="37">
        <f t="shared" ca="1" si="56"/>
        <v>0.29083095224488242</v>
      </c>
      <c r="BS5" s="37">
        <f t="shared" ca="1" si="57"/>
        <v>1.463822151389234</v>
      </c>
      <c r="BT5" s="37">
        <f t="shared" ca="1" si="58"/>
        <v>1.2576500173907503</v>
      </c>
      <c r="BU5" s="37">
        <f t="shared" ca="1" si="59"/>
        <v>4.3250654138260805</v>
      </c>
      <c r="BV5" s="37">
        <f t="shared" ca="1" si="60"/>
        <v>2.6301014982160722</v>
      </c>
      <c r="BW5" s="37">
        <f t="shared" ca="1" si="61"/>
        <v>0.31883689579438956</v>
      </c>
      <c r="BX5" s="37">
        <f t="shared" ca="1" si="62"/>
        <v>2.7828471600846094</v>
      </c>
      <c r="BY5" s="37">
        <f t="shared" ca="1" si="63"/>
        <v>1.4018587119969166</v>
      </c>
      <c r="BZ5" s="37">
        <f t="shared" ca="1" si="64"/>
        <v>3.0476122387239819</v>
      </c>
      <c r="CA5" s="37">
        <f t="shared" ca="1" si="65"/>
        <v>1.4018587119969166</v>
      </c>
      <c r="CB5" s="37">
        <f t="shared" ca="1" si="66"/>
        <v>1.9919309870263833</v>
      </c>
      <c r="CC5" s="37">
        <f t="shared" ca="1" si="67"/>
        <v>4.0159079527647705</v>
      </c>
      <c r="CD5" s="37">
        <f t="shared" ca="1" si="68"/>
        <v>1.9919309870263833</v>
      </c>
      <c r="CE5" s="37">
        <f t="shared" ca="1" si="69"/>
        <v>1.713575837490523</v>
      </c>
    </row>
    <row r="6" spans="1:83" x14ac:dyDescent="0.25">
      <c r="A6" t="str">
        <f>PLANTILLA!D7</f>
        <v>Valeri Gomis</v>
      </c>
      <c r="B6">
        <f>PLANTILLA!E7</f>
        <v>17</v>
      </c>
      <c r="C6" s="33">
        <f ca="1">PLANTILLA!F7</f>
        <v>69</v>
      </c>
      <c r="D6" s="220" t="str">
        <f>PLANTILLA!G7</f>
        <v>IMP</v>
      </c>
      <c r="E6" s="30">
        <f>PLANTILLA!M7</f>
        <v>43051</v>
      </c>
      <c r="F6" s="47">
        <f>PLANTILLA!Q7</f>
        <v>6</v>
      </c>
      <c r="G6" s="48">
        <f t="shared" si="1"/>
        <v>0.92582009977255142</v>
      </c>
      <c r="H6" s="48">
        <f t="shared" si="2"/>
        <v>0.99928545900129484</v>
      </c>
      <c r="I6" s="51">
        <f t="shared" ca="1" si="3"/>
        <v>0.40089186286863659</v>
      </c>
      <c r="J6" s="39">
        <f>PLANTILLA!I7</f>
        <v>1</v>
      </c>
      <c r="K6" s="46">
        <f>PLANTILLA!X7</f>
        <v>0</v>
      </c>
      <c r="L6" s="46">
        <f>PLANTILLA!Y7</f>
        <v>6</v>
      </c>
      <c r="M6" s="46">
        <f>PLANTILLA!Z7</f>
        <v>3</v>
      </c>
      <c r="N6" s="46">
        <f>PLANTILLA!AA7</f>
        <v>3</v>
      </c>
      <c r="O6" s="46">
        <f>PLANTILLA!AB7</f>
        <v>5.4</v>
      </c>
      <c r="P6" s="46">
        <f>PLANTILLA!AC7</f>
        <v>3.66</v>
      </c>
      <c r="Q6" s="46">
        <f>PLANTILLA!AD7</f>
        <v>3</v>
      </c>
      <c r="R6" s="46">
        <f t="shared" ref="R6:R17" si="70">((2*(O6+1))+(L6+1))/8</f>
        <v>2.4750000000000001</v>
      </c>
      <c r="S6" s="46">
        <f t="shared" ref="S6:S17" si="71">(0.5*P6+ 0.3*Q6)/10</f>
        <v>0.27300000000000002</v>
      </c>
      <c r="T6" s="46">
        <f t="shared" ref="T6:T17" si="72">(0.4*L6+0.3*Q6)/10</f>
        <v>0.33</v>
      </c>
      <c r="U6" s="46">
        <f t="shared" ref="U6:U17" ca="1" si="73">IF(TODAY()-E6&gt;335,(Q6+1+(LOG(J6)*4/3))*(F6/7)^0.5,(Q6+((TODAY()-E6)^0.5)/(336^0.5)+(LOG(J6)*4/3))*(F6/7)^0.5)</f>
        <v>3.1486140437966994</v>
      </c>
      <c r="V6" s="46">
        <f t="shared" ref="V6:V17" ca="1" si="74">IF(F6=7,U6,IF(TODAY()-E6&gt;335,(Q6+1+(LOG(J6)*4/3))*((F6+0.99)/7)^0.5,(Q6+((TODAY()-E6)^0.5)/(336^0.5)+(LOG(J6)*4/3))*((F6+0.99)/7)^0.5))</f>
        <v>3.3984617862004542</v>
      </c>
      <c r="W6" s="37">
        <f t="shared" ref="W6:W17" ca="1" si="75">IF(TODAY()-E6&gt;335,((K6+1+(LOG(J6)*4/3))*0.597)+((L6+1+(LOG(J6)*4/3))*0.276),((K6+(((TODAY()-E6)^0.5)/(336^0.5))+(LOG(J6)*4/3))*0.597)+((L6+(((TODAY()-E6)^0.5)/(336^0.5))+(LOG(J6)*4/3))*0.276))</f>
        <v>2.00597859628432</v>
      </c>
      <c r="X6" s="37">
        <f t="shared" ref="X6:X17" ca="1" si="76">IF(TODAY()-E6&gt;335,((K6+1+(LOG(J6)*4/3))*0.866)+((L6+1+(LOG(J6)*4/3))*0.425),((K6+(((TODAY()-E6)^0.5)/(336^0.5))+(LOG(J6)*4/3))*0.866)+((L6+(((TODAY()-E6)^0.5)/(336^0.5))+(LOG(J6)*4/3))*0.425))</f>
        <v>3.0675513949634099</v>
      </c>
      <c r="Y6" s="37">
        <f t="shared" ref="Y6:Y17" ca="1" si="77">W6</f>
        <v>2.00597859628432</v>
      </c>
      <c r="Z6" s="37">
        <f t="shared" ref="Z6:Z17" ca="1" si="78">IF(TODAY()-E6&gt;335,((L6+1+(LOG(J6)*4/3))*0.516),((L6+(((TODAY()-E6)^0.5)/(336^0.516))+(LOG(J6)*4/3))*0.516))</f>
        <v>3.2844757648566465</v>
      </c>
      <c r="AA6" s="37">
        <f t="shared" ref="AA6:AA17" ca="1" si="79">IF(TODAY()-E6&gt;335,((L6+1+(LOG(J6)*4/3))*1),((L6+(((TODAY()-E6)^0.5)/(336^0.5))+(LOG(J6)*4/3))*1))</f>
        <v>6.4008918628686367</v>
      </c>
      <c r="AB6" s="37">
        <f t="shared" ref="AB6:AB17" ca="1" si="80">Z6/2</f>
        <v>1.6422378824283232</v>
      </c>
      <c r="AC6" s="37">
        <f t="shared" ref="AC6:AC17" ca="1" si="81">IF(TODAY()-E6&gt;335,((M6+1+(LOG(J6)*4/3))*0.238),((M6+(((TODAY()-E6)^0.5)/(336^0.238))+(LOG(J6)*4/3))*0.238))</f>
        <v>1.1520312438759017</v>
      </c>
      <c r="AD6" s="37">
        <f t="shared" ref="AD6:AD17" ca="1" si="82">IF(TODAY()-E6&gt;335,((L6+1+(LOG(J6)*4/3))*0.378),((L6+(((TODAY()-E6)^0.5)/(336^0.516))+(LOG(J6)*4/3))*0.378))</f>
        <v>2.4060694556507989</v>
      </c>
      <c r="AE6" s="37">
        <f t="shared" ref="AE6:AE17" ca="1" si="83">IF(TODAY()-E6&gt;335,((L6+1+(LOG(J6)*4/3))*0.723),((L6+(((TODAY()-E6)^0.5)/(336^0.5))+(LOG(J6)*4/3))*0.723))</f>
        <v>4.627844816854024</v>
      </c>
      <c r="AF6" s="37">
        <f t="shared" ref="AF6:AF17" ca="1" si="84">AD6/2</f>
        <v>1.2030347278253994</v>
      </c>
      <c r="AG6" s="37">
        <f t="shared" ref="AG6:AG17" ca="1" si="85">IF(TODAY()-E6&gt;335,((M6+1+(LOG(J6)*4/3))*0.385),((M6+(((TODAY()-E6)^0.5)/(336^0.238))+(LOG(J6)*4/3))*0.385))</f>
        <v>1.8635799533286648</v>
      </c>
      <c r="AH6" s="37">
        <f t="shared" ref="AH6:AH17" ca="1" si="86">IF(TODAY()-E6&gt;335,((L6+1+(LOG(J6)*4/3))*0.92),((L6+(((TODAY()-E6)^0.5)/(336^0.5))+(LOG(J6)*4/3))*0.92))</f>
        <v>5.8888205138391463</v>
      </c>
      <c r="AI6" s="37">
        <f t="shared" ref="AI6:AI17" ca="1" si="87">IF(TODAY()-E6&gt;335,((L6+1+(LOG(J6)*4/3))*0.414),((L6+(((TODAY()-E6)^0.5)/(336^0.414))+(LOG(J6)*4/3))*0.414))</f>
        <v>2.7577113206949422</v>
      </c>
      <c r="AJ6" s="37">
        <f t="shared" ref="AJ6:AJ17" ca="1" si="88">IF(TODAY()-E6&gt;335,((M6+1+(LOG(J6)*4/3))*0.167),((M6+(((TODAY()-E6)^0.5)/(336^0.5))+(LOG(J6)*4/3))*0.167))</f>
        <v>0.56794894109906235</v>
      </c>
      <c r="AK6" s="37">
        <f t="shared" ref="AK6:AK17" ca="1" si="89">IF(TODAY()-E6&gt;335,((N6+1+(LOG(J6)*4/3))*0.588),((N6+(((TODAY()-E6)^0.5)/(336^0.5))+(LOG(J6)*4/3))*0.588))</f>
        <v>1.9997244153667582</v>
      </c>
      <c r="AL6" s="37">
        <f t="shared" ref="AL6:AL17" ca="1" si="90">IF(TODAY()-E6&gt;335,((L6+1+(LOG(J6)*4/3))*0.754),((L6+(((TODAY()-E6)^0.5)/(336^0.5))+(LOG(J6)*4/3))*0.754))</f>
        <v>4.826272464602952</v>
      </c>
      <c r="AM6" s="37">
        <f t="shared" ref="AM6:AM17" ca="1" si="91">IF(TODAY()-E6&gt;335,((L6+1+(LOG(J6)*4/3))*0.708),((L6+(((TODAY()-E6)^0.5)/(336^0.414))+(LOG(J6)*4/3))*0.708))</f>
        <v>4.7160860266956979</v>
      </c>
      <c r="AN6" s="37">
        <f t="shared" ref="AN6:AN17" ca="1" si="92">IF(TODAY()-E6&gt;335,((Q6+1+(LOG(J6)*4/3))*0.167),((Q6+(((TODAY()-E6)^0.5)/(336^0.5))+(LOG(J6)*4/3))*0.167))</f>
        <v>0.56794894109906235</v>
      </c>
      <c r="AO6" s="37">
        <f t="shared" ref="AO6:AO17" ca="1" si="93">IF(TODAY()-E6&gt;335,((R6+1+(LOG(J6)*4/3))*0.288),((R6+(((TODAY()-E6)^0.5)/(336^0.5))+(LOG(J6)*4/3))*0.288))</f>
        <v>0.82825685650616732</v>
      </c>
      <c r="AP6" s="37">
        <f t="shared" ref="AP6:AP17" ca="1" si="94">IF(TODAY()-E6&gt;335,((L6+1+(LOG(J6)*4/3))*0.27),((L6+(((TODAY()-E6)^0.5)/(336^0.5))+(LOG(J6)*4/3))*0.27))</f>
        <v>1.728240802974532</v>
      </c>
      <c r="AQ6" s="37">
        <f t="shared" ref="AQ6:AQ17" ca="1" si="95">IF(TODAY()-E6&gt;335,((L6+1+(LOG(J6)*4/3))*0.594),((L6+(((TODAY()-E6)^0.5)/(336^0.5))+(LOG(J6)*4/3))*0.594))</f>
        <v>3.8021297665439699</v>
      </c>
      <c r="AR6" s="37">
        <f t="shared" ref="AR6:AR17" ca="1" si="96">AP6/2</f>
        <v>0.86412040148726599</v>
      </c>
      <c r="AS6" s="37">
        <f t="shared" ref="AS6:AS17" ca="1" si="97">IF(TODAY()-E6&gt;335,((M6+1+(LOG(J6)*4/3))*0.944),((M6+(((TODAY()-E6)^0.5)/(336^0.5))+(LOG(J6)*4/3))*0.944))</f>
        <v>3.2104419185479927</v>
      </c>
      <c r="AT6" s="37">
        <f t="shared" ref="AT6:AT17" ca="1" si="98">IF(TODAY()-E6&gt;335,((O6+1+(LOG(J6)*4/3))*0.13),((O6+(((TODAY()-E6)^0.5)/(336^0.5))+(LOG(J6)*4/3))*0.13))</f>
        <v>0.75411594217292288</v>
      </c>
      <c r="AU6" s="37">
        <f t="shared" ref="AU6:AU17" ca="1" si="99">IF(TODAY()-E6&gt;335,((P6+1+(LOG(J6)*4/3))*0.173)+((O6+1+(LOG(J6)*4/3))*0.12),((P6+(((TODAY()-E6)^0.5)/(336^0.5))+(LOG(J6)*4/3))*0.173)+((O6+(((TODAY()-E6)^0.5)/(336^0.5))+(LOG(J6)*4/3))*0.12))</f>
        <v>1.3986413158205104</v>
      </c>
      <c r="AV6" s="37">
        <f t="shared" ref="AV6:AV17" ca="1" si="100">AT6/2</f>
        <v>0.37705797108646144</v>
      </c>
      <c r="AW6" s="37">
        <f t="shared" ref="AW6:AW17" ca="1" si="101">IF(TODAY()-E6&gt;335,((L6+1+(LOG(J6)*4/3))*0.189),((L6+(((TODAY()-E6)^0.5)/(336^0.5))+(LOG(J6)*4/3))*0.189))</f>
        <v>1.2097685620821723</v>
      </c>
      <c r="AX6" s="37">
        <f t="shared" ref="AX6:AX17" ca="1" si="102">IF(TODAY()-E6&gt;335,((L6+1+(LOG(J6)*4/3))*0.4),((L6+(((TODAY()-E6)^0.5)/(336^0.5))+(LOG(J6)*4/3))*0.4))</f>
        <v>2.5603567451474549</v>
      </c>
      <c r="AY6" s="37">
        <f t="shared" ref="AY6:AY17" ca="1" si="103">AW6/2</f>
        <v>0.60488428104108616</v>
      </c>
      <c r="AZ6" s="37">
        <f t="shared" ref="AZ6:AZ17" ca="1" si="104">IF(TODAY()-E6&gt;335,((M6+1+(LOG(J6)*4/3))*1),((M6+(((TODAY()-E6)^0.5)/(336^0.5))+(LOG(J6)*4/3))*1))</f>
        <v>3.4008918628686367</v>
      </c>
      <c r="BA6" s="37">
        <f t="shared" ref="BA6:BA17" ca="1" si="105">IF(TODAY()-E6&gt;335,((O6+1+(LOG(J6)*4/3))*0.253),((O6+(((TODAY()-E6)^0.5)/(336^0.5))+(LOG(J6)*4/3))*0.253))</f>
        <v>1.4676256413057651</v>
      </c>
      <c r="BB6" s="37">
        <f t="shared" ref="BB6:BB17" ca="1" si="106">IF(TODAY()-E6&gt;335,((P6+1+(LOG(J6)*4/3))*0.21)+((O6+1+(LOG(J6)*4/3))*0.341),((P6+(((TODAY()-E6)^0.5)/(336^0.5))+(LOG(J6)*4/3))*0.21)+((O6+(((TODAY()-E6)^0.5)/(336^0.5))+(LOG(J6)*4/3))*0.341))</f>
        <v>2.8308914164406191</v>
      </c>
      <c r="BC6" s="37">
        <f t="shared" ref="BC6:BC17" ca="1" si="107">BA6/2</f>
        <v>0.73381282065288256</v>
      </c>
      <c r="BD6" s="37">
        <f t="shared" ref="BD6:BD17" ca="1" si="108">IF(TODAY()-E6&gt;335,((L6+1+(LOG(J6)*4/3))*0.291),((L6+(((TODAY()-E6)^0.5)/(336^0.5))+(LOG(J6)*4/3))*0.291))</f>
        <v>1.8626595320947732</v>
      </c>
      <c r="BE6" s="37">
        <f t="shared" ref="BE6:BE17" ca="1" si="109">IF(TODAY()-E6&gt;335,((L6+1+(LOG(J6)*4/3))*0.348),((L6+(((TODAY()-E6)^0.5)/(336^0.5))+(LOG(J6)*4/3))*0.348))</f>
        <v>2.2275103682782853</v>
      </c>
      <c r="BF6" s="37">
        <f t="shared" ref="BF6:BF17" ca="1" si="110">IF(TODAY()-E6&gt;335,((M6+1+(LOG(J6)*4/3))*0.881),((M6+(((TODAY()-E6)^0.5)/(336^0.5))+(LOG(J6)*4/3))*0.881))</f>
        <v>2.9961857311872691</v>
      </c>
      <c r="BG6" s="37">
        <f t="shared" ref="BG6:BG17" ca="1" si="111">IF(TODAY()-E6&gt;335,((N6+1+(LOG(J6)*4/3))*0.574)+((O6+1+(LOG(J6)*4/3))*0.315),((N6+(((TODAY()-E6)^0.5)/(336^0.5))+(LOG(J6)*4/3))*0.574)+((O6+(((TODAY()-E6)^0.5)/(336^0.5))+(LOG(J6)*4/3))*0.315))</f>
        <v>3.7793928660902179</v>
      </c>
      <c r="BH6" s="37">
        <f t="shared" ref="BH6:BH17" ca="1" si="112">IF(TODAY()-E6&gt;335,((O6+1+(LOG(J6)*4/3))*0.241),((O6+(((TODAY()-E6)^0.5)/(336^0.5))+(LOG(J6)*4/3))*0.241))</f>
        <v>1.3980149389513414</v>
      </c>
      <c r="BI6" s="37">
        <f t="shared" ref="BI6:BI17" ca="1" si="113">IF(TODAY()-E6&gt;335,((L6+1+(LOG(J6)*4/3))*0.485),((L6+(((TODAY()-E6)^0.5)/(336^0.5))+(LOG(J6)*4/3))*0.485))</f>
        <v>3.1044325534912889</v>
      </c>
      <c r="BJ6" s="37">
        <f t="shared" ref="BJ6:BJ17" ca="1" si="114">IF(TODAY()-E6&gt;335,((L6+1+(LOG(J6)*4/3))*0.264),((L6+(((TODAY()-E6)^0.5)/(336^0.5))+(LOG(J6)*4/3))*0.264))</f>
        <v>1.6898354517973202</v>
      </c>
      <c r="BK6" s="37">
        <f t="shared" ref="BK6:BK17" ca="1" si="115">IF(TODAY()-E6&gt;335,((M6+1+(LOG(J6)*4/3))*0.381),((M6+(((TODAY()-E6)^0.5)/(336^0.5))+(LOG(J6)*4/3))*0.381))</f>
        <v>1.2957397997529505</v>
      </c>
      <c r="BL6" s="37">
        <f t="shared" ref="BL6:BL17" ca="1" si="116">IF(TODAY()-E6&gt;335,((N6+1+(LOG(J6)*4/3))*0.673)+((O6+1+(LOG(J6)*4/3))*0.201),((N6+(((TODAY()-E6)^0.5)/(336^0.5))+(LOG(J6)*4/3))*0.673)+((O6+(((TODAY()-E6)^0.5)/(336^0.5))+(LOG(J6)*4/3))*0.201))</f>
        <v>3.4547794881471887</v>
      </c>
      <c r="BM6" s="37">
        <f t="shared" ref="BM6:BM17" ca="1" si="117">IF(TODAY()-E6&gt;335,((O6+1+(LOG(J6)*4/3))*0.052),((O6+(((TODAY()-E6)^0.5)/(336^0.5))+(LOG(J6)*4/3))*0.052))</f>
        <v>0.30164637686916912</v>
      </c>
      <c r="BN6" s="37">
        <f t="shared" ref="BN6:BN17" ca="1" si="118">IF(TODAY()-E6&gt;335,((L6+1+(LOG(J6)*4/3))*0.18),((L6+(((TODAY()-E6)^0.5)/(336^0.5))+(LOG(J6)*4/3))*0.18))</f>
        <v>1.1521605353163547</v>
      </c>
      <c r="BO6" s="37">
        <f t="shared" ref="BO6:BO17" ca="1" si="119">IF(TODAY()-E6&gt;335,((L6+1+(LOG(J6)*4/3))*0.068),((L6+(((TODAY()-E6)^0.5)/(336^0.5))+(LOG(J6)*4/3))*0.068))</f>
        <v>0.43526064667506731</v>
      </c>
      <c r="BP6" s="37">
        <f t="shared" ref="BP6:BP17" ca="1" si="120">IF(TODAY()-E6&gt;335,((M6+1+(LOG(J6)*4/3))*0.305),((M6+(((TODAY()-E6)^0.5)/(336^0.5))+(LOG(J6)*4/3))*0.305))</f>
        <v>1.0372720181749342</v>
      </c>
      <c r="BQ6" s="37">
        <f t="shared" ref="BQ6:BQ17" ca="1" si="121">IF(TODAY()-E6&gt;335,((N6+1+(LOG(J6)*4/3))*1)+((O6+1+(LOG(J6)*4/3))*0.286),((N6+(((TODAY()-E6)^0.5)/(336^0.5))+(LOG(J6)*4/3))*1)+((O6+(((TODAY()-E6)^0.5)/(336^0.5))+(LOG(J6)*4/3))*0.286))</f>
        <v>5.0599469356490667</v>
      </c>
      <c r="BR6" s="37">
        <f t="shared" ref="BR6:BR17" ca="1" si="122">IF(TODAY()-E6&gt;335,((O6+1+(LOG(J6)*4/3))*0.135),((O6+(((TODAY()-E6)^0.5)/(336^0.5))+(LOG(J6)*4/3))*0.135))</f>
        <v>0.78312040148726603</v>
      </c>
      <c r="BS6" s="37">
        <f t="shared" ref="BS6:BS17" ca="1" si="123">IF(TODAY()-E6&gt;335,((L6+1+(LOG(J6)*4/3))*0.284),((L6+(((TODAY()-E6)^0.5)/(336^0.5))+(LOG(J6)*4/3))*0.284))</f>
        <v>1.8178532890546926</v>
      </c>
      <c r="BT6" s="37">
        <f t="shared" ref="BT6:BT17" ca="1" si="124">IF(TODAY()-E6&gt;335,((L6+1+(LOG(J6)*4/3))*0.244),((L6+(((TODAY()-E6)^0.5)/(336^0.5))+(LOG(J6)*4/3))*0.244))</f>
        <v>1.5618176145399474</v>
      </c>
      <c r="BU6" s="37">
        <f t="shared" ref="BU6:BU17" ca="1" si="125">IF(TODAY()-E6&gt;335,((M6+1+(LOG(J6)*4/3))*0.631),((M6+(((TODAY()-E6)^0.5)/(336^0.5))+(LOG(J6)*4/3))*0.631))</f>
        <v>2.1459627654701099</v>
      </c>
      <c r="BV6" s="37">
        <f t="shared" ref="BV6:BV17" ca="1" si="126">IF(TODAY()-E6&gt;335,((N6+1+(LOG(J6)*4/3))*0.702)+((O6+1+(LOG(J6)*4/3))*0.193),((N6+(((TODAY()-E6)^0.5)/(336^0.5))+(LOG(J6)*4/3))*0.702)+((O6+(((TODAY()-E6)^0.5)/(336^0.5))+(LOG(J6)*4/3))*0.193))</f>
        <v>3.5069982172674301</v>
      </c>
      <c r="BW6" s="37">
        <f t="shared" ref="BW6:BW17" ca="1" si="127">IF(TODAY()-E6&gt;335,((O6+1+(LOG(J6)*4/3))*0.148),((O6+(((TODAY()-E6)^0.5)/(336^0.5))+(LOG(J6)*4/3))*0.148))</f>
        <v>0.85853199570455818</v>
      </c>
      <c r="BX6" s="37">
        <f t="shared" ref="BX6:BX17" ca="1" si="128">IF(TODAY()-E6&gt;335,((M6+1+(LOG(J6)*4/3))*0.406),((M6+(((TODAY()-E6)^0.5)/(336^0.5))+(LOG(J6)*4/3))*0.406))</f>
        <v>1.3807620963246665</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2.4556846605545597</v>
      </c>
      <c r="BZ6" s="37">
        <f t="shared" ref="BZ6:BZ17" ca="1" si="130">IF(D6="TEC",IF(TODAY()-E6&gt;335,((O6+1+(LOG(J6)*4/3))*0.543)+((P6+1+(LOG(J6)*4/3))*0.583),((O6+(((TODAY()-E6)^0.5)/(336^0.5))+(LOG(J6)*4/3))*0.543)+((P6+(((TODAY()-E6)^0.5)/(336^0.5))+(LOG(J6)*4/3))*0.583)),IF(TODAY()-E6&gt;335,((O6+1+(LOG(J6)*4/3))*0.543)+((P6+1+(LOG(J6)*4/3))*0.583),((O6+(((TODAY()-E6)^0.5)/(336^0.5))+(LOG(J6)*4/3))*0.543)+((P6+(((TODAY()-E6)^0.5)/(336^0.5))+(LOG(J6)*4/3))*0.583)))</f>
        <v>5.5173842375900852</v>
      </c>
      <c r="CA6" s="37">
        <f t="shared" ref="CA6:CA17" ca="1" si="131">BY6</f>
        <v>2.4556846605545597</v>
      </c>
      <c r="CB6" s="37">
        <f t="shared" ref="CB6:CB17" ca="1" si="132">IF(TODAY()-E6&gt;335,((P6+1+(LOG(J6)*4/3))*0.26)+((N6+1+(LOG(J6)*4/3))*0.221)+((O6+1+(LOG(J6)*4/3))*0.142),((P6+(((TODAY()-E6)^0.5)/(336^0.5))+(LOG(J6)*4/3))*0.26)+((N6+(((TODAY()-E6)^0.5)/(336^0.5))+(LOG(J6)*4/3))*0.221)+((P6+(((TODAY()-E6)^0.5)/(336^0.5))+(LOG(J6)*4/3))*0.142))</f>
        <v>2.3840756305671609</v>
      </c>
      <c r="CC6" s="37">
        <f t="shared" ref="CC6:CC17" ca="1" si="133">IF(TODAY()-E6&gt;335,((P6+1+(LOG(J6)*4/3))*1)+((O6+1+(LOG(J6)*4/3))*0.369),((P6+(((TODAY()-E6)^0.5)/(336^0.5))+(LOG(J6)*4/3))*1)+((O6+(((TODAY()-E6)^0.5)/(336^0.5))+(LOG(J6)*4/3))*0.369))</f>
        <v>6.2014209602671642</v>
      </c>
      <c r="CD6" s="37">
        <f t="shared" ref="CD6:CD17" ca="1" si="134">CB6</f>
        <v>2.3840756305671609</v>
      </c>
      <c r="CE6" s="37">
        <f t="shared" ref="CE6:CE17" ca="1" si="135">IF(TODAY()-E6&gt;335,((M6+1+(LOG(J6)*4/3))*0.25),((M6+(((TODAY()-E6)^0.5)/(336^0.5))+(LOG(J6)*4/3))*0.25))</f>
        <v>0.85022296571715916</v>
      </c>
    </row>
    <row r="7" spans="1:83" x14ac:dyDescent="0.25">
      <c r="A7" t="str">
        <f>PLANTILLA!D8</f>
        <v>J. G. de Minaya</v>
      </c>
      <c r="B7">
        <f>PLANTILLA!E8</f>
        <v>17</v>
      </c>
      <c r="C7" s="33">
        <f ca="1">PLANTILLA!F8</f>
        <v>79</v>
      </c>
      <c r="D7" s="220" t="str">
        <f>PLANTILLA!G8</f>
        <v>TEC</v>
      </c>
      <c r="E7" s="30">
        <f>PLANTILLA!M8</f>
        <v>43081</v>
      </c>
      <c r="F7" s="47">
        <f>PLANTILLA!Q8</f>
        <v>6</v>
      </c>
      <c r="G7" s="48">
        <f t="shared" si="1"/>
        <v>0.92582009977255142</v>
      </c>
      <c r="H7" s="48">
        <f t="shared" si="2"/>
        <v>0.99928545900129484</v>
      </c>
      <c r="I7" s="51">
        <f t="shared" ca="1" si="3"/>
        <v>0.2672612419124244</v>
      </c>
      <c r="J7" s="39">
        <f>PLANTILLA!I8</f>
        <v>1.2</v>
      </c>
      <c r="K7" s="46">
        <f>PLANTILLA!X8</f>
        <v>0</v>
      </c>
      <c r="L7" s="46">
        <f>PLANTILLA!Y8</f>
        <v>6</v>
      </c>
      <c r="M7" s="46">
        <f>PLANTILLA!Z8</f>
        <v>5</v>
      </c>
      <c r="N7" s="46">
        <f>PLANTILLA!AA8</f>
        <v>6</v>
      </c>
      <c r="O7" s="46">
        <f>PLANTILLA!AB8</f>
        <v>6</v>
      </c>
      <c r="P7" s="46">
        <f>PLANTILLA!AC8</f>
        <v>5.33</v>
      </c>
      <c r="Q7" s="46">
        <f>PLANTILLA!AD8</f>
        <v>0</v>
      </c>
      <c r="R7" s="46">
        <f t="shared" si="70"/>
        <v>2.625</v>
      </c>
      <c r="S7" s="46">
        <f t="shared" si="71"/>
        <v>0.26650000000000001</v>
      </c>
      <c r="T7" s="46">
        <f t="shared" si="72"/>
        <v>0.24000000000000005</v>
      </c>
      <c r="U7" s="46">
        <f t="shared" ca="1" si="73"/>
        <v>0.34517928180726598</v>
      </c>
      <c r="V7" s="46">
        <f t="shared" ca="1" si="74"/>
        <v>0.37256982986570675</v>
      </c>
      <c r="W7" s="37">
        <f t="shared" ca="1" si="75"/>
        <v>1.9814860345889822</v>
      </c>
      <c r="X7" s="37">
        <f t="shared" ca="1" si="76"/>
        <v>3.0313315815055848</v>
      </c>
      <c r="Y7" s="37">
        <f t="shared" ca="1" si="77"/>
        <v>1.9814860345889822</v>
      </c>
      <c r="Z7" s="37">
        <f t="shared" ca="1" si="78"/>
        <v>3.2761272071851972</v>
      </c>
      <c r="AA7" s="37">
        <f t="shared" ca="1" si="79"/>
        <v>6.3728362366425912</v>
      </c>
      <c r="AB7" s="37">
        <f t="shared" ca="1" si="80"/>
        <v>1.6380636035925986</v>
      </c>
      <c r="AC7" s="37">
        <f t="shared" ca="1" si="81"/>
        <v>1.5071476779963808</v>
      </c>
      <c r="AD7" s="37">
        <f t="shared" ca="1" si="82"/>
        <v>2.3999536517752027</v>
      </c>
      <c r="AE7" s="37">
        <f t="shared" ca="1" si="83"/>
        <v>4.6075605990925936</v>
      </c>
      <c r="AF7" s="37">
        <f t="shared" ca="1" si="84"/>
        <v>1.1999768258876014</v>
      </c>
      <c r="AG7" s="37">
        <f t="shared" ca="1" si="85"/>
        <v>2.4380330085235573</v>
      </c>
      <c r="AH7" s="37">
        <f t="shared" ca="1" si="86"/>
        <v>5.8630093377111843</v>
      </c>
      <c r="AI7" s="37">
        <f t="shared" ca="1" si="87"/>
        <v>2.7101822616149174</v>
      </c>
      <c r="AJ7" s="37">
        <f t="shared" ca="1" si="88"/>
        <v>0.89726365151931275</v>
      </c>
      <c r="AK7" s="37">
        <f t="shared" ca="1" si="89"/>
        <v>3.7472277071458433</v>
      </c>
      <c r="AL7" s="37">
        <f t="shared" ca="1" si="90"/>
        <v>4.805118522428514</v>
      </c>
      <c r="AM7" s="37">
        <f t="shared" ca="1" si="91"/>
        <v>4.6348044473994241</v>
      </c>
      <c r="AN7" s="37">
        <f t="shared" ca="1" si="92"/>
        <v>6.2263651519312666E-2</v>
      </c>
      <c r="AO7" s="37">
        <f t="shared" ca="1" si="93"/>
        <v>0.86337683615306604</v>
      </c>
      <c r="AP7" s="37">
        <f t="shared" ca="1" si="94"/>
        <v>1.7206657838934998</v>
      </c>
      <c r="AQ7" s="37">
        <f t="shared" ca="1" si="95"/>
        <v>3.7854647245656992</v>
      </c>
      <c r="AR7" s="37">
        <f t="shared" ca="1" si="96"/>
        <v>0.86033289194674989</v>
      </c>
      <c r="AS7" s="37">
        <f t="shared" ca="1" si="97"/>
        <v>5.071957407390606</v>
      </c>
      <c r="AT7" s="37">
        <f t="shared" ca="1" si="98"/>
        <v>0.8284687107635369</v>
      </c>
      <c r="AU7" s="37">
        <f t="shared" ca="1" si="99"/>
        <v>1.7513310173362791</v>
      </c>
      <c r="AV7" s="37">
        <f t="shared" ca="1" si="100"/>
        <v>0.41423435538176845</v>
      </c>
      <c r="AW7" s="37">
        <f t="shared" ca="1" si="101"/>
        <v>1.2044660487254497</v>
      </c>
      <c r="AX7" s="37">
        <f t="shared" ca="1" si="102"/>
        <v>2.5491344946570367</v>
      </c>
      <c r="AY7" s="37">
        <f t="shared" ca="1" si="103"/>
        <v>0.60223302436272486</v>
      </c>
      <c r="AZ7" s="37">
        <f t="shared" ca="1" si="104"/>
        <v>5.3728362366425912</v>
      </c>
      <c r="BA7" s="37">
        <f t="shared" ca="1" si="105"/>
        <v>1.6123275678705755</v>
      </c>
      <c r="BB7" s="37">
        <f t="shared" ca="1" si="106"/>
        <v>3.3707327663900677</v>
      </c>
      <c r="BC7" s="37">
        <f t="shared" ca="1" si="107"/>
        <v>0.80616378393528776</v>
      </c>
      <c r="BD7" s="37">
        <f t="shared" ca="1" si="108"/>
        <v>1.8544953448629939</v>
      </c>
      <c r="BE7" s="37">
        <f t="shared" ca="1" si="109"/>
        <v>2.2177470103516215</v>
      </c>
      <c r="BF7" s="37">
        <f t="shared" ca="1" si="110"/>
        <v>4.7334687244821225</v>
      </c>
      <c r="BG7" s="37">
        <f t="shared" ca="1" si="111"/>
        <v>5.6654514143752639</v>
      </c>
      <c r="BH7" s="37">
        <f t="shared" ca="1" si="112"/>
        <v>1.5358535330308645</v>
      </c>
      <c r="BI7" s="37">
        <f t="shared" ca="1" si="113"/>
        <v>3.0908255747716566</v>
      </c>
      <c r="BJ7" s="37">
        <f t="shared" ca="1" si="114"/>
        <v>1.6824287664736441</v>
      </c>
      <c r="BK7" s="37">
        <f t="shared" ca="1" si="115"/>
        <v>2.0470506061608273</v>
      </c>
      <c r="BL7" s="37">
        <f t="shared" ca="1" si="116"/>
        <v>5.5698588708256258</v>
      </c>
      <c r="BM7" s="37">
        <f t="shared" ca="1" si="117"/>
        <v>0.3313874843054147</v>
      </c>
      <c r="BN7" s="37">
        <f t="shared" ca="1" si="118"/>
        <v>1.1471105225956664</v>
      </c>
      <c r="BO7" s="37">
        <f t="shared" ca="1" si="119"/>
        <v>0.43335286409169621</v>
      </c>
      <c r="BP7" s="37">
        <f t="shared" ca="1" si="120"/>
        <v>1.6387150521759903</v>
      </c>
      <c r="BQ7" s="37">
        <f t="shared" ca="1" si="121"/>
        <v>8.1954674003223715</v>
      </c>
      <c r="BR7" s="37">
        <f t="shared" ca="1" si="122"/>
        <v>0.86033289194674989</v>
      </c>
      <c r="BS7" s="37">
        <f t="shared" ca="1" si="123"/>
        <v>1.8098854912064957</v>
      </c>
      <c r="BT7" s="37">
        <f t="shared" ca="1" si="124"/>
        <v>1.5549720417407922</v>
      </c>
      <c r="BU7" s="37">
        <f t="shared" ca="1" si="125"/>
        <v>3.3902596653214752</v>
      </c>
      <c r="BV7" s="37">
        <f t="shared" ca="1" si="126"/>
        <v>5.7036884317951184</v>
      </c>
      <c r="BW7" s="37">
        <f t="shared" ca="1" si="127"/>
        <v>0.94317976302310347</v>
      </c>
      <c r="BX7" s="37">
        <f t="shared" ca="1" si="128"/>
        <v>2.1813715120768924</v>
      </c>
      <c r="BY7" s="37">
        <f t="shared" ca="1" si="129"/>
        <v>3.7449845782221973</v>
      </c>
      <c r="BZ7" s="37">
        <f t="shared" ca="1" si="130"/>
        <v>6.7852036024595579</v>
      </c>
      <c r="CA7" s="37">
        <f t="shared" ca="1" si="131"/>
        <v>3.7449845782221973</v>
      </c>
      <c r="CB7" s="37">
        <f t="shared" ca="1" si="132"/>
        <v>3.7009369754283346</v>
      </c>
      <c r="CC7" s="37">
        <f t="shared" ca="1" si="133"/>
        <v>8.0544128079637076</v>
      </c>
      <c r="CD7" s="37">
        <f t="shared" ca="1" si="134"/>
        <v>3.7009369754283346</v>
      </c>
      <c r="CE7" s="37">
        <f t="shared" ca="1" si="135"/>
        <v>1.3432090591606478</v>
      </c>
    </row>
    <row r="8" spans="1:83" x14ac:dyDescent="0.25">
      <c r="A8" t="str">
        <f>PLANTILLA!D9</f>
        <v>Roberto Montero</v>
      </c>
      <c r="B8">
        <f>PLANTILLA!E9</f>
        <v>18</v>
      </c>
      <c r="C8" s="33">
        <f ca="1">PLANTILLA!F9</f>
        <v>1</v>
      </c>
      <c r="D8" s="220" t="str">
        <f>PLANTILLA!G9</f>
        <v>TEC</v>
      </c>
      <c r="E8" s="30">
        <f>PLANTILLA!M9</f>
        <v>43046</v>
      </c>
      <c r="F8" s="47">
        <f>PLANTILLA!Q9</f>
        <v>6</v>
      </c>
      <c r="G8" s="48">
        <f t="shared" si="1"/>
        <v>0.92582009977255142</v>
      </c>
      <c r="H8" s="48">
        <f t="shared" si="2"/>
        <v>0.99928545900129484</v>
      </c>
      <c r="I8" s="51">
        <f t="shared" ca="1" si="3"/>
        <v>0.41904085492376286</v>
      </c>
      <c r="J8" s="39">
        <f>PLANTILLA!I9</f>
        <v>0.5</v>
      </c>
      <c r="K8" s="46">
        <f>PLANTILLA!X9</f>
        <v>0</v>
      </c>
      <c r="L8" s="46">
        <f>PLANTILLA!Y9</f>
        <v>6</v>
      </c>
      <c r="M8" s="46">
        <f>PLANTILLA!Z9</f>
        <v>4</v>
      </c>
      <c r="N8" s="46">
        <f>PLANTILLA!AA9</f>
        <v>4</v>
      </c>
      <c r="O8" s="46">
        <f>PLANTILLA!AB9</f>
        <v>3.3028</v>
      </c>
      <c r="P8" s="46">
        <f>PLANTILLA!AC9</f>
        <v>3.4633333333333338</v>
      </c>
      <c r="Q8" s="46">
        <f>PLANTILLA!AD9</f>
        <v>6</v>
      </c>
      <c r="R8" s="46">
        <f t="shared" si="70"/>
        <v>1.9506999999999999</v>
      </c>
      <c r="S8" s="46">
        <f t="shared" si="71"/>
        <v>0.35316666666666668</v>
      </c>
      <c r="T8" s="46">
        <f t="shared" si="72"/>
        <v>0.42000000000000004</v>
      </c>
      <c r="U8" s="46">
        <f t="shared" ca="1" si="73"/>
        <v>5.5712775505893912</v>
      </c>
      <c r="V8" s="46">
        <f t="shared" ca="1" si="74"/>
        <v>6.0133676572069037</v>
      </c>
      <c r="W8" s="37">
        <f t="shared" ca="1" si="75"/>
        <v>1.671423751395571</v>
      </c>
      <c r="X8" s="37">
        <f t="shared" ca="1" si="76"/>
        <v>2.5728087778369781</v>
      </c>
      <c r="Y8" s="37">
        <f t="shared" ca="1" si="77"/>
        <v>1.671423751395571</v>
      </c>
      <c r="Z8" s="37">
        <f t="shared" ca="1" si="78"/>
        <v>3.0858997159908816</v>
      </c>
      <c r="AA8" s="37">
        <f t="shared" ca="1" si="79"/>
        <v>6.0176675273717875</v>
      </c>
      <c r="AB8" s="37">
        <f t="shared" ca="1" si="80"/>
        <v>1.5429498579954408</v>
      </c>
      <c r="AC8" s="37">
        <f t="shared" ca="1" si="81"/>
        <v>1.3143347409510981</v>
      </c>
      <c r="AD8" s="37">
        <f t="shared" ca="1" si="82"/>
        <v>2.2606009547375061</v>
      </c>
      <c r="AE8" s="37">
        <f t="shared" ca="1" si="83"/>
        <v>4.3507736222898021</v>
      </c>
      <c r="AF8" s="37">
        <f t="shared" ca="1" si="84"/>
        <v>1.1303004773687531</v>
      </c>
      <c r="AG8" s="37">
        <f t="shared" ca="1" si="85"/>
        <v>2.1261297280091296</v>
      </c>
      <c r="AH8" s="37">
        <f t="shared" ca="1" si="86"/>
        <v>5.5362541251820447</v>
      </c>
      <c r="AI8" s="37">
        <f t="shared" ca="1" si="87"/>
        <v>2.6039340961255792</v>
      </c>
      <c r="AJ8" s="37">
        <f t="shared" ca="1" si="88"/>
        <v>0.67095047707108857</v>
      </c>
      <c r="AK8" s="37">
        <f t="shared" ca="1" si="89"/>
        <v>2.3623885060946108</v>
      </c>
      <c r="AL8" s="37">
        <f t="shared" ca="1" si="90"/>
        <v>4.5373213156383274</v>
      </c>
      <c r="AM8" s="37">
        <f t="shared" ca="1" si="91"/>
        <v>4.4531046861278023</v>
      </c>
      <c r="AN8" s="37">
        <f t="shared" ca="1" si="92"/>
        <v>1.0049504770710886</v>
      </c>
      <c r="AO8" s="37">
        <f t="shared" ca="1" si="93"/>
        <v>0.56688984788307484</v>
      </c>
      <c r="AP8" s="37">
        <f t="shared" ca="1" si="94"/>
        <v>1.6247702323903828</v>
      </c>
      <c r="AQ8" s="37">
        <f t="shared" ca="1" si="95"/>
        <v>3.5744945112588415</v>
      </c>
      <c r="AR8" s="37">
        <f t="shared" ca="1" si="96"/>
        <v>0.81238511619519138</v>
      </c>
      <c r="AS8" s="37">
        <f t="shared" ca="1" si="97"/>
        <v>3.7926781458389671</v>
      </c>
      <c r="AT8" s="37">
        <f t="shared" ca="1" si="98"/>
        <v>0.43166077855833246</v>
      </c>
      <c r="AU8" s="37">
        <f t="shared" ca="1" si="99"/>
        <v>1.0006692521866005</v>
      </c>
      <c r="AV8" s="37">
        <f t="shared" ca="1" si="100"/>
        <v>0.21583038927916623</v>
      </c>
      <c r="AW8" s="37">
        <f t="shared" ca="1" si="101"/>
        <v>1.1373391626732678</v>
      </c>
      <c r="AX8" s="37">
        <f t="shared" ca="1" si="102"/>
        <v>2.4070670109487153</v>
      </c>
      <c r="AY8" s="37">
        <f t="shared" ca="1" si="103"/>
        <v>0.56866958133663392</v>
      </c>
      <c r="AZ8" s="37">
        <f t="shared" ca="1" si="104"/>
        <v>4.0176675273717875</v>
      </c>
      <c r="BA8" s="37">
        <f t="shared" ca="1" si="105"/>
        <v>0.84007828442506238</v>
      </c>
      <c r="BB8" s="37">
        <f t="shared" ca="1" si="106"/>
        <v>1.8632896075818552</v>
      </c>
      <c r="BC8" s="37">
        <f t="shared" ca="1" si="107"/>
        <v>0.42003914221253119</v>
      </c>
      <c r="BD8" s="37">
        <f t="shared" ca="1" si="108"/>
        <v>1.75114125046519</v>
      </c>
      <c r="BE8" s="37">
        <f t="shared" ca="1" si="109"/>
        <v>2.094148299525382</v>
      </c>
      <c r="BF8" s="37">
        <f t="shared" ca="1" si="110"/>
        <v>3.5395650916145449</v>
      </c>
      <c r="BG8" s="37">
        <f t="shared" ca="1" si="111"/>
        <v>3.3520884318335189</v>
      </c>
      <c r="BH8" s="37">
        <f t="shared" ca="1" si="112"/>
        <v>0.80023267409660082</v>
      </c>
      <c r="BI8" s="37">
        <f t="shared" ca="1" si="113"/>
        <v>2.9185687507753166</v>
      </c>
      <c r="BJ8" s="37">
        <f t="shared" ca="1" si="114"/>
        <v>1.588664227226152</v>
      </c>
      <c r="BK8" s="37">
        <f t="shared" ca="1" si="115"/>
        <v>1.530731327928651</v>
      </c>
      <c r="BL8" s="37">
        <f t="shared" ca="1" si="116"/>
        <v>3.3713042189229423</v>
      </c>
      <c r="BM8" s="37">
        <f t="shared" ca="1" si="117"/>
        <v>0.17266431142333297</v>
      </c>
      <c r="BN8" s="37">
        <f t="shared" ca="1" si="118"/>
        <v>1.0831801549269218</v>
      </c>
      <c r="BO8" s="37">
        <f t="shared" ca="1" si="119"/>
        <v>0.40920139186128157</v>
      </c>
      <c r="BP8" s="37">
        <f t="shared" ca="1" si="120"/>
        <v>1.2253885958483952</v>
      </c>
      <c r="BQ8" s="37">
        <f t="shared" ca="1" si="121"/>
        <v>4.9673212402001186</v>
      </c>
      <c r="BR8" s="37">
        <f t="shared" ca="1" si="122"/>
        <v>0.44826311619519138</v>
      </c>
      <c r="BS8" s="37">
        <f t="shared" ca="1" si="123"/>
        <v>1.7090175777735874</v>
      </c>
      <c r="BT8" s="37">
        <f t="shared" ca="1" si="124"/>
        <v>1.4683108766787161</v>
      </c>
      <c r="BU8" s="37">
        <f t="shared" ca="1" si="125"/>
        <v>2.5351482097715978</v>
      </c>
      <c r="BV8" s="37">
        <f t="shared" ca="1" si="126"/>
        <v>3.4612528369977498</v>
      </c>
      <c r="BW8" s="37">
        <f t="shared" ca="1" si="127"/>
        <v>0.49142919405102459</v>
      </c>
      <c r="BX8" s="37">
        <f t="shared" ca="1" si="128"/>
        <v>1.6311730161129459</v>
      </c>
      <c r="BY8" s="37">
        <f t="shared" ca="1" si="129"/>
        <v>2.1205687172837782</v>
      </c>
      <c r="BZ8" s="37">
        <f t="shared" ca="1" si="130"/>
        <v>3.8324373691539666</v>
      </c>
      <c r="CA8" s="37">
        <f t="shared" ca="1" si="131"/>
        <v>2.1205687172837782</v>
      </c>
      <c r="CB8" s="37">
        <f t="shared" ca="1" si="132"/>
        <v>2.2872668695526239</v>
      </c>
      <c r="CC8" s="37">
        <f t="shared" ca="1" si="133"/>
        <v>4.7062533783053109</v>
      </c>
      <c r="CD8" s="37">
        <f t="shared" ca="1" si="134"/>
        <v>2.2872668695526239</v>
      </c>
      <c r="CE8" s="37">
        <f t="shared" ca="1" si="135"/>
        <v>1.0044168818429469</v>
      </c>
    </row>
    <row r="9" spans="1:83" x14ac:dyDescent="0.25">
      <c r="A9" t="str">
        <f>PLANTILLA!D10</f>
        <v>Eckardt Hägerling</v>
      </c>
      <c r="B9">
        <f>PLANTILLA!E10</f>
        <v>17</v>
      </c>
      <c r="C9" s="33">
        <f ca="1">PLANTILLA!F10</f>
        <v>65</v>
      </c>
      <c r="D9" s="220" t="str">
        <f>PLANTILLA!G10</f>
        <v>IMP</v>
      </c>
      <c r="E9" s="30">
        <f>PLANTILLA!M10</f>
        <v>43045</v>
      </c>
      <c r="F9" s="47">
        <f>PLANTILLA!Q10</f>
        <v>7</v>
      </c>
      <c r="G9" s="48">
        <f t="shared" si="1"/>
        <v>1</v>
      </c>
      <c r="H9" s="48">
        <f t="shared" si="2"/>
        <v>1</v>
      </c>
      <c r="I9" s="51">
        <f t="shared" ca="1" si="3"/>
        <v>0.42257712736425834</v>
      </c>
      <c r="J9" s="39">
        <f>PLANTILLA!I10</f>
        <v>1</v>
      </c>
      <c r="K9" s="46">
        <f>PLANTILLA!X10</f>
        <v>0</v>
      </c>
      <c r="L9" s="46">
        <f>PLANTILLA!Y10</f>
        <v>5</v>
      </c>
      <c r="M9" s="46">
        <f>PLANTILLA!Z10</f>
        <v>3</v>
      </c>
      <c r="N9" s="46">
        <f>PLANTILLA!AA10</f>
        <v>4</v>
      </c>
      <c r="O9" s="46">
        <f>PLANTILLA!AB10</f>
        <v>2.4356</v>
      </c>
      <c r="P9" s="46">
        <f>PLANTILLA!AC10</f>
        <v>3.2000000000000006</v>
      </c>
      <c r="Q9" s="46">
        <f>PLANTILLA!AD10</f>
        <v>3</v>
      </c>
      <c r="R9" s="46">
        <f t="shared" si="70"/>
        <v>1.6089</v>
      </c>
      <c r="S9" s="46">
        <f t="shared" si="71"/>
        <v>0.25</v>
      </c>
      <c r="T9" s="46">
        <f t="shared" si="72"/>
        <v>0.28999999999999998</v>
      </c>
      <c r="U9" s="46">
        <f t="shared" ca="1" si="73"/>
        <v>3.4225771273642582</v>
      </c>
      <c r="V9" s="46">
        <f t="shared" ca="1" si="74"/>
        <v>3.4225771273642582</v>
      </c>
      <c r="W9" s="37">
        <f t="shared" ca="1" si="75"/>
        <v>1.7489098321889975</v>
      </c>
      <c r="X9" s="37">
        <f t="shared" ca="1" si="76"/>
        <v>2.6705470714272574</v>
      </c>
      <c r="Y9" s="37">
        <f t="shared" ca="1" si="77"/>
        <v>1.7489098321889975</v>
      </c>
      <c r="Z9" s="37">
        <f t="shared" ca="1" si="78"/>
        <v>2.7786709002297738</v>
      </c>
      <c r="AA9" s="37">
        <f t="shared" ca="1" si="79"/>
        <v>5.4225771273642582</v>
      </c>
      <c r="AB9" s="37">
        <f t="shared" ca="1" si="80"/>
        <v>1.3893354501148869</v>
      </c>
      <c r="AC9" s="37">
        <f t="shared" ca="1" si="81"/>
        <v>1.1757254723215107</v>
      </c>
      <c r="AD9" s="37">
        <f t="shared" ca="1" si="82"/>
        <v>2.0355379850520436</v>
      </c>
      <c r="AE9" s="37">
        <f t="shared" ca="1" si="83"/>
        <v>3.9205232630843585</v>
      </c>
      <c r="AF9" s="37">
        <f t="shared" ca="1" si="84"/>
        <v>1.0177689925260218</v>
      </c>
      <c r="AG9" s="37">
        <f t="shared" ca="1" si="85"/>
        <v>1.9019088522847969</v>
      </c>
      <c r="AH9" s="37">
        <f t="shared" ca="1" si="86"/>
        <v>4.9887709571751175</v>
      </c>
      <c r="AI9" s="37">
        <f t="shared" ca="1" si="87"/>
        <v>2.3585170649229332</v>
      </c>
      <c r="AJ9" s="37">
        <f t="shared" ca="1" si="88"/>
        <v>0.5715703802698312</v>
      </c>
      <c r="AK9" s="37">
        <f t="shared" ca="1" si="89"/>
        <v>2.6004753508901839</v>
      </c>
      <c r="AL9" s="37">
        <f t="shared" ca="1" si="90"/>
        <v>4.0886231540326508</v>
      </c>
      <c r="AM9" s="37">
        <f t="shared" ca="1" si="91"/>
        <v>4.0334059950855954</v>
      </c>
      <c r="AN9" s="37">
        <f t="shared" ca="1" si="92"/>
        <v>0.5715703802698312</v>
      </c>
      <c r="AO9" s="37">
        <f t="shared" ca="1" si="93"/>
        <v>0.58506541268090639</v>
      </c>
      <c r="AP9" s="37">
        <f t="shared" ca="1" si="94"/>
        <v>1.4640958243883497</v>
      </c>
      <c r="AQ9" s="37">
        <f t="shared" ca="1" si="95"/>
        <v>3.2210108136543694</v>
      </c>
      <c r="AR9" s="37">
        <f t="shared" ca="1" si="96"/>
        <v>0.73204791219417487</v>
      </c>
      <c r="AS9" s="37">
        <f t="shared" ca="1" si="97"/>
        <v>3.2309128082318597</v>
      </c>
      <c r="AT9" s="37">
        <f t="shared" ca="1" si="98"/>
        <v>0.37156302655735357</v>
      </c>
      <c r="AU9" s="37">
        <f t="shared" ca="1" si="99"/>
        <v>0.9696870983177277</v>
      </c>
      <c r="AV9" s="37">
        <f t="shared" ca="1" si="100"/>
        <v>0.18578151327867679</v>
      </c>
      <c r="AW9" s="37">
        <f t="shared" ca="1" si="101"/>
        <v>1.0248670770718449</v>
      </c>
      <c r="AX9" s="37">
        <f t="shared" ca="1" si="102"/>
        <v>2.1690308509457035</v>
      </c>
      <c r="AY9" s="37">
        <f t="shared" ca="1" si="103"/>
        <v>0.51243353853592244</v>
      </c>
      <c r="AZ9" s="37">
        <f t="shared" ca="1" si="104"/>
        <v>3.4225771273642582</v>
      </c>
      <c r="BA9" s="37">
        <f t="shared" ca="1" si="105"/>
        <v>0.7231188132231573</v>
      </c>
      <c r="BB9" s="37">
        <f t="shared" ca="1" si="106"/>
        <v>1.7353795971777064</v>
      </c>
      <c r="BC9" s="37">
        <f t="shared" ca="1" si="107"/>
        <v>0.36155940661157865</v>
      </c>
      <c r="BD9" s="37">
        <f t="shared" ca="1" si="108"/>
        <v>1.5779699440629991</v>
      </c>
      <c r="BE9" s="37">
        <f t="shared" ca="1" si="109"/>
        <v>1.8870568403227617</v>
      </c>
      <c r="BF9" s="37">
        <f t="shared" ca="1" si="110"/>
        <v>3.0152904492079116</v>
      </c>
      <c r="BG9" s="37">
        <f t="shared" ca="1" si="111"/>
        <v>3.4388850662268253</v>
      </c>
      <c r="BH9" s="37">
        <f t="shared" ca="1" si="112"/>
        <v>0.68882068769478622</v>
      </c>
      <c r="BI9" s="37">
        <f t="shared" ca="1" si="113"/>
        <v>2.6299499067716652</v>
      </c>
      <c r="BJ9" s="37">
        <f t="shared" ca="1" si="114"/>
        <v>1.4315603616241643</v>
      </c>
      <c r="BK9" s="37">
        <f t="shared" ca="1" si="115"/>
        <v>1.3040018855257824</v>
      </c>
      <c r="BL9" s="37">
        <f t="shared" ca="1" si="116"/>
        <v>3.5508880093163619</v>
      </c>
      <c r="BM9" s="37">
        <f t="shared" ca="1" si="117"/>
        <v>0.14862521062294143</v>
      </c>
      <c r="BN9" s="37">
        <f t="shared" ca="1" si="118"/>
        <v>0.97606388292556645</v>
      </c>
      <c r="BO9" s="37">
        <f t="shared" ca="1" si="119"/>
        <v>0.36873524466076957</v>
      </c>
      <c r="BP9" s="37">
        <f t="shared" ca="1" si="120"/>
        <v>1.0438860238460987</v>
      </c>
      <c r="BQ9" s="37">
        <f t="shared" ca="1" si="121"/>
        <v>5.2400157857904359</v>
      </c>
      <c r="BR9" s="37">
        <f t="shared" ca="1" si="122"/>
        <v>0.38585391219417486</v>
      </c>
      <c r="BS9" s="37">
        <f t="shared" ca="1" si="123"/>
        <v>1.5400119041714493</v>
      </c>
      <c r="BT9" s="37">
        <f t="shared" ca="1" si="124"/>
        <v>1.3231088190768789</v>
      </c>
      <c r="BU9" s="37">
        <f t="shared" ca="1" si="125"/>
        <v>2.159646167366847</v>
      </c>
      <c r="BV9" s="37">
        <f t="shared" ca="1" si="126"/>
        <v>3.6562773289910111</v>
      </c>
      <c r="BW9" s="37">
        <f t="shared" ca="1" si="127"/>
        <v>0.42301021484991019</v>
      </c>
      <c r="BX9" s="37">
        <f t="shared" ca="1" si="128"/>
        <v>1.389566313709889</v>
      </c>
      <c r="BY9" s="37">
        <f t="shared" ca="1" si="129"/>
        <v>1.8114626833567786</v>
      </c>
      <c r="BZ9" s="37">
        <f t="shared" ca="1" si="130"/>
        <v>3.6639526454121549</v>
      </c>
      <c r="CA9" s="37">
        <f t="shared" ca="1" si="131"/>
        <v>1.8114626833567786</v>
      </c>
      <c r="CB9" s="37">
        <f t="shared" ca="1" si="132"/>
        <v>2.433665550347933</v>
      </c>
      <c r="CC9" s="37">
        <f t="shared" ca="1" si="133"/>
        <v>4.6772444873616701</v>
      </c>
      <c r="CD9" s="37">
        <f t="shared" ca="1" si="134"/>
        <v>2.433665550347933</v>
      </c>
      <c r="CE9" s="37">
        <f t="shared" ca="1" si="135"/>
        <v>0.85564428184106456</v>
      </c>
    </row>
    <row r="10" spans="1:83" x14ac:dyDescent="0.25">
      <c r="A10" t="str">
        <f>PLANTILLA!D11</f>
        <v>Raul Riquelme</v>
      </c>
      <c r="B10">
        <f>PLANTILLA!E11</f>
        <v>17</v>
      </c>
      <c r="C10" s="33">
        <f ca="1">PLANTILLA!F11</f>
        <v>44</v>
      </c>
      <c r="D10" s="220" t="str">
        <f>PLANTILLA!G11</f>
        <v>RAP</v>
      </c>
      <c r="E10" s="30">
        <f>PLANTILLA!M11</f>
        <v>43097</v>
      </c>
      <c r="F10" s="47">
        <f>PLANTILLA!Q11</f>
        <v>3</v>
      </c>
      <c r="G10" s="48">
        <f t="shared" si="1"/>
        <v>0.65465367070797709</v>
      </c>
      <c r="H10" s="48">
        <f t="shared" si="2"/>
        <v>0.75498344352707503</v>
      </c>
      <c r="I10" s="51">
        <f t="shared" ca="1" si="3"/>
        <v>0.15430334996209194</v>
      </c>
      <c r="J10" s="39">
        <f>PLANTILLA!I11</f>
        <v>0.5</v>
      </c>
      <c r="K10" s="46">
        <f>PLANTILLA!X11</f>
        <v>0</v>
      </c>
      <c r="L10" s="46">
        <f>PLANTILLA!Y11</f>
        <v>6</v>
      </c>
      <c r="M10" s="46">
        <f>PLANTILLA!Z11</f>
        <v>3</v>
      </c>
      <c r="N10" s="46">
        <f>PLANTILLA!AA11</f>
        <v>3</v>
      </c>
      <c r="O10" s="46">
        <f>PLANTILLA!AB11</f>
        <v>3</v>
      </c>
      <c r="P10" s="46">
        <f>PLANTILLA!AC11</f>
        <v>5</v>
      </c>
      <c r="Q10" s="46">
        <f>PLANTILLA!AD11</f>
        <v>4</v>
      </c>
      <c r="R10" s="46">
        <f t="shared" si="70"/>
        <v>1.875</v>
      </c>
      <c r="S10" s="46">
        <f t="shared" si="71"/>
        <v>0.37</v>
      </c>
      <c r="T10" s="46">
        <f t="shared" si="72"/>
        <v>0.36000000000000004</v>
      </c>
      <c r="U10" s="46">
        <f t="shared" ca="1" si="73"/>
        <v>2.4568694150809538</v>
      </c>
      <c r="V10" s="46">
        <f t="shared" ca="1" si="74"/>
        <v>2.8334000316353332</v>
      </c>
      <c r="W10" s="37">
        <f t="shared" ca="1" si="75"/>
        <v>1.4403079095640323</v>
      </c>
      <c r="X10" s="37">
        <f t="shared" ca="1" si="76"/>
        <v>2.2310326589314609</v>
      </c>
      <c r="Y10" s="37">
        <f t="shared" ca="1" si="77"/>
        <v>1.4403079095640323</v>
      </c>
      <c r="Z10" s="37">
        <f t="shared" ca="1" si="78"/>
        <v>2.9614357187003177</v>
      </c>
      <c r="AA10" s="37">
        <f t="shared" ca="1" si="79"/>
        <v>5.7529300224101165</v>
      </c>
      <c r="AB10" s="37">
        <f t="shared" ca="1" si="80"/>
        <v>1.4807178593501589</v>
      </c>
      <c r="AC10" s="37">
        <f t="shared" ca="1" si="81"/>
        <v>0.78707145241944232</v>
      </c>
      <c r="AD10" s="37">
        <f t="shared" ca="1" si="82"/>
        <v>2.169423840443256</v>
      </c>
      <c r="AE10" s="37">
        <f t="shared" ca="1" si="83"/>
        <v>4.159368406202514</v>
      </c>
      <c r="AF10" s="37">
        <f t="shared" ca="1" si="84"/>
        <v>1.084711920221628</v>
      </c>
      <c r="AG10" s="37">
        <f t="shared" ca="1" si="85"/>
        <v>1.2732038200902744</v>
      </c>
      <c r="AH10" s="37">
        <f t="shared" ca="1" si="86"/>
        <v>5.292695620617307</v>
      </c>
      <c r="AI10" s="37">
        <f t="shared" ca="1" si="87"/>
        <v>2.4231829788491308</v>
      </c>
      <c r="AJ10" s="37">
        <f t="shared" ca="1" si="88"/>
        <v>0.45973931374248955</v>
      </c>
      <c r="AK10" s="37">
        <f t="shared" ca="1" si="89"/>
        <v>1.6187228531771487</v>
      </c>
      <c r="AL10" s="37">
        <f t="shared" ca="1" si="90"/>
        <v>4.3377092368972283</v>
      </c>
      <c r="AM10" s="37">
        <f t="shared" ca="1" si="91"/>
        <v>4.1439940797709767</v>
      </c>
      <c r="AN10" s="37">
        <f t="shared" ca="1" si="92"/>
        <v>0.62673931374248959</v>
      </c>
      <c r="AO10" s="37">
        <f t="shared" ca="1" si="93"/>
        <v>0.46884384645411364</v>
      </c>
      <c r="AP10" s="37">
        <f t="shared" ca="1" si="94"/>
        <v>1.5532911060507315</v>
      </c>
      <c r="AQ10" s="37">
        <f t="shared" ca="1" si="95"/>
        <v>3.4172404333116089</v>
      </c>
      <c r="AR10" s="37">
        <f t="shared" ca="1" si="96"/>
        <v>0.77664555302536575</v>
      </c>
      <c r="AS10" s="37">
        <f t="shared" ca="1" si="97"/>
        <v>2.5987659411551505</v>
      </c>
      <c r="AT10" s="37">
        <f t="shared" ca="1" si="98"/>
        <v>0.3578809029133152</v>
      </c>
      <c r="AU10" s="37">
        <f t="shared" ca="1" si="99"/>
        <v>1.152608496566164</v>
      </c>
      <c r="AV10" s="37">
        <f t="shared" ca="1" si="100"/>
        <v>0.1789404514566576</v>
      </c>
      <c r="AW10" s="37">
        <f t="shared" ca="1" si="101"/>
        <v>1.0873037742355121</v>
      </c>
      <c r="AX10" s="37">
        <f t="shared" ca="1" si="102"/>
        <v>2.3011720089640466</v>
      </c>
      <c r="AY10" s="37">
        <f t="shared" ca="1" si="103"/>
        <v>0.54365188711775603</v>
      </c>
      <c r="AZ10" s="37">
        <f t="shared" ca="1" si="104"/>
        <v>2.752930022410117</v>
      </c>
      <c r="BA10" s="37">
        <f t="shared" ca="1" si="105"/>
        <v>0.69649129566975965</v>
      </c>
      <c r="BB10" s="37">
        <f t="shared" ca="1" si="106"/>
        <v>1.9368644423479744</v>
      </c>
      <c r="BC10" s="37">
        <f t="shared" ca="1" si="107"/>
        <v>0.34824564783487982</v>
      </c>
      <c r="BD10" s="37">
        <f t="shared" ca="1" si="108"/>
        <v>1.6741026365213438</v>
      </c>
      <c r="BE10" s="37">
        <f t="shared" ca="1" si="109"/>
        <v>2.0020196477987202</v>
      </c>
      <c r="BF10" s="37">
        <f t="shared" ca="1" si="110"/>
        <v>2.4253313497433129</v>
      </c>
      <c r="BG10" s="37">
        <f t="shared" ca="1" si="111"/>
        <v>2.4473547899225938</v>
      </c>
      <c r="BH10" s="37">
        <f t="shared" ca="1" si="112"/>
        <v>0.66345613540083814</v>
      </c>
      <c r="BI10" s="37">
        <f t="shared" ca="1" si="113"/>
        <v>2.7901710608689063</v>
      </c>
      <c r="BJ10" s="37">
        <f t="shared" ca="1" si="114"/>
        <v>1.5187735259162709</v>
      </c>
      <c r="BK10" s="37">
        <f t="shared" ca="1" si="115"/>
        <v>1.0488663385382546</v>
      </c>
      <c r="BL10" s="37">
        <f t="shared" ca="1" si="116"/>
        <v>2.4060608395864422</v>
      </c>
      <c r="BM10" s="37">
        <f t="shared" ca="1" si="117"/>
        <v>0.14315236116532606</v>
      </c>
      <c r="BN10" s="37">
        <f t="shared" ca="1" si="118"/>
        <v>1.0355274040338209</v>
      </c>
      <c r="BO10" s="37">
        <f t="shared" ca="1" si="119"/>
        <v>0.39119924152388796</v>
      </c>
      <c r="BP10" s="37">
        <f t="shared" ca="1" si="120"/>
        <v>0.83964365683508568</v>
      </c>
      <c r="BQ10" s="37">
        <f t="shared" ca="1" si="121"/>
        <v>3.5402680088194103</v>
      </c>
      <c r="BR10" s="37">
        <f t="shared" ca="1" si="122"/>
        <v>0.37164555302536584</v>
      </c>
      <c r="BS10" s="37">
        <f t="shared" ca="1" si="123"/>
        <v>1.6338321263644731</v>
      </c>
      <c r="BT10" s="37">
        <f t="shared" ca="1" si="124"/>
        <v>1.4037149254680683</v>
      </c>
      <c r="BU10" s="37">
        <f t="shared" ca="1" si="125"/>
        <v>1.7370988441407837</v>
      </c>
      <c r="BV10" s="37">
        <f t="shared" ca="1" si="126"/>
        <v>2.4638723700570546</v>
      </c>
      <c r="BW10" s="37">
        <f t="shared" ca="1" si="127"/>
        <v>0.40743364331669729</v>
      </c>
      <c r="BX10" s="37">
        <f t="shared" ca="1" si="128"/>
        <v>1.1176895890985075</v>
      </c>
      <c r="BY10" s="37">
        <f t="shared" ca="1" si="129"/>
        <v>1.6882765416756709</v>
      </c>
      <c r="BZ10" s="37">
        <f t="shared" ca="1" si="130"/>
        <v>4.2657992052337912</v>
      </c>
      <c r="CA10" s="37">
        <f t="shared" ca="1" si="131"/>
        <v>1.6882765416756709</v>
      </c>
      <c r="CB10" s="37">
        <f t="shared" ca="1" si="132"/>
        <v>2.5190754039615029</v>
      </c>
      <c r="CC10" s="37">
        <f t="shared" ca="1" si="133"/>
        <v>5.7687612006794495</v>
      </c>
      <c r="CD10" s="37">
        <f t="shared" ca="1" si="134"/>
        <v>2.5190754039615029</v>
      </c>
      <c r="CE10" s="37">
        <f t="shared" ca="1" si="135"/>
        <v>0.68823250560252924</v>
      </c>
    </row>
    <row r="11" spans="1:83" x14ac:dyDescent="0.25">
      <c r="A11" t="str">
        <f>PLANTILLA!D12</f>
        <v>Fernando Gazón</v>
      </c>
      <c r="B11">
        <f>PLANTILLA!E12</f>
        <v>17</v>
      </c>
      <c r="C11" s="33">
        <f ca="1">PLANTILLA!F12</f>
        <v>106</v>
      </c>
      <c r="D11" s="220" t="str">
        <f>PLANTILLA!G12</f>
        <v>IMP</v>
      </c>
      <c r="E11" s="30">
        <f>PLANTILLA!M12</f>
        <v>43045</v>
      </c>
      <c r="F11" s="47">
        <f>PLANTILLA!Q12</f>
        <v>7</v>
      </c>
      <c r="G11" s="48">
        <f t="shared" si="1"/>
        <v>1</v>
      </c>
      <c r="H11" s="48">
        <f t="shared" si="2"/>
        <v>1</v>
      </c>
      <c r="I11" s="51">
        <f t="shared" ca="1" si="3"/>
        <v>0.42257712736425834</v>
      </c>
      <c r="J11" s="39">
        <f>PLANTILLA!I12</f>
        <v>0.5</v>
      </c>
      <c r="K11" s="46">
        <f>PLANTILLA!X12</f>
        <v>0</v>
      </c>
      <c r="L11" s="46">
        <f>PLANTILLA!Y12</f>
        <v>3</v>
      </c>
      <c r="M11" s="46">
        <f>PLANTILLA!Z12</f>
        <v>6</v>
      </c>
      <c r="N11" s="46">
        <f>PLANTILLA!AA12</f>
        <v>3</v>
      </c>
      <c r="O11" s="46">
        <f>PLANTILLA!AB12</f>
        <v>4</v>
      </c>
      <c r="P11" s="46">
        <f>PLANTILLA!AC12</f>
        <v>4.7188235294117646</v>
      </c>
      <c r="Q11" s="46">
        <f>PLANTILLA!AD12</f>
        <v>3</v>
      </c>
      <c r="R11" s="46">
        <f t="shared" si="70"/>
        <v>1.75</v>
      </c>
      <c r="S11" s="46">
        <f t="shared" si="71"/>
        <v>0.32594117647058823</v>
      </c>
      <c r="T11" s="46">
        <f t="shared" si="72"/>
        <v>0.21000000000000002</v>
      </c>
      <c r="U11" s="46">
        <f t="shared" ca="1" si="73"/>
        <v>3.0212037998122834</v>
      </c>
      <c r="V11" s="46">
        <f t="shared" ca="1" si="74"/>
        <v>3.0212037998122834</v>
      </c>
      <c r="W11" s="37">
        <f t="shared" ca="1" si="75"/>
        <v>0.84651091723612348</v>
      </c>
      <c r="X11" s="37">
        <f t="shared" ca="1" si="76"/>
        <v>1.3023741055576579</v>
      </c>
      <c r="Y11" s="37">
        <f t="shared" ca="1" si="77"/>
        <v>0.84651091723612348</v>
      </c>
      <c r="Z11" s="37">
        <f t="shared" ca="1" si="78"/>
        <v>1.5395622632129549</v>
      </c>
      <c r="AA11" s="37">
        <f t="shared" ca="1" si="79"/>
        <v>3.0212037998122834</v>
      </c>
      <c r="AB11" s="37">
        <f t="shared" ca="1" si="80"/>
        <v>0.76978113160647743</v>
      </c>
      <c r="AC11" s="37">
        <f t="shared" ca="1" si="81"/>
        <v>1.7941986203641405</v>
      </c>
      <c r="AD11" s="37">
        <f t="shared" ca="1" si="82"/>
        <v>1.127818867237397</v>
      </c>
      <c r="AE11" s="37">
        <f t="shared" ca="1" si="83"/>
        <v>2.184330347264281</v>
      </c>
      <c r="AF11" s="37">
        <f t="shared" ca="1" si="84"/>
        <v>0.5639094336186985</v>
      </c>
      <c r="AG11" s="37">
        <f t="shared" ca="1" si="85"/>
        <v>2.9023801211772864</v>
      </c>
      <c r="AH11" s="37">
        <f t="shared" ca="1" si="86"/>
        <v>2.7795074958273007</v>
      </c>
      <c r="AI11" s="37">
        <f t="shared" ca="1" si="87"/>
        <v>1.3643485073164157</v>
      </c>
      <c r="AJ11" s="37">
        <f t="shared" ca="1" si="88"/>
        <v>1.0055410345686513</v>
      </c>
      <c r="AK11" s="37">
        <f t="shared" ca="1" si="89"/>
        <v>1.7764678342896225</v>
      </c>
      <c r="AL11" s="37">
        <f t="shared" ca="1" si="90"/>
        <v>2.2779876650584616</v>
      </c>
      <c r="AM11" s="37">
        <f t="shared" ca="1" si="91"/>
        <v>2.3332336791787975</v>
      </c>
      <c r="AN11" s="37">
        <f t="shared" ca="1" si="92"/>
        <v>0.5045410345686514</v>
      </c>
      <c r="AO11" s="37">
        <f t="shared" ca="1" si="93"/>
        <v>0.51010669434593758</v>
      </c>
      <c r="AP11" s="37">
        <f t="shared" ca="1" si="94"/>
        <v>0.81572502594931662</v>
      </c>
      <c r="AQ11" s="37">
        <f t="shared" ca="1" si="95"/>
        <v>1.7945950570884963</v>
      </c>
      <c r="AR11" s="37">
        <f t="shared" ca="1" si="96"/>
        <v>0.40786251297465831</v>
      </c>
      <c r="AS11" s="37">
        <f t="shared" ca="1" si="97"/>
        <v>5.6840163870227949</v>
      </c>
      <c r="AT11" s="37">
        <f t="shared" ca="1" si="98"/>
        <v>0.52275649397559676</v>
      </c>
      <c r="AU11" s="37">
        <f t="shared" ca="1" si="99"/>
        <v>1.3025691839332341</v>
      </c>
      <c r="AV11" s="37">
        <f t="shared" ca="1" si="100"/>
        <v>0.26137824698779838</v>
      </c>
      <c r="AW11" s="37">
        <f t="shared" ca="1" si="101"/>
        <v>0.57100751816452155</v>
      </c>
      <c r="AX11" s="37">
        <f t="shared" ca="1" si="102"/>
        <v>1.2084815199249135</v>
      </c>
      <c r="AY11" s="37">
        <f t="shared" ca="1" si="103"/>
        <v>0.28550375908226078</v>
      </c>
      <c r="AZ11" s="37">
        <f t="shared" ca="1" si="104"/>
        <v>6.0212037998122829</v>
      </c>
      <c r="BA11" s="37">
        <f t="shared" ca="1" si="105"/>
        <v>1.0173645613525075</v>
      </c>
      <c r="BB11" s="37">
        <f t="shared" ca="1" si="106"/>
        <v>2.3666362348730385</v>
      </c>
      <c r="BC11" s="37">
        <f t="shared" ca="1" si="107"/>
        <v>0.50868228067625376</v>
      </c>
      <c r="BD11" s="37">
        <f t="shared" ca="1" si="108"/>
        <v>0.87917030574537436</v>
      </c>
      <c r="BE11" s="37">
        <f t="shared" ca="1" si="109"/>
        <v>1.0513789223346746</v>
      </c>
      <c r="BF11" s="37">
        <f t="shared" ca="1" si="110"/>
        <v>5.3046805476346215</v>
      </c>
      <c r="BG11" s="37">
        <f t="shared" ca="1" si="111"/>
        <v>3.0008501780331196</v>
      </c>
      <c r="BH11" s="37">
        <f t="shared" ca="1" si="112"/>
        <v>0.96911011575476014</v>
      </c>
      <c r="BI11" s="37">
        <f t="shared" ca="1" si="113"/>
        <v>1.4652838429089574</v>
      </c>
      <c r="BJ11" s="37">
        <f t="shared" ca="1" si="114"/>
        <v>0.79759780315044282</v>
      </c>
      <c r="BK11" s="37">
        <f t="shared" ca="1" si="115"/>
        <v>2.29407864772848</v>
      </c>
      <c r="BL11" s="37">
        <f t="shared" ca="1" si="116"/>
        <v>2.8415321210359359</v>
      </c>
      <c r="BM11" s="37">
        <f t="shared" ca="1" si="117"/>
        <v>0.20910259759023869</v>
      </c>
      <c r="BN11" s="37">
        <f t="shared" ca="1" si="118"/>
        <v>0.54381668396621097</v>
      </c>
      <c r="BO11" s="37">
        <f t="shared" ca="1" si="119"/>
        <v>0.20544185838723528</v>
      </c>
      <c r="BP11" s="37">
        <f t="shared" ca="1" si="120"/>
        <v>1.8364671589427461</v>
      </c>
      <c r="BQ11" s="37">
        <f t="shared" ca="1" si="121"/>
        <v>4.1712680865585963</v>
      </c>
      <c r="BR11" s="37">
        <f t="shared" ca="1" si="122"/>
        <v>0.54286251297465826</v>
      </c>
      <c r="BS11" s="37">
        <f t="shared" ca="1" si="123"/>
        <v>0.85802187914668837</v>
      </c>
      <c r="BT11" s="37">
        <f t="shared" ca="1" si="124"/>
        <v>0.73717372715419716</v>
      </c>
      <c r="BU11" s="37">
        <f t="shared" ca="1" si="125"/>
        <v>3.7993795976815505</v>
      </c>
      <c r="BV11" s="37">
        <f t="shared" ca="1" si="126"/>
        <v>2.8969774008319935</v>
      </c>
      <c r="BW11" s="37">
        <f t="shared" ca="1" si="127"/>
        <v>0.59513816237221784</v>
      </c>
      <c r="BX11" s="37">
        <f t="shared" ca="1" si="128"/>
        <v>2.444608742723787</v>
      </c>
      <c r="BY11" s="37">
        <f t="shared" ca="1" si="129"/>
        <v>2.0423377679374934</v>
      </c>
      <c r="BZ11" s="37">
        <f t="shared" ca="1" si="130"/>
        <v>4.9469495962356893</v>
      </c>
      <c r="CA11" s="37">
        <f t="shared" ca="1" si="131"/>
        <v>2.0423377679374934</v>
      </c>
      <c r="CB11" s="37">
        <f t="shared" ca="1" si="132"/>
        <v>2.5731770261065821</v>
      </c>
      <c r="CC11" s="37">
        <f t="shared" ca="1" si="133"/>
        <v>6.2238515313547804</v>
      </c>
      <c r="CD11" s="37">
        <f t="shared" ca="1" si="134"/>
        <v>2.5731770261065821</v>
      </c>
      <c r="CE11" s="37">
        <f t="shared" ca="1" si="135"/>
        <v>1.5053009499530707</v>
      </c>
    </row>
    <row r="12" spans="1:83" x14ac:dyDescent="0.25">
      <c r="A12" t="str">
        <f>PLANTILLA!D13</f>
        <v>Roberto Abenoza</v>
      </c>
      <c r="B12">
        <f>PLANTILLA!E13</f>
        <v>17</v>
      </c>
      <c r="C12" s="33">
        <f ca="1">PLANTILLA!F13</f>
        <v>94</v>
      </c>
      <c r="D12" s="220" t="str">
        <f>PLANTILLA!G13</f>
        <v>CAB</v>
      </c>
      <c r="E12" s="30">
        <f>PLANTILLA!M13</f>
        <v>43046</v>
      </c>
      <c r="F12" s="47">
        <f>PLANTILLA!Q13</f>
        <v>6</v>
      </c>
      <c r="G12" s="48">
        <f t="shared" si="1"/>
        <v>0.92582009977255142</v>
      </c>
      <c r="H12" s="48">
        <f t="shared" si="2"/>
        <v>0.99928545900129484</v>
      </c>
      <c r="I12" s="51">
        <f t="shared" ca="1" si="3"/>
        <v>0.41904085492376286</v>
      </c>
      <c r="J12" s="39">
        <f>PLANTILLA!I13</f>
        <v>0.5</v>
      </c>
      <c r="K12" s="46">
        <f>PLANTILLA!X13</f>
        <v>0</v>
      </c>
      <c r="L12" s="46">
        <f>PLANTILLA!Y13</f>
        <v>2</v>
      </c>
      <c r="M12" s="46">
        <f>PLANTILLA!Z13</f>
        <v>5</v>
      </c>
      <c r="N12" s="46">
        <f>PLANTILLA!AA13</f>
        <v>3</v>
      </c>
      <c r="O12" s="46">
        <f>PLANTILLA!AB13</f>
        <v>2.1583999999999999</v>
      </c>
      <c r="P12" s="46">
        <f>PLANTILLA!AC13</f>
        <v>5.1499999999999995</v>
      </c>
      <c r="Q12" s="46">
        <f>PLANTILLA!AD13</f>
        <v>5</v>
      </c>
      <c r="R12" s="46">
        <f t="shared" si="70"/>
        <v>1.1646000000000001</v>
      </c>
      <c r="S12" s="46">
        <f t="shared" si="71"/>
        <v>0.40749999999999992</v>
      </c>
      <c r="T12" s="46">
        <f t="shared" si="72"/>
        <v>0.22999999999999998</v>
      </c>
      <c r="U12" s="46">
        <f t="shared" ca="1" si="73"/>
        <v>4.6454574508168394</v>
      </c>
      <c r="V12" s="46">
        <f t="shared" ca="1" si="74"/>
        <v>5.0140821982056085</v>
      </c>
      <c r="W12" s="37">
        <f t="shared" ca="1" si="75"/>
        <v>0.56742375139557089</v>
      </c>
      <c r="X12" s="37">
        <f t="shared" ca="1" si="76"/>
        <v>0.87280877783697819</v>
      </c>
      <c r="Y12" s="37">
        <f t="shared" ca="1" si="77"/>
        <v>0.56742375139557089</v>
      </c>
      <c r="Z12" s="37">
        <f t="shared" ca="1" si="78"/>
        <v>1.0218997159908818</v>
      </c>
      <c r="AA12" s="37">
        <f t="shared" ca="1" si="79"/>
        <v>2.0176675273717879</v>
      </c>
      <c r="AB12" s="37">
        <f t="shared" ca="1" si="80"/>
        <v>0.5109498579954409</v>
      </c>
      <c r="AC12" s="37">
        <f t="shared" ca="1" si="81"/>
        <v>1.5523347409510981</v>
      </c>
      <c r="AD12" s="37">
        <f t="shared" ca="1" si="82"/>
        <v>0.74860095473750643</v>
      </c>
      <c r="AE12" s="37">
        <f t="shared" ca="1" si="83"/>
        <v>1.4587736222898027</v>
      </c>
      <c r="AF12" s="37">
        <f t="shared" ca="1" si="84"/>
        <v>0.37430047736875321</v>
      </c>
      <c r="AG12" s="37">
        <f t="shared" ca="1" si="85"/>
        <v>2.5111297280091298</v>
      </c>
      <c r="AH12" s="37">
        <f t="shared" ca="1" si="86"/>
        <v>1.856254125182045</v>
      </c>
      <c r="AI12" s="37">
        <f t="shared" ca="1" si="87"/>
        <v>0.94793409612557955</v>
      </c>
      <c r="AJ12" s="37">
        <f t="shared" ca="1" si="88"/>
        <v>0.83795047707108861</v>
      </c>
      <c r="AK12" s="37">
        <f t="shared" ca="1" si="89"/>
        <v>1.7743885060946112</v>
      </c>
      <c r="AL12" s="37">
        <f t="shared" ca="1" si="90"/>
        <v>1.5213213156383281</v>
      </c>
      <c r="AM12" s="37">
        <f t="shared" ca="1" si="91"/>
        <v>1.6211046861278027</v>
      </c>
      <c r="AN12" s="37">
        <f t="shared" ca="1" si="92"/>
        <v>0.83795047707108861</v>
      </c>
      <c r="AO12" s="37">
        <f t="shared" ca="1" si="93"/>
        <v>0.34049304788307488</v>
      </c>
      <c r="AP12" s="37">
        <f t="shared" ca="1" si="94"/>
        <v>0.5447702323903828</v>
      </c>
      <c r="AQ12" s="37">
        <f t="shared" ca="1" si="95"/>
        <v>1.1984945112588419</v>
      </c>
      <c r="AR12" s="37">
        <f t="shared" ca="1" si="96"/>
        <v>0.2723851161951914</v>
      </c>
      <c r="AS12" s="37">
        <f t="shared" ca="1" si="97"/>
        <v>4.7366781458389671</v>
      </c>
      <c r="AT12" s="37">
        <f t="shared" ca="1" si="98"/>
        <v>0.28288877855833244</v>
      </c>
      <c r="AU12" s="37">
        <f t="shared" ca="1" si="99"/>
        <v>1.1551345855199335</v>
      </c>
      <c r="AV12" s="37">
        <f t="shared" ca="1" si="100"/>
        <v>0.14144438927916622</v>
      </c>
      <c r="AW12" s="37">
        <f t="shared" ca="1" si="101"/>
        <v>0.3813391626732679</v>
      </c>
      <c r="AX12" s="37">
        <f t="shared" ca="1" si="102"/>
        <v>0.80706701094871525</v>
      </c>
      <c r="AY12" s="37">
        <f t="shared" ca="1" si="103"/>
        <v>0.19066958133663395</v>
      </c>
      <c r="AZ12" s="37">
        <f t="shared" ca="1" si="104"/>
        <v>5.0176675273717875</v>
      </c>
      <c r="BA12" s="37">
        <f t="shared" ca="1" si="105"/>
        <v>0.55054508442506234</v>
      </c>
      <c r="BB12" s="37">
        <f t="shared" ca="1" si="106"/>
        <v>1.8272492075818549</v>
      </c>
      <c r="BC12" s="37">
        <f t="shared" ca="1" si="107"/>
        <v>0.27527254221253117</v>
      </c>
      <c r="BD12" s="37">
        <f t="shared" ca="1" si="108"/>
        <v>0.58714125046519028</v>
      </c>
      <c r="BE12" s="37">
        <f t="shared" ca="1" si="109"/>
        <v>0.70214829952538216</v>
      </c>
      <c r="BF12" s="37">
        <f t="shared" ca="1" si="110"/>
        <v>4.4205650916145451</v>
      </c>
      <c r="BG12" s="37">
        <f t="shared" ca="1" si="111"/>
        <v>2.4176024318335192</v>
      </c>
      <c r="BH12" s="37">
        <f t="shared" ca="1" si="112"/>
        <v>0.52443227409660087</v>
      </c>
      <c r="BI12" s="37">
        <f t="shared" ca="1" si="113"/>
        <v>0.97856875077531713</v>
      </c>
      <c r="BJ12" s="37">
        <f t="shared" ca="1" si="114"/>
        <v>0.53266422722615203</v>
      </c>
      <c r="BK12" s="37">
        <f t="shared" ca="1" si="115"/>
        <v>1.911731327928651</v>
      </c>
      <c r="BL12" s="37">
        <f t="shared" ca="1" si="116"/>
        <v>2.4682798189229427</v>
      </c>
      <c r="BM12" s="37">
        <f t="shared" ca="1" si="117"/>
        <v>0.11315551142333295</v>
      </c>
      <c r="BN12" s="37">
        <f t="shared" ca="1" si="118"/>
        <v>0.36318015492692179</v>
      </c>
      <c r="BO12" s="37">
        <f t="shared" ca="1" si="119"/>
        <v>0.13720139186128158</v>
      </c>
      <c r="BP12" s="37">
        <f t="shared" ca="1" si="120"/>
        <v>1.5303885958483952</v>
      </c>
      <c r="BQ12" s="37">
        <f t="shared" ca="1" si="121"/>
        <v>3.6400228402001193</v>
      </c>
      <c r="BR12" s="37">
        <f t="shared" ca="1" si="122"/>
        <v>0.29376911619519136</v>
      </c>
      <c r="BS12" s="37">
        <f t="shared" ca="1" si="123"/>
        <v>0.57301757777358775</v>
      </c>
      <c r="BT12" s="37">
        <f t="shared" ca="1" si="124"/>
        <v>0.49231087667871626</v>
      </c>
      <c r="BU12" s="37">
        <f t="shared" ca="1" si="125"/>
        <v>3.1661482097715981</v>
      </c>
      <c r="BV12" s="37">
        <f t="shared" ca="1" si="126"/>
        <v>2.5383836369977502</v>
      </c>
      <c r="BW12" s="37">
        <f t="shared" ca="1" si="127"/>
        <v>0.32205799405102459</v>
      </c>
      <c r="BX12" s="37">
        <f t="shared" ca="1" si="128"/>
        <v>2.0371730161129458</v>
      </c>
      <c r="BY12" s="37">
        <f t="shared" ca="1" si="129"/>
        <v>1.6348547817607013</v>
      </c>
      <c r="BZ12" s="37">
        <f t="shared" ca="1" si="130"/>
        <v>4.1943548358206328</v>
      </c>
      <c r="CA12" s="37">
        <f t="shared" ca="1" si="131"/>
        <v>1.6348547817607013</v>
      </c>
      <c r="CB12" s="37">
        <f t="shared" ca="1" si="132"/>
        <v>2.7443068695526236</v>
      </c>
      <c r="CC12" s="37">
        <f t="shared" ca="1" si="133"/>
        <v>5.9706364449719764</v>
      </c>
      <c r="CD12" s="37">
        <f t="shared" ca="1" si="134"/>
        <v>2.7443068695526236</v>
      </c>
      <c r="CE12" s="37">
        <f t="shared" ca="1" si="135"/>
        <v>1.2544168818429469</v>
      </c>
    </row>
    <row r="13" spans="1:83" x14ac:dyDescent="0.25">
      <c r="A13" t="str">
        <f>PLANTILLA!D14</f>
        <v>Julio Calle</v>
      </c>
      <c r="B13">
        <f>PLANTILLA!E14</f>
        <v>17</v>
      </c>
      <c r="C13" s="33">
        <f ca="1">PLANTILLA!F14</f>
        <v>64</v>
      </c>
      <c r="D13" s="220" t="str">
        <f>PLANTILLA!G14</f>
        <v>POT</v>
      </c>
      <c r="E13" s="30">
        <f>PLANTILLA!M14</f>
        <v>43046</v>
      </c>
      <c r="F13" s="47">
        <f>PLANTILLA!Q14</f>
        <v>6</v>
      </c>
      <c r="G13" s="48">
        <f t="shared" si="1"/>
        <v>0.92582009977255142</v>
      </c>
      <c r="H13" s="48">
        <f t="shared" si="2"/>
        <v>0.99928545900129484</v>
      </c>
      <c r="I13" s="51">
        <f t="shared" ca="1" si="3"/>
        <v>0.41904085492376286</v>
      </c>
      <c r="J13" s="39">
        <f>PLANTILLA!I14</f>
        <v>0.5</v>
      </c>
      <c r="K13" s="46">
        <f>PLANTILLA!X14</f>
        <v>0</v>
      </c>
      <c r="L13" s="46">
        <f>PLANTILLA!Y14</f>
        <v>3</v>
      </c>
      <c r="M13" s="46">
        <f>PLANTILLA!Z14</f>
        <v>4</v>
      </c>
      <c r="N13" s="46">
        <f>PLANTILLA!AA14</f>
        <v>4</v>
      </c>
      <c r="O13" s="46">
        <f>PLANTILLA!AB14</f>
        <v>3.0151111111111111</v>
      </c>
      <c r="P13" s="46">
        <f>PLANTILLA!AC14</f>
        <v>4.0588235294117645</v>
      </c>
      <c r="Q13" s="46">
        <f>PLANTILLA!AD14</f>
        <v>1.3</v>
      </c>
      <c r="R13" s="46">
        <f t="shared" si="70"/>
        <v>1.5037777777777777</v>
      </c>
      <c r="S13" s="46">
        <f t="shared" si="71"/>
        <v>0.24194117647058824</v>
      </c>
      <c r="T13" s="46">
        <f t="shared" si="72"/>
        <v>0.15900000000000003</v>
      </c>
      <c r="U13" s="46">
        <f t="shared" ca="1" si="73"/>
        <v>1.2199230816584001</v>
      </c>
      <c r="V13" s="46">
        <f t="shared" ca="1" si="74"/>
        <v>1.3167259999008185</v>
      </c>
      <c r="W13" s="37">
        <f t="shared" ca="1" si="75"/>
        <v>0.84342375139557091</v>
      </c>
      <c r="X13" s="37">
        <f t="shared" ca="1" si="76"/>
        <v>1.2978087778369782</v>
      </c>
      <c r="Y13" s="37">
        <f t="shared" ca="1" si="77"/>
        <v>0.84342375139557091</v>
      </c>
      <c r="Z13" s="37">
        <f t="shared" ca="1" si="78"/>
        <v>1.5378997159908818</v>
      </c>
      <c r="AA13" s="37">
        <f t="shared" ca="1" si="79"/>
        <v>3.0176675273717879</v>
      </c>
      <c r="AB13" s="37">
        <f t="shared" ca="1" si="80"/>
        <v>0.76894985799544091</v>
      </c>
      <c r="AC13" s="37">
        <f t="shared" ca="1" si="81"/>
        <v>1.3143347409510981</v>
      </c>
      <c r="AD13" s="37">
        <f t="shared" ca="1" si="82"/>
        <v>1.1266009547375064</v>
      </c>
      <c r="AE13" s="37">
        <f t="shared" ca="1" si="83"/>
        <v>2.1817736222898025</v>
      </c>
      <c r="AF13" s="37">
        <f t="shared" ca="1" si="84"/>
        <v>0.56330047736875322</v>
      </c>
      <c r="AG13" s="37">
        <f t="shared" ca="1" si="85"/>
        <v>2.1261297280091296</v>
      </c>
      <c r="AH13" s="37">
        <f t="shared" ca="1" si="86"/>
        <v>2.776254125182045</v>
      </c>
      <c r="AI13" s="37">
        <f t="shared" ca="1" si="87"/>
        <v>1.3619340961255795</v>
      </c>
      <c r="AJ13" s="37">
        <f t="shared" ca="1" si="88"/>
        <v>0.67095047707108857</v>
      </c>
      <c r="AK13" s="37">
        <f t="shared" ca="1" si="89"/>
        <v>2.3623885060946108</v>
      </c>
      <c r="AL13" s="37">
        <f t="shared" ca="1" si="90"/>
        <v>2.2753213156383283</v>
      </c>
      <c r="AM13" s="37">
        <f t="shared" ca="1" si="91"/>
        <v>2.3291046861278026</v>
      </c>
      <c r="AN13" s="37">
        <f t="shared" ca="1" si="92"/>
        <v>0.22005047707108863</v>
      </c>
      <c r="AO13" s="37">
        <f t="shared" ca="1" si="93"/>
        <v>0.43817624788307485</v>
      </c>
      <c r="AP13" s="37">
        <f t="shared" ca="1" si="94"/>
        <v>0.81477023239038282</v>
      </c>
      <c r="AQ13" s="37">
        <f t="shared" ca="1" si="95"/>
        <v>1.792494511258842</v>
      </c>
      <c r="AR13" s="37">
        <f t="shared" ca="1" si="96"/>
        <v>0.40738511619519141</v>
      </c>
      <c r="AS13" s="37">
        <f t="shared" ca="1" si="97"/>
        <v>3.7926781458389671</v>
      </c>
      <c r="AT13" s="37">
        <f t="shared" ca="1" si="98"/>
        <v>0.39426122300277688</v>
      </c>
      <c r="AU13" s="37">
        <f t="shared" ca="1" si="99"/>
        <v>1.0691663894415022</v>
      </c>
      <c r="AV13" s="37">
        <f t="shared" ca="1" si="100"/>
        <v>0.19713061150138844</v>
      </c>
      <c r="AW13" s="37">
        <f t="shared" ca="1" si="101"/>
        <v>0.5703391626732679</v>
      </c>
      <c r="AX13" s="37">
        <f t="shared" ca="1" si="102"/>
        <v>1.2070670109487152</v>
      </c>
      <c r="AY13" s="37">
        <f t="shared" ca="1" si="103"/>
        <v>0.28516958133663395</v>
      </c>
      <c r="AZ13" s="37">
        <f t="shared" ca="1" si="104"/>
        <v>4.0176675273717875</v>
      </c>
      <c r="BA13" s="37">
        <f t="shared" ca="1" si="105"/>
        <v>0.76729299553617347</v>
      </c>
      <c r="BB13" s="37">
        <f t="shared" ca="1" si="106"/>
        <v>1.8902406376472145</v>
      </c>
      <c r="BC13" s="37">
        <f t="shared" ca="1" si="107"/>
        <v>0.38364649776808674</v>
      </c>
      <c r="BD13" s="37">
        <f t="shared" ca="1" si="108"/>
        <v>0.8781412504651902</v>
      </c>
      <c r="BE13" s="37">
        <f t="shared" ca="1" si="109"/>
        <v>1.0501482995253821</v>
      </c>
      <c r="BF13" s="37">
        <f t="shared" ca="1" si="110"/>
        <v>3.5395650916145449</v>
      </c>
      <c r="BG13" s="37">
        <f t="shared" ca="1" si="111"/>
        <v>3.2614664318335187</v>
      </c>
      <c r="BH13" s="37">
        <f t="shared" ca="1" si="112"/>
        <v>0.73089965187437866</v>
      </c>
      <c r="BI13" s="37">
        <f t="shared" ca="1" si="113"/>
        <v>1.463568750775317</v>
      </c>
      <c r="BJ13" s="37">
        <f t="shared" ca="1" si="114"/>
        <v>0.79666422722615204</v>
      </c>
      <c r="BK13" s="37">
        <f t="shared" ca="1" si="115"/>
        <v>1.530731327928651</v>
      </c>
      <c r="BL13" s="37">
        <f t="shared" ca="1" si="116"/>
        <v>3.3134787522562759</v>
      </c>
      <c r="BM13" s="37">
        <f t="shared" ca="1" si="117"/>
        <v>0.15770448920111074</v>
      </c>
      <c r="BN13" s="37">
        <f t="shared" ca="1" si="118"/>
        <v>0.54318015492692184</v>
      </c>
      <c r="BO13" s="37">
        <f t="shared" ca="1" si="119"/>
        <v>0.20520139186128158</v>
      </c>
      <c r="BP13" s="37">
        <f t="shared" ca="1" si="120"/>
        <v>1.2253885958483952</v>
      </c>
      <c r="BQ13" s="37">
        <f t="shared" ca="1" si="121"/>
        <v>4.8850422179778965</v>
      </c>
      <c r="BR13" s="37">
        <f t="shared" ca="1" si="122"/>
        <v>0.4094251161951914</v>
      </c>
      <c r="BS13" s="37">
        <f t="shared" ca="1" si="123"/>
        <v>0.85701757777358767</v>
      </c>
      <c r="BT13" s="37">
        <f t="shared" ca="1" si="124"/>
        <v>0.7363108766787162</v>
      </c>
      <c r="BU13" s="37">
        <f t="shared" ca="1" si="125"/>
        <v>2.5351482097715978</v>
      </c>
      <c r="BV13" s="37">
        <f t="shared" ca="1" si="126"/>
        <v>3.4057288814421942</v>
      </c>
      <c r="BW13" s="37">
        <f t="shared" ca="1" si="127"/>
        <v>0.44885123849546904</v>
      </c>
      <c r="BX13" s="37">
        <f t="shared" ca="1" si="128"/>
        <v>1.6311730161129459</v>
      </c>
      <c r="BY13" s="37">
        <f t="shared" ca="1" si="129"/>
        <v>1.8544531477737731</v>
      </c>
      <c r="BZ13" s="37">
        <f t="shared" ca="1" si="130"/>
        <v>4.0233930868010255</v>
      </c>
      <c r="CA13" s="37">
        <f t="shared" ca="1" si="131"/>
        <v>1.8544531477737731</v>
      </c>
      <c r="CB13" s="37">
        <f t="shared" ca="1" si="132"/>
        <v>2.5266539283761529</v>
      </c>
      <c r="CC13" s="37">
        <f t="shared" ca="1" si="133"/>
        <v>5.1955863743837414</v>
      </c>
      <c r="CD13" s="37">
        <f t="shared" ca="1" si="134"/>
        <v>2.5266539283761529</v>
      </c>
      <c r="CE13" s="37">
        <f t="shared" ca="1" si="135"/>
        <v>1.0044168818429469</v>
      </c>
    </row>
    <row r="14" spans="1:83" x14ac:dyDescent="0.25">
      <c r="A14" t="str">
        <f>PLANTILLA!D15</f>
        <v>Enrique Cubas</v>
      </c>
      <c r="B14">
        <f>PLANTILLA!E15</f>
        <v>17</v>
      </c>
      <c r="C14" s="33">
        <f ca="1">PLANTILLA!F15</f>
        <v>65</v>
      </c>
      <c r="D14" s="220" t="str">
        <f>PLANTILLA!G15</f>
        <v>RAP</v>
      </c>
      <c r="E14" s="30">
        <f>PLANTILLA!M15</f>
        <v>43046</v>
      </c>
      <c r="F14" s="47">
        <f>PLANTILLA!Q15</f>
        <v>6</v>
      </c>
      <c r="G14" s="48">
        <f t="shared" si="1"/>
        <v>0.92582009977255142</v>
      </c>
      <c r="H14" s="48">
        <f t="shared" si="2"/>
        <v>0.99928545900129484</v>
      </c>
      <c r="I14" s="51">
        <f t="shared" ca="1" si="3"/>
        <v>0.41904085492376286</v>
      </c>
      <c r="J14" s="39">
        <f>PLANTILLA!I15</f>
        <v>1</v>
      </c>
      <c r="K14" s="46">
        <f>PLANTILLA!X15</f>
        <v>0</v>
      </c>
      <c r="L14" s="46">
        <f>PLANTILLA!Y15</f>
        <v>2</v>
      </c>
      <c r="M14" s="46">
        <f>PLANTILLA!Z15</f>
        <v>5.7</v>
      </c>
      <c r="N14" s="46">
        <f>PLANTILLA!AA15</f>
        <v>5.5</v>
      </c>
      <c r="O14" s="46">
        <f>PLANTILLA!AB15</f>
        <v>5.5</v>
      </c>
      <c r="P14" s="46">
        <f>PLANTILLA!AC15</f>
        <v>4.33</v>
      </c>
      <c r="Q14" s="46">
        <f>PLANTILLA!AD15</f>
        <v>5</v>
      </c>
      <c r="R14" s="46">
        <f t="shared" si="70"/>
        <v>2</v>
      </c>
      <c r="S14" s="46">
        <f t="shared" si="71"/>
        <v>0.36649999999999999</v>
      </c>
      <c r="T14" s="46">
        <f t="shared" si="72"/>
        <v>0.22999999999999998</v>
      </c>
      <c r="U14" s="46">
        <f t="shared" ca="1" si="73"/>
        <v>5.0170569449770506</v>
      </c>
      <c r="V14" s="46">
        <f t="shared" ca="1" si="74"/>
        <v>5.4151687280592613</v>
      </c>
      <c r="W14" s="37">
        <f t="shared" ca="1" si="75"/>
        <v>0.917822666348445</v>
      </c>
      <c r="X14" s="37">
        <f t="shared" ca="1" si="76"/>
        <v>1.3909817437065777</v>
      </c>
      <c r="Y14" s="37">
        <f t="shared" ca="1" si="77"/>
        <v>0.917822666348445</v>
      </c>
      <c r="Z14" s="37">
        <f t="shared" ca="1" si="78"/>
        <v>1.2290083530077009</v>
      </c>
      <c r="AA14" s="37">
        <f t="shared" ca="1" si="79"/>
        <v>2.4190408549237628</v>
      </c>
      <c r="AB14" s="37">
        <f t="shared" ca="1" si="80"/>
        <v>0.61450417650385047</v>
      </c>
      <c r="AC14" s="37">
        <f t="shared" ca="1" si="81"/>
        <v>1.8144615929084684</v>
      </c>
      <c r="AD14" s="37">
        <f t="shared" ca="1" si="82"/>
        <v>0.90032007255215296</v>
      </c>
      <c r="AE14" s="37">
        <f t="shared" ca="1" si="83"/>
        <v>1.7489665381098805</v>
      </c>
      <c r="AF14" s="37">
        <f t="shared" ca="1" si="84"/>
        <v>0.45016003627607648</v>
      </c>
      <c r="AG14" s="37">
        <f t="shared" ca="1" si="85"/>
        <v>2.9351584591166402</v>
      </c>
      <c r="AH14" s="37">
        <f t="shared" ca="1" si="86"/>
        <v>2.225517586529862</v>
      </c>
      <c r="AI14" s="37">
        <f t="shared" ca="1" si="87"/>
        <v>1.114102653732097</v>
      </c>
      <c r="AJ14" s="37">
        <f t="shared" ca="1" si="88"/>
        <v>1.0218798227722685</v>
      </c>
      <c r="AK14" s="37">
        <f t="shared" ca="1" si="89"/>
        <v>3.4803960226951722</v>
      </c>
      <c r="AL14" s="37">
        <f t="shared" ca="1" si="90"/>
        <v>1.8239568046125172</v>
      </c>
      <c r="AM14" s="37">
        <f t="shared" ca="1" si="91"/>
        <v>1.9052770020346008</v>
      </c>
      <c r="AN14" s="37">
        <f t="shared" ca="1" si="92"/>
        <v>0.90497982277226841</v>
      </c>
      <c r="AO14" s="37">
        <f t="shared" ca="1" si="93"/>
        <v>0.69668376621804362</v>
      </c>
      <c r="AP14" s="37">
        <f t="shared" ca="1" si="94"/>
        <v>0.65314103082941599</v>
      </c>
      <c r="AQ14" s="37">
        <f t="shared" ca="1" si="95"/>
        <v>1.436910267824715</v>
      </c>
      <c r="AR14" s="37">
        <f t="shared" ca="1" si="96"/>
        <v>0.326570515414708</v>
      </c>
      <c r="AS14" s="37">
        <f t="shared" ca="1" si="97"/>
        <v>5.7763745670480322</v>
      </c>
      <c r="AT14" s="37">
        <f t="shared" ca="1" si="98"/>
        <v>0.76947531114008916</v>
      </c>
      <c r="AU14" s="37">
        <f t="shared" ca="1" si="99"/>
        <v>1.5318689704926625</v>
      </c>
      <c r="AV14" s="37">
        <f t="shared" ca="1" si="100"/>
        <v>0.38473765557004458</v>
      </c>
      <c r="AW14" s="37">
        <f t="shared" ca="1" si="101"/>
        <v>0.45719872158059116</v>
      </c>
      <c r="AX14" s="37">
        <f t="shared" ca="1" si="102"/>
        <v>0.96761634196950519</v>
      </c>
      <c r="AY14" s="37">
        <f t="shared" ca="1" si="103"/>
        <v>0.22859936079029558</v>
      </c>
      <c r="AZ14" s="37">
        <f t="shared" ca="1" si="104"/>
        <v>6.1190408549237629</v>
      </c>
      <c r="BA14" s="37">
        <f t="shared" ca="1" si="105"/>
        <v>1.4975173362957119</v>
      </c>
      <c r="BB14" s="37">
        <f t="shared" ca="1" si="106"/>
        <v>3.0156915110629932</v>
      </c>
      <c r="BC14" s="37">
        <f t="shared" ca="1" si="107"/>
        <v>0.74875866814785597</v>
      </c>
      <c r="BD14" s="37">
        <f t="shared" ca="1" si="108"/>
        <v>0.70394088878281491</v>
      </c>
      <c r="BE14" s="37">
        <f t="shared" ca="1" si="109"/>
        <v>0.84182621751346942</v>
      </c>
      <c r="BF14" s="37">
        <f t="shared" ca="1" si="110"/>
        <v>5.3908749931878353</v>
      </c>
      <c r="BG14" s="37">
        <f t="shared" ca="1" si="111"/>
        <v>5.262027320027225</v>
      </c>
      <c r="BH14" s="37">
        <f t="shared" ca="1" si="112"/>
        <v>1.4264888460366267</v>
      </c>
      <c r="BI14" s="37">
        <f t="shared" ca="1" si="113"/>
        <v>1.1732348146380249</v>
      </c>
      <c r="BJ14" s="37">
        <f t="shared" ca="1" si="114"/>
        <v>0.63862678569987341</v>
      </c>
      <c r="BK14" s="37">
        <f t="shared" ca="1" si="115"/>
        <v>2.3313545657259538</v>
      </c>
      <c r="BL14" s="37">
        <f t="shared" ca="1" si="116"/>
        <v>5.1732417072033687</v>
      </c>
      <c r="BM14" s="37">
        <f t="shared" ca="1" si="117"/>
        <v>0.30779012445603565</v>
      </c>
      <c r="BN14" s="37">
        <f t="shared" ca="1" si="118"/>
        <v>0.43542735388627729</v>
      </c>
      <c r="BO14" s="37">
        <f t="shared" ca="1" si="119"/>
        <v>0.16449477813481589</v>
      </c>
      <c r="BP14" s="37">
        <f t="shared" ca="1" si="120"/>
        <v>1.8663074607517476</v>
      </c>
      <c r="BQ14" s="37">
        <f t="shared" ca="1" si="121"/>
        <v>7.6118865394319588</v>
      </c>
      <c r="BR14" s="37">
        <f t="shared" ca="1" si="122"/>
        <v>0.79907051541470797</v>
      </c>
      <c r="BS14" s="37">
        <f t="shared" ca="1" si="123"/>
        <v>0.6870076027983486</v>
      </c>
      <c r="BT14" s="37">
        <f t="shared" ca="1" si="124"/>
        <v>0.59024596860139811</v>
      </c>
      <c r="BU14" s="37">
        <f t="shared" ca="1" si="125"/>
        <v>3.8611147794568943</v>
      </c>
      <c r="BV14" s="37">
        <f t="shared" ca="1" si="126"/>
        <v>5.2975415651567666</v>
      </c>
      <c r="BW14" s="37">
        <f t="shared" ca="1" si="127"/>
        <v>0.87601804652871684</v>
      </c>
      <c r="BX14" s="37">
        <f t="shared" ca="1" si="128"/>
        <v>2.484330587099048</v>
      </c>
      <c r="BY14" s="37">
        <f t="shared" ca="1" si="129"/>
        <v>2.9352302854152805</v>
      </c>
      <c r="BZ14" s="37">
        <f t="shared" ca="1" si="130"/>
        <v>5.982730002644157</v>
      </c>
      <c r="CA14" s="37">
        <f t="shared" ca="1" si="131"/>
        <v>2.9352302854152805</v>
      </c>
      <c r="CB14" s="37">
        <f t="shared" ca="1" si="132"/>
        <v>3.2172224526175039</v>
      </c>
      <c r="CC14" s="37">
        <f t="shared" ca="1" si="133"/>
        <v>6.9331669303906311</v>
      </c>
      <c r="CD14" s="37">
        <f t="shared" ca="1" si="134"/>
        <v>3.2172224526175039</v>
      </c>
      <c r="CE14" s="37">
        <f t="shared" ca="1" si="135"/>
        <v>1.5297602137309407</v>
      </c>
    </row>
    <row r="15" spans="1:83" x14ac:dyDescent="0.25">
      <c r="A15" t="str">
        <f>PLANTILLA!D16</f>
        <v>J. G. Peñuela</v>
      </c>
      <c r="B15">
        <f>PLANTILLA!E16</f>
        <v>17</v>
      </c>
      <c r="C15" s="33">
        <f ca="1">PLANTILLA!F16</f>
        <v>65</v>
      </c>
      <c r="D15" s="220" t="str">
        <f>PLANTILLA!G16</f>
        <v>IMP</v>
      </c>
      <c r="E15" s="30">
        <f>PLANTILLA!M16</f>
        <v>43054</v>
      </c>
      <c r="F15" s="47">
        <f>PLANTILLA!Q16</f>
        <v>7</v>
      </c>
      <c r="G15" s="48">
        <f t="shared" si="1"/>
        <v>1</v>
      </c>
      <c r="H15" s="48">
        <f t="shared" si="2"/>
        <v>1</v>
      </c>
      <c r="I15" s="51">
        <f t="shared" ca="1" si="3"/>
        <v>0.38959686123698983</v>
      </c>
      <c r="J15" s="39">
        <f>PLANTILLA!I16</f>
        <v>1</v>
      </c>
      <c r="K15" s="46">
        <f>PLANTILLA!X16</f>
        <v>0</v>
      </c>
      <c r="L15" s="46">
        <f>PLANTILLA!Y16</f>
        <v>3</v>
      </c>
      <c r="M15" s="46">
        <f>PLANTILLA!Z16</f>
        <v>5</v>
      </c>
      <c r="N15" s="46">
        <f>PLANTILLA!AA16</f>
        <v>4</v>
      </c>
      <c r="O15" s="46">
        <f>PLANTILLA!AB16</f>
        <v>4.25</v>
      </c>
      <c r="P15" s="46">
        <f>PLANTILLA!AC16</f>
        <v>4.66</v>
      </c>
      <c r="Q15" s="46">
        <f>PLANTILLA!AD16</f>
        <v>3</v>
      </c>
      <c r="R15" s="46">
        <f t="shared" si="70"/>
        <v>1.8125</v>
      </c>
      <c r="S15" s="46">
        <f t="shared" si="71"/>
        <v>0.32300000000000001</v>
      </c>
      <c r="T15" s="46">
        <f t="shared" si="72"/>
        <v>0.21000000000000002</v>
      </c>
      <c r="U15" s="46">
        <f t="shared" ca="1" si="73"/>
        <v>3.3895968612369898</v>
      </c>
      <c r="V15" s="46">
        <f t="shared" ca="1" si="74"/>
        <v>3.3895968612369898</v>
      </c>
      <c r="W15" s="37">
        <f t="shared" ca="1" si="75"/>
        <v>1.1681180598598921</v>
      </c>
      <c r="X15" s="37">
        <f t="shared" ca="1" si="76"/>
        <v>1.7779695478569539</v>
      </c>
      <c r="Y15" s="37">
        <f t="shared" ca="1" si="77"/>
        <v>1.1681180598598921</v>
      </c>
      <c r="Z15" s="37">
        <f t="shared" ca="1" si="78"/>
        <v>1.73116551970388</v>
      </c>
      <c r="AA15" s="37">
        <f t="shared" ca="1" si="79"/>
        <v>3.3895968612369898</v>
      </c>
      <c r="AB15" s="37">
        <f t="shared" ca="1" si="80"/>
        <v>0.86558275985194</v>
      </c>
      <c r="AC15" s="37">
        <f t="shared" ca="1" si="81"/>
        <v>1.6156898519132725</v>
      </c>
      <c r="AD15" s="37">
        <f t="shared" ca="1" si="82"/>
        <v>1.2681793923412144</v>
      </c>
      <c r="AE15" s="37">
        <f t="shared" ca="1" si="83"/>
        <v>2.4506785306743435</v>
      </c>
      <c r="AF15" s="37">
        <f t="shared" ca="1" si="84"/>
        <v>0.63408969617060718</v>
      </c>
      <c r="AG15" s="37">
        <f t="shared" ca="1" si="85"/>
        <v>2.6136159369185292</v>
      </c>
      <c r="AH15" s="37">
        <f t="shared" ca="1" si="86"/>
        <v>3.1184291123380308</v>
      </c>
      <c r="AI15" s="37">
        <f t="shared" ca="1" si="87"/>
        <v>1.5079995906744641</v>
      </c>
      <c r="AJ15" s="37">
        <f t="shared" ca="1" si="88"/>
        <v>0.9000626758265774</v>
      </c>
      <c r="AK15" s="37">
        <f t="shared" ca="1" si="89"/>
        <v>2.5810829544073499</v>
      </c>
      <c r="AL15" s="37">
        <f t="shared" ca="1" si="90"/>
        <v>2.5557560333726901</v>
      </c>
      <c r="AM15" s="37">
        <f t="shared" ca="1" si="91"/>
        <v>2.5788978507186489</v>
      </c>
      <c r="AN15" s="37">
        <f t="shared" ca="1" si="92"/>
        <v>0.56606267582657732</v>
      </c>
      <c r="AO15" s="37">
        <f t="shared" ca="1" si="93"/>
        <v>0.63420389603625305</v>
      </c>
      <c r="AP15" s="37">
        <f t="shared" ca="1" si="94"/>
        <v>0.91519115253398731</v>
      </c>
      <c r="AQ15" s="37">
        <f t="shared" ca="1" si="95"/>
        <v>2.0134205355747716</v>
      </c>
      <c r="AR15" s="37">
        <f t="shared" ca="1" si="96"/>
        <v>0.45759557626699365</v>
      </c>
      <c r="AS15" s="37">
        <f t="shared" ca="1" si="97"/>
        <v>5.0877794370077183</v>
      </c>
      <c r="AT15" s="37">
        <f t="shared" ca="1" si="98"/>
        <v>0.6031475919608088</v>
      </c>
      <c r="AU15" s="37">
        <f t="shared" ca="1" si="99"/>
        <v>1.4303318803424379</v>
      </c>
      <c r="AV15" s="37">
        <f t="shared" ca="1" si="100"/>
        <v>0.3015737959804044</v>
      </c>
      <c r="AW15" s="37">
        <f t="shared" ca="1" si="101"/>
        <v>0.64063380677379111</v>
      </c>
      <c r="AX15" s="37">
        <f t="shared" ca="1" si="102"/>
        <v>1.3558387444947959</v>
      </c>
      <c r="AY15" s="37">
        <f t="shared" ca="1" si="103"/>
        <v>0.32031690338689556</v>
      </c>
      <c r="AZ15" s="37">
        <f t="shared" ca="1" si="104"/>
        <v>5.3895968612369902</v>
      </c>
      <c r="BA15" s="37">
        <f t="shared" ca="1" si="105"/>
        <v>1.1738180058929586</v>
      </c>
      <c r="BB15" s="37">
        <f t="shared" ca="1" si="106"/>
        <v>2.6425178705415817</v>
      </c>
      <c r="BC15" s="37">
        <f t="shared" ca="1" si="107"/>
        <v>0.5869090029464793</v>
      </c>
      <c r="BD15" s="37">
        <f t="shared" ca="1" si="108"/>
        <v>0.98637268661996391</v>
      </c>
      <c r="BE15" s="37">
        <f t="shared" ca="1" si="109"/>
        <v>1.1795797077104724</v>
      </c>
      <c r="BF15" s="37">
        <f t="shared" ca="1" si="110"/>
        <v>4.7482348347497885</v>
      </c>
      <c r="BG15" s="37">
        <f t="shared" ca="1" si="111"/>
        <v>3.9811016096396843</v>
      </c>
      <c r="BH15" s="37">
        <f t="shared" ca="1" si="112"/>
        <v>1.1181428435581147</v>
      </c>
      <c r="BI15" s="37">
        <f t="shared" ca="1" si="113"/>
        <v>1.64395447769994</v>
      </c>
      <c r="BJ15" s="37">
        <f t="shared" ca="1" si="114"/>
        <v>0.89485357136656529</v>
      </c>
      <c r="BK15" s="37">
        <f t="shared" ca="1" si="115"/>
        <v>2.0534364041312934</v>
      </c>
      <c r="BL15" s="37">
        <f t="shared" ca="1" si="116"/>
        <v>3.8867576567211302</v>
      </c>
      <c r="BM15" s="37">
        <f t="shared" ca="1" si="117"/>
        <v>0.24125903678432348</v>
      </c>
      <c r="BN15" s="37">
        <f t="shared" ca="1" si="118"/>
        <v>0.61012743502265809</v>
      </c>
      <c r="BO15" s="37">
        <f t="shared" ca="1" si="119"/>
        <v>0.23049258656411531</v>
      </c>
      <c r="BP15" s="37">
        <f t="shared" ca="1" si="120"/>
        <v>1.6438270426772821</v>
      </c>
      <c r="BQ15" s="37">
        <f t="shared" ca="1" si="121"/>
        <v>5.7165215635507689</v>
      </c>
      <c r="BR15" s="37">
        <f t="shared" ca="1" si="122"/>
        <v>0.62634557626699372</v>
      </c>
      <c r="BS15" s="37">
        <f t="shared" ca="1" si="123"/>
        <v>0.96264550859130504</v>
      </c>
      <c r="BT15" s="37">
        <f t="shared" ca="1" si="124"/>
        <v>0.82706163414182554</v>
      </c>
      <c r="BU15" s="37">
        <f t="shared" ca="1" si="125"/>
        <v>3.4008356194405409</v>
      </c>
      <c r="BV15" s="37">
        <f t="shared" ca="1" si="126"/>
        <v>3.9769391908071059</v>
      </c>
      <c r="BW15" s="37">
        <f t="shared" ca="1" si="127"/>
        <v>0.68666033546307448</v>
      </c>
      <c r="BX15" s="37">
        <f t="shared" ca="1" si="128"/>
        <v>2.188176325662218</v>
      </c>
      <c r="BY15" s="37">
        <f t="shared" ca="1" si="129"/>
        <v>2.4332999647044722</v>
      </c>
      <c r="BZ15" s="37">
        <f t="shared" ca="1" si="130"/>
        <v>5.4632160657528512</v>
      </c>
      <c r="CA15" s="37">
        <f t="shared" ca="1" si="131"/>
        <v>2.4332999647044722</v>
      </c>
      <c r="CB15" s="37">
        <f t="shared" ca="1" si="132"/>
        <v>3.0000388445506454</v>
      </c>
      <c r="CC15" s="37">
        <f t="shared" ca="1" si="133"/>
        <v>6.7616081030334394</v>
      </c>
      <c r="CD15" s="37">
        <f t="shared" ca="1" si="134"/>
        <v>3.0000388445506454</v>
      </c>
      <c r="CE15" s="37">
        <f t="shared" ca="1" si="135"/>
        <v>1.3473992153092476</v>
      </c>
    </row>
    <row r="16" spans="1:83" x14ac:dyDescent="0.25">
      <c r="A16" t="str">
        <f>PLANTILLA!D17</f>
        <v>Paulo Beltrán</v>
      </c>
      <c r="B16">
        <f>PLANTILLA!E17</f>
        <v>17</v>
      </c>
      <c r="C16" s="33">
        <f ca="1">PLANTILLA!F17</f>
        <v>73</v>
      </c>
      <c r="D16" s="220" t="str">
        <f>PLANTILLA!G17</f>
        <v>RAP</v>
      </c>
      <c r="E16" s="30">
        <f>PLANTILLA!M17</f>
        <v>43046</v>
      </c>
      <c r="F16" s="47">
        <f>PLANTILLA!Q17</f>
        <v>6</v>
      </c>
      <c r="G16" s="48">
        <f t="shared" si="1"/>
        <v>0.92582009977255142</v>
      </c>
      <c r="H16" s="48">
        <f t="shared" si="2"/>
        <v>0.99928545900129484</v>
      </c>
      <c r="I16" s="51">
        <f t="shared" ca="1" si="3"/>
        <v>0.41904085492376286</v>
      </c>
      <c r="J16" s="39">
        <f>PLANTILLA!I17</f>
        <v>1</v>
      </c>
      <c r="K16" s="46">
        <f>PLANTILLA!X17</f>
        <v>0</v>
      </c>
      <c r="L16" s="46">
        <f>PLANTILLA!Y17</f>
        <v>4</v>
      </c>
      <c r="M16" s="46">
        <f>PLANTILLA!Z17</f>
        <v>2</v>
      </c>
      <c r="N16" s="46">
        <f>PLANTILLA!AA17</f>
        <v>5</v>
      </c>
      <c r="O16" s="46">
        <f>PLANTILLA!AB17</f>
        <v>4</v>
      </c>
      <c r="P16" s="46">
        <f>PLANTILLA!AC17</f>
        <v>4.1764705882352935</v>
      </c>
      <c r="Q16" s="46">
        <f>PLANTILLA!AD17</f>
        <v>4</v>
      </c>
      <c r="R16" s="46">
        <f t="shared" si="70"/>
        <v>1.875</v>
      </c>
      <c r="S16" s="46">
        <f t="shared" si="71"/>
        <v>0.32882352941176468</v>
      </c>
      <c r="T16" s="46">
        <f t="shared" si="72"/>
        <v>0.27999999999999997</v>
      </c>
      <c r="U16" s="46">
        <f t="shared" ca="1" si="73"/>
        <v>4.0912368452044987</v>
      </c>
      <c r="V16" s="46">
        <f t="shared" ca="1" si="74"/>
        <v>4.415883269057967</v>
      </c>
      <c r="W16" s="37">
        <f t="shared" ca="1" si="75"/>
        <v>1.4698226663484451</v>
      </c>
      <c r="X16" s="37">
        <f t="shared" ca="1" si="76"/>
        <v>2.2409817437065778</v>
      </c>
      <c r="Y16" s="37">
        <f t="shared" ca="1" si="77"/>
        <v>1.4698226663484451</v>
      </c>
      <c r="Z16" s="37">
        <f t="shared" ca="1" si="78"/>
        <v>2.2610083530077008</v>
      </c>
      <c r="AA16" s="37">
        <f t="shared" ca="1" si="79"/>
        <v>4.4190408549237628</v>
      </c>
      <c r="AB16" s="37">
        <f t="shared" ca="1" si="80"/>
        <v>1.1305041765038504</v>
      </c>
      <c r="AC16" s="37">
        <f t="shared" ca="1" si="81"/>
        <v>0.93386159290846837</v>
      </c>
      <c r="AD16" s="37">
        <f t="shared" ca="1" si="82"/>
        <v>1.656320072552153</v>
      </c>
      <c r="AE16" s="37">
        <f t="shared" ca="1" si="83"/>
        <v>3.1949665381098802</v>
      </c>
      <c r="AF16" s="37">
        <f t="shared" ca="1" si="84"/>
        <v>0.82816003627607648</v>
      </c>
      <c r="AG16" s="37">
        <f t="shared" ca="1" si="85"/>
        <v>1.5106584591166401</v>
      </c>
      <c r="AH16" s="37">
        <f t="shared" ca="1" si="86"/>
        <v>4.0655175865298618</v>
      </c>
      <c r="AI16" s="37">
        <f t="shared" ca="1" si="87"/>
        <v>1.9421026537320973</v>
      </c>
      <c r="AJ16" s="37">
        <f t="shared" ca="1" si="88"/>
        <v>0.4039798227722684</v>
      </c>
      <c r="AK16" s="37">
        <f t="shared" ca="1" si="89"/>
        <v>3.1863960226951722</v>
      </c>
      <c r="AL16" s="37">
        <f t="shared" ca="1" si="90"/>
        <v>3.331956804612517</v>
      </c>
      <c r="AM16" s="37">
        <f t="shared" ca="1" si="91"/>
        <v>3.3212770020346012</v>
      </c>
      <c r="AN16" s="37">
        <f t="shared" ca="1" si="92"/>
        <v>0.73797982277226837</v>
      </c>
      <c r="AO16" s="37">
        <f t="shared" ca="1" si="93"/>
        <v>0.66068376621804359</v>
      </c>
      <c r="AP16" s="37">
        <f t="shared" ca="1" si="94"/>
        <v>1.1931410308294159</v>
      </c>
      <c r="AQ16" s="37">
        <f t="shared" ca="1" si="95"/>
        <v>2.6249102678247151</v>
      </c>
      <c r="AR16" s="37">
        <f t="shared" ca="1" si="96"/>
        <v>0.59657051541470796</v>
      </c>
      <c r="AS16" s="37">
        <f t="shared" ca="1" si="97"/>
        <v>2.2835745670480319</v>
      </c>
      <c r="AT16" s="37">
        <f t="shared" ca="1" si="98"/>
        <v>0.57447531114008921</v>
      </c>
      <c r="AU16" s="37">
        <f t="shared" ca="1" si="99"/>
        <v>1.3253083822573681</v>
      </c>
      <c r="AV16" s="37">
        <f t="shared" ca="1" si="100"/>
        <v>0.2872376555700446</v>
      </c>
      <c r="AW16" s="37">
        <f t="shared" ca="1" si="101"/>
        <v>0.83519872158059116</v>
      </c>
      <c r="AX16" s="37">
        <f t="shared" ca="1" si="102"/>
        <v>1.7676163419695052</v>
      </c>
      <c r="AY16" s="37">
        <f t="shared" ca="1" si="103"/>
        <v>0.41759936079029558</v>
      </c>
      <c r="AZ16" s="37">
        <f t="shared" ca="1" si="104"/>
        <v>2.4190408549237628</v>
      </c>
      <c r="BA16" s="37">
        <f t="shared" ca="1" si="105"/>
        <v>1.118017336295712</v>
      </c>
      <c r="BB16" s="37">
        <f t="shared" ca="1" si="106"/>
        <v>2.471950334592405</v>
      </c>
      <c r="BC16" s="37">
        <f t="shared" ca="1" si="107"/>
        <v>0.55900866814785599</v>
      </c>
      <c r="BD16" s="37">
        <f t="shared" ca="1" si="108"/>
        <v>1.285940888782815</v>
      </c>
      <c r="BE16" s="37">
        <f t="shared" ca="1" si="109"/>
        <v>1.5378262175134694</v>
      </c>
      <c r="BF16" s="37">
        <f t="shared" ca="1" si="110"/>
        <v>2.1311749931878352</v>
      </c>
      <c r="BG16" s="37">
        <f t="shared" ca="1" si="111"/>
        <v>4.5025273200272249</v>
      </c>
      <c r="BH16" s="37">
        <f t="shared" ca="1" si="112"/>
        <v>1.0649888460366268</v>
      </c>
      <c r="BI16" s="37">
        <f t="shared" ca="1" si="113"/>
        <v>2.1432348146380247</v>
      </c>
      <c r="BJ16" s="37">
        <f t="shared" ca="1" si="114"/>
        <v>1.1666267856998733</v>
      </c>
      <c r="BK16" s="37">
        <f t="shared" ca="1" si="115"/>
        <v>0.92165456572595361</v>
      </c>
      <c r="BL16" s="37">
        <f t="shared" ca="1" si="116"/>
        <v>4.5352417072033688</v>
      </c>
      <c r="BM16" s="37">
        <f t="shared" ca="1" si="117"/>
        <v>0.22979012445603567</v>
      </c>
      <c r="BN16" s="37">
        <f t="shared" ca="1" si="118"/>
        <v>0.79542735388627728</v>
      </c>
      <c r="BO16" s="37">
        <f t="shared" ca="1" si="119"/>
        <v>0.3004947781348159</v>
      </c>
      <c r="BP16" s="37">
        <f t="shared" ca="1" si="120"/>
        <v>0.73780746075174763</v>
      </c>
      <c r="BQ16" s="37">
        <f t="shared" ca="1" si="121"/>
        <v>6.6828865394319585</v>
      </c>
      <c r="BR16" s="37">
        <f t="shared" ca="1" si="122"/>
        <v>0.59657051541470796</v>
      </c>
      <c r="BS16" s="37">
        <f t="shared" ca="1" si="123"/>
        <v>1.2550076027983486</v>
      </c>
      <c r="BT16" s="37">
        <f t="shared" ca="1" si="124"/>
        <v>1.0782459686013981</v>
      </c>
      <c r="BU16" s="37">
        <f t="shared" ca="1" si="125"/>
        <v>1.5264147794568943</v>
      </c>
      <c r="BV16" s="37">
        <f t="shared" ca="1" si="126"/>
        <v>4.6570415651567671</v>
      </c>
      <c r="BW16" s="37">
        <f t="shared" ca="1" si="127"/>
        <v>0.65401804652871687</v>
      </c>
      <c r="BX16" s="37">
        <f t="shared" ca="1" si="128"/>
        <v>0.98213058709904777</v>
      </c>
      <c r="BY16" s="37">
        <f t="shared" ca="1" si="129"/>
        <v>2.4687320501211625</v>
      </c>
      <c r="BZ16" s="37">
        <f t="shared" ca="1" si="130"/>
        <v>5.0787223555853327</v>
      </c>
      <c r="CA16" s="37">
        <f t="shared" ca="1" si="131"/>
        <v>2.4687320501211625</v>
      </c>
      <c r="CB16" s="37">
        <f t="shared" ca="1" si="132"/>
        <v>3.0450036290880922</v>
      </c>
      <c r="CC16" s="37">
        <f t="shared" ca="1" si="133"/>
        <v>6.2261375186259249</v>
      </c>
      <c r="CD16" s="37">
        <f t="shared" ca="1" si="134"/>
        <v>3.0450036290880922</v>
      </c>
      <c r="CE16" s="37">
        <f t="shared" ca="1" si="135"/>
        <v>0.60476021373094069</v>
      </c>
    </row>
    <row r="17" spans="1:83" x14ac:dyDescent="0.25">
      <c r="A17" t="str">
        <f>PLANTILLA!D19</f>
        <v>Nicolás Eans</v>
      </c>
      <c r="B17">
        <f>PLANTILLA!E19</f>
        <v>17</v>
      </c>
      <c r="C17" s="33">
        <f ca="1">PLANTILLA!F19</f>
        <v>106</v>
      </c>
      <c r="D17" s="220" t="str">
        <f>PLANTILLA!G19</f>
        <v>TEC</v>
      </c>
      <c r="E17" s="30">
        <f>PLANTILLA!M19</f>
        <v>43046</v>
      </c>
      <c r="F17" s="47">
        <f>PLANTILLA!Q19</f>
        <v>7</v>
      </c>
      <c r="G17" s="48">
        <f t="shared" si="1"/>
        <v>1</v>
      </c>
      <c r="H17" s="48">
        <f t="shared" si="2"/>
        <v>1</v>
      </c>
      <c r="I17" s="51">
        <f t="shared" ca="1" si="3"/>
        <v>0.41904085492376286</v>
      </c>
      <c r="J17" s="39">
        <f>PLANTILLA!I19</f>
        <v>0.5</v>
      </c>
      <c r="K17" s="46">
        <f>PLANTILLA!X19</f>
        <v>0</v>
      </c>
      <c r="L17" s="46">
        <f>PLANTILLA!Y19</f>
        <v>5</v>
      </c>
      <c r="M17" s="46">
        <f>PLANTILLA!Z19</f>
        <v>2</v>
      </c>
      <c r="N17" s="46">
        <f>PLANTILLA!AA19</f>
        <v>3</v>
      </c>
      <c r="O17" s="46">
        <f>PLANTILLA!AB19</f>
        <v>4.75</v>
      </c>
      <c r="P17" s="46">
        <f>PLANTILLA!AC19</f>
        <v>6.1304347826086962</v>
      </c>
      <c r="Q17" s="46">
        <f>PLANTILLA!AD19</f>
        <v>3</v>
      </c>
      <c r="R17" s="46">
        <f t="shared" si="70"/>
        <v>2.1875</v>
      </c>
      <c r="S17" s="46">
        <f t="shared" si="71"/>
        <v>0.39652173913043481</v>
      </c>
      <c r="T17" s="46">
        <f t="shared" si="72"/>
        <v>0.28999999999999998</v>
      </c>
      <c r="U17" s="46">
        <f t="shared" ca="1" si="73"/>
        <v>3.0176675273717879</v>
      </c>
      <c r="V17" s="46">
        <f t="shared" ca="1" si="74"/>
        <v>3.0176675273717879</v>
      </c>
      <c r="W17" s="37">
        <f t="shared" ca="1" si="75"/>
        <v>1.395423751395571</v>
      </c>
      <c r="X17" s="37">
        <f t="shared" ca="1" si="76"/>
        <v>2.1478087778369783</v>
      </c>
      <c r="Y17" s="37">
        <f t="shared" ca="1" si="77"/>
        <v>1.395423751395571</v>
      </c>
      <c r="Z17" s="37">
        <f t="shared" ca="1" si="78"/>
        <v>2.5698997159908816</v>
      </c>
      <c r="AA17" s="37">
        <f t="shared" ca="1" si="79"/>
        <v>5.0176675273717875</v>
      </c>
      <c r="AB17" s="37">
        <f t="shared" ca="1" si="80"/>
        <v>1.2849498579954408</v>
      </c>
      <c r="AC17" s="37">
        <f t="shared" ca="1" si="81"/>
        <v>0.83833474095109839</v>
      </c>
      <c r="AD17" s="37">
        <f t="shared" ca="1" si="82"/>
        <v>1.8826009547375062</v>
      </c>
      <c r="AE17" s="37">
        <f t="shared" ca="1" si="83"/>
        <v>3.6277736222898023</v>
      </c>
      <c r="AF17" s="37">
        <f t="shared" ca="1" si="84"/>
        <v>0.94130047736875311</v>
      </c>
      <c r="AG17" s="37">
        <f t="shared" ca="1" si="85"/>
        <v>1.3561297280091298</v>
      </c>
      <c r="AH17" s="37">
        <f t="shared" ca="1" si="86"/>
        <v>4.6162541251820448</v>
      </c>
      <c r="AI17" s="37">
        <f t="shared" ca="1" si="87"/>
        <v>2.1899340961255795</v>
      </c>
      <c r="AJ17" s="37">
        <f t="shared" ca="1" si="88"/>
        <v>0.33695047707108861</v>
      </c>
      <c r="AK17" s="37">
        <f t="shared" ca="1" si="89"/>
        <v>1.7743885060946112</v>
      </c>
      <c r="AL17" s="37">
        <f t="shared" ca="1" si="90"/>
        <v>3.7833213156383279</v>
      </c>
      <c r="AM17" s="37">
        <f t="shared" ca="1" si="91"/>
        <v>3.7451046861278026</v>
      </c>
      <c r="AN17" s="37">
        <f t="shared" ca="1" si="92"/>
        <v>0.50395047707108864</v>
      </c>
      <c r="AO17" s="37">
        <f t="shared" ca="1" si="93"/>
        <v>0.63508824788307483</v>
      </c>
      <c r="AP17" s="37">
        <f t="shared" ca="1" si="94"/>
        <v>1.3547702323903827</v>
      </c>
      <c r="AQ17" s="37">
        <f t="shared" ca="1" si="95"/>
        <v>2.9804945112588417</v>
      </c>
      <c r="AR17" s="37">
        <f t="shared" ca="1" si="96"/>
        <v>0.67738511619519137</v>
      </c>
      <c r="AS17" s="37">
        <f t="shared" ca="1" si="97"/>
        <v>1.9046781458389677</v>
      </c>
      <c r="AT17" s="37">
        <f t="shared" ca="1" si="98"/>
        <v>0.61979677855833237</v>
      </c>
      <c r="AU17" s="37">
        <f t="shared" ca="1" si="99"/>
        <v>1.6357418029112383</v>
      </c>
      <c r="AV17" s="37">
        <f t="shared" ca="1" si="100"/>
        <v>0.30989838927916619</v>
      </c>
      <c r="AW17" s="37">
        <f t="shared" ca="1" si="101"/>
        <v>0.94833916267326779</v>
      </c>
      <c r="AX17" s="37">
        <f t="shared" ca="1" si="102"/>
        <v>2.007067010948715</v>
      </c>
      <c r="AY17" s="37">
        <f t="shared" ca="1" si="103"/>
        <v>0.47416958133663389</v>
      </c>
      <c r="AZ17" s="37">
        <f t="shared" ca="1" si="104"/>
        <v>2.0176675273717879</v>
      </c>
      <c r="BA17" s="37">
        <f t="shared" ca="1" si="105"/>
        <v>1.2062198844250622</v>
      </c>
      <c r="BB17" s="37">
        <f t="shared" ca="1" si="106"/>
        <v>2.9168761119296809</v>
      </c>
      <c r="BC17" s="37">
        <f t="shared" ca="1" si="107"/>
        <v>0.60310994221253111</v>
      </c>
      <c r="BD17" s="37">
        <f t="shared" ca="1" si="108"/>
        <v>1.4601412504651901</v>
      </c>
      <c r="BE17" s="37">
        <f t="shared" ca="1" si="109"/>
        <v>1.7461482995253819</v>
      </c>
      <c r="BF17" s="37">
        <f t="shared" ca="1" si="110"/>
        <v>1.7775650916145451</v>
      </c>
      <c r="BG17" s="37">
        <f t="shared" ca="1" si="111"/>
        <v>3.2339564318335192</v>
      </c>
      <c r="BH17" s="37">
        <f t="shared" ca="1" si="112"/>
        <v>1.1490078740966008</v>
      </c>
      <c r="BI17" s="37">
        <f t="shared" ca="1" si="113"/>
        <v>2.4335687507753168</v>
      </c>
      <c r="BJ17" s="37">
        <f t="shared" ca="1" si="114"/>
        <v>1.324664227226152</v>
      </c>
      <c r="BK17" s="37">
        <f t="shared" ca="1" si="115"/>
        <v>0.76873132792865118</v>
      </c>
      <c r="BL17" s="37">
        <f t="shared" ca="1" si="116"/>
        <v>2.9891914189229429</v>
      </c>
      <c r="BM17" s="37">
        <f t="shared" ca="1" si="117"/>
        <v>0.24791871142333294</v>
      </c>
      <c r="BN17" s="37">
        <f t="shared" ca="1" si="118"/>
        <v>0.90318015492692172</v>
      </c>
      <c r="BO17" s="37">
        <f t="shared" ca="1" si="119"/>
        <v>0.34120139186128157</v>
      </c>
      <c r="BP17" s="37">
        <f t="shared" ca="1" si="120"/>
        <v>0.61538859584839534</v>
      </c>
      <c r="BQ17" s="37">
        <f t="shared" ca="1" si="121"/>
        <v>4.3812204402001189</v>
      </c>
      <c r="BR17" s="37">
        <f t="shared" ca="1" si="122"/>
        <v>0.64363511619519131</v>
      </c>
      <c r="BS17" s="37">
        <f t="shared" ca="1" si="123"/>
        <v>1.4250175777735876</v>
      </c>
      <c r="BT17" s="37">
        <f t="shared" ca="1" si="124"/>
        <v>1.2243108766787161</v>
      </c>
      <c r="BU17" s="37">
        <f t="shared" ca="1" si="125"/>
        <v>1.2731482097715983</v>
      </c>
      <c r="BV17" s="37">
        <f t="shared" ca="1" si="126"/>
        <v>3.0385624369977502</v>
      </c>
      <c r="BW17" s="37">
        <f t="shared" ca="1" si="127"/>
        <v>0.70561479405102456</v>
      </c>
      <c r="BX17" s="37">
        <f t="shared" ca="1" si="128"/>
        <v>0.81917301611294591</v>
      </c>
      <c r="BY17" s="37">
        <f t="shared" ca="1" si="129"/>
        <v>2.778183401341749</v>
      </c>
      <c r="BZ17" s="37">
        <f t="shared" ca="1" si="130"/>
        <v>6.173187114081502</v>
      </c>
      <c r="CA17" s="37">
        <f t="shared" ca="1" si="131"/>
        <v>2.778183401341749</v>
      </c>
      <c r="CB17" s="37">
        <f t="shared" ca="1" si="132"/>
        <v>3.1384416521613194</v>
      </c>
      <c r="CC17" s="37">
        <f t="shared" ca="1" si="133"/>
        <v>7.9073716275806731</v>
      </c>
      <c r="CD17" s="37">
        <f t="shared" ca="1" si="134"/>
        <v>3.1384416521613194</v>
      </c>
      <c r="CE17" s="37">
        <f t="shared" ca="1" si="135"/>
        <v>0.50441688184294697</v>
      </c>
    </row>
    <row r="18" spans="1:83" x14ac:dyDescent="0.25">
      <c r="A18" t="str">
        <f>PLANTILLA!D20</f>
        <v>Noel Fuster</v>
      </c>
      <c r="B18">
        <f>PLANTILLA!E20</f>
        <v>17</v>
      </c>
      <c r="C18" s="33">
        <f ca="1">PLANTILLA!F20</f>
        <v>62</v>
      </c>
      <c r="D18" s="220" t="str">
        <f>PLANTILLA!G20</f>
        <v>IMP</v>
      </c>
      <c r="E18" s="30">
        <f>PLANTILLA!M20</f>
        <v>43046</v>
      </c>
      <c r="F18" s="47">
        <f>PLANTILLA!Q20</f>
        <v>6</v>
      </c>
      <c r="G18" s="48">
        <f t="shared" si="1"/>
        <v>0.92582009977255142</v>
      </c>
      <c r="H18" s="48">
        <f t="shared" si="2"/>
        <v>0.99928545900129484</v>
      </c>
      <c r="I18" s="51">
        <f t="shared" ca="1" si="3"/>
        <v>0.41904085492376286</v>
      </c>
      <c r="J18" s="39">
        <f>PLANTILLA!I20</f>
        <v>0.5</v>
      </c>
      <c r="K18" s="46">
        <f>PLANTILLA!X20</f>
        <v>0</v>
      </c>
      <c r="L18" s="46">
        <f>PLANTILLA!Y20</f>
        <v>4</v>
      </c>
      <c r="M18" s="46">
        <f>PLANTILLA!Z20</f>
        <v>2</v>
      </c>
      <c r="N18" s="46">
        <f>PLANTILLA!AA20</f>
        <v>2</v>
      </c>
      <c r="O18" s="46">
        <f>PLANTILLA!AB20</f>
        <v>3.0496666666666665</v>
      </c>
      <c r="P18" s="46">
        <f>PLANTILLA!AC20</f>
        <v>5.052777777777778</v>
      </c>
      <c r="Q18" s="46">
        <f>PLANTILLA!AD20</f>
        <v>2.5</v>
      </c>
      <c r="R18" s="46">
        <f t="shared" ref="R18:R20" si="136">((2*(O18+1))+(L18+1))/8</f>
        <v>1.6374166666666667</v>
      </c>
      <c r="S18" s="46">
        <f t="shared" ref="S18:S20" si="137">(0.5*P18+ 0.3*Q18)/10</f>
        <v>0.32763888888888892</v>
      </c>
      <c r="T18" s="46">
        <f t="shared" ref="T18:T20" si="138">(0.4*L18+0.3*Q18)/10</f>
        <v>0.23500000000000001</v>
      </c>
      <c r="U18" s="46">
        <f t="shared" ref="U18:U20" ca="1" si="139">IF(TODAY()-E18&gt;335,(Q18+1+(LOG(J18)*4/3))*(F18/7)^0.5,(Q18+((TODAY()-E18)^0.5)/(336^0.5)+(LOG(J18)*4/3))*(F18/7)^0.5)</f>
        <v>2.3309072013854615</v>
      </c>
      <c r="V18" s="46">
        <f t="shared" ref="V18:V20" ca="1" si="140">IF(F18=7,U18,IF(TODAY()-E18&gt;335,(Q18+1+(LOG(J18)*4/3))*((F18+0.99)/7)^0.5,(Q18+((TODAY()-E18)^0.5)/(336^0.5)+(LOG(J18)*4/3))*((F18+0.99)/7)^0.5))</f>
        <v>2.5158685507023719</v>
      </c>
      <c r="W18" s="37">
        <f t="shared" ref="W18:W20" ca="1" si="141">IF(TODAY()-E18&gt;335,((K18+1+(LOG(J18)*4/3))*0.597)+((L18+1+(LOG(J18)*4/3))*0.276),((K18+(((TODAY()-E18)^0.5)/(336^0.5))+(LOG(J18)*4/3))*0.597)+((L18+(((TODAY()-E18)^0.5)/(336^0.5))+(LOG(J18)*4/3))*0.276))</f>
        <v>1.1194237513955709</v>
      </c>
      <c r="X18" s="37">
        <f t="shared" ref="X18:X20" ca="1" si="142">IF(TODAY()-E18&gt;335,((K18+1+(LOG(J18)*4/3))*0.866)+((L18+1+(LOG(J18)*4/3))*0.425),((K18+(((TODAY()-E18)^0.5)/(336^0.5))+(LOG(J18)*4/3))*0.866)+((L18+(((TODAY()-E18)^0.5)/(336^0.5))+(LOG(J18)*4/3))*0.425))</f>
        <v>1.7228087778369778</v>
      </c>
      <c r="Y18" s="37">
        <f t="shared" ref="Y18:Y20" ca="1" si="143">W18</f>
        <v>1.1194237513955709</v>
      </c>
      <c r="Z18" s="37">
        <f t="shared" ref="Z18:Z20" ca="1" si="144">IF(TODAY()-E18&gt;335,((L18+1+(LOG(J18)*4/3))*0.516),((L18+(((TODAY()-E18)^0.5)/(336^0.516))+(LOG(J18)*4/3))*0.516))</f>
        <v>2.0538997159908821</v>
      </c>
      <c r="AA18" s="37">
        <f t="shared" ref="AA18:AA20" ca="1" si="145">IF(TODAY()-E18&gt;335,((L18+1+(LOG(J18)*4/3))*1),((L18+(((TODAY()-E18)^0.5)/(336^0.5))+(LOG(J18)*4/3))*1))</f>
        <v>4.0176675273717875</v>
      </c>
      <c r="AB18" s="37">
        <f t="shared" ref="AB18:AB20" ca="1" si="146">Z18/2</f>
        <v>1.026949857995441</v>
      </c>
      <c r="AC18" s="37">
        <f t="shared" ref="AC18:AC20" ca="1" si="147">IF(TODAY()-E18&gt;335,((M18+1+(LOG(J18)*4/3))*0.238),((M18+(((TODAY()-E18)^0.5)/(336^0.238))+(LOG(J18)*4/3))*0.238))</f>
        <v>0.83833474095109839</v>
      </c>
      <c r="AD18" s="37">
        <f t="shared" ref="AD18:AD20" ca="1" si="148">IF(TODAY()-E18&gt;335,((L18+1+(LOG(J18)*4/3))*0.378),((L18+(((TODAY()-E18)^0.5)/(336^0.516))+(LOG(J18)*4/3))*0.378))</f>
        <v>1.5046009547375065</v>
      </c>
      <c r="AE18" s="37">
        <f t="shared" ref="AE18:AE20" ca="1" si="149">IF(TODAY()-E18&gt;335,((L18+1+(LOG(J18)*4/3))*0.723),((L18+(((TODAY()-E18)^0.5)/(336^0.5))+(LOG(J18)*4/3))*0.723))</f>
        <v>2.9047736222898024</v>
      </c>
      <c r="AF18" s="37">
        <f t="shared" ref="AF18:AF20" ca="1" si="150">AD18/2</f>
        <v>0.75230047736875327</v>
      </c>
      <c r="AG18" s="37">
        <f t="shared" ref="AG18:AG20" ca="1" si="151">IF(TODAY()-E18&gt;335,((M18+1+(LOG(J18)*4/3))*0.385),((M18+(((TODAY()-E18)^0.5)/(336^0.238))+(LOG(J18)*4/3))*0.385))</f>
        <v>1.3561297280091298</v>
      </c>
      <c r="AH18" s="37">
        <f t="shared" ref="AH18:AH20" ca="1" si="152">IF(TODAY()-E18&gt;335,((L18+1+(LOG(J18)*4/3))*0.92),((L18+(((TODAY()-E18)^0.5)/(336^0.5))+(LOG(J18)*4/3))*0.92))</f>
        <v>3.6962541251820444</v>
      </c>
      <c r="AI18" s="37">
        <f t="shared" ref="AI18:AI20" ca="1" si="153">IF(TODAY()-E18&gt;335,((L18+1+(LOG(J18)*4/3))*0.414),((L18+(((TODAY()-E18)^0.5)/(336^0.414))+(LOG(J18)*4/3))*0.414))</f>
        <v>1.7759340961255794</v>
      </c>
      <c r="AJ18" s="37">
        <f t="shared" ref="AJ18:AJ20" ca="1" si="154">IF(TODAY()-E18&gt;335,((M18+1+(LOG(J18)*4/3))*0.167),((M18+(((TODAY()-E18)^0.5)/(336^0.5))+(LOG(J18)*4/3))*0.167))</f>
        <v>0.33695047707108861</v>
      </c>
      <c r="AK18" s="37">
        <f t="shared" ref="AK18:AK20" ca="1" si="155">IF(TODAY()-E18&gt;335,((N18+1+(LOG(J18)*4/3))*0.588),((N18+(((TODAY()-E18)^0.5)/(336^0.5))+(LOG(J18)*4/3))*0.588))</f>
        <v>1.1863885060946111</v>
      </c>
      <c r="AL18" s="37">
        <f t="shared" ref="AL18:AL20" ca="1" si="156">IF(TODAY()-E18&gt;335,((L18+1+(LOG(J18)*4/3))*0.754),((L18+(((TODAY()-E18)^0.5)/(336^0.5))+(LOG(J18)*4/3))*0.754))</f>
        <v>3.0293213156383278</v>
      </c>
      <c r="AM18" s="37">
        <f t="shared" ref="AM18:AM20" ca="1" si="157">IF(TODAY()-E18&gt;335,((L18+1+(LOG(J18)*4/3))*0.708),((L18+(((TODAY()-E18)^0.5)/(336^0.414))+(LOG(J18)*4/3))*0.708))</f>
        <v>3.0371046861278028</v>
      </c>
      <c r="AN18" s="37">
        <f t="shared" ref="AN18:AN20" ca="1" si="158">IF(TODAY()-E18&gt;335,((Q18+1+(LOG(J18)*4/3))*0.167),((Q18+(((TODAY()-E18)^0.5)/(336^0.5))+(LOG(J18)*4/3))*0.167))</f>
        <v>0.42045047707108862</v>
      </c>
      <c r="AO18" s="37">
        <f t="shared" ref="AO18:AO20" ca="1" si="159">IF(TODAY()-E18&gt;335,((R18+1+(LOG(J18)*4/3))*0.288),((R18+(((TODAY()-E18)^0.5)/(336^0.5))+(LOG(J18)*4/3))*0.288))</f>
        <v>0.47666424788307488</v>
      </c>
      <c r="AP18" s="37">
        <f t="shared" ref="AP18:AP20" ca="1" si="160">IF(TODAY()-E18&gt;335,((L18+1+(LOG(J18)*4/3))*0.27),((L18+(((TODAY()-E18)^0.5)/(336^0.5))+(LOG(J18)*4/3))*0.27))</f>
        <v>1.0847702323903827</v>
      </c>
      <c r="AQ18" s="37">
        <f t="shared" ref="AQ18:AQ20" ca="1" si="161">IF(TODAY()-E18&gt;335,((L18+1+(LOG(J18)*4/3))*0.594),((L18+(((TODAY()-E18)^0.5)/(336^0.5))+(LOG(J18)*4/3))*0.594))</f>
        <v>2.3864945112588418</v>
      </c>
      <c r="AR18" s="37">
        <f t="shared" ref="AR18:AR20" ca="1" si="162">AP18/2</f>
        <v>0.54238511619519136</v>
      </c>
      <c r="AS18" s="37">
        <f t="shared" ref="AS18:AS20" ca="1" si="163">IF(TODAY()-E18&gt;335,((M18+1+(LOG(J18)*4/3))*0.944),((M18+(((TODAY()-E18)^0.5)/(336^0.5))+(LOG(J18)*4/3))*0.944))</f>
        <v>1.9046781458389677</v>
      </c>
      <c r="AT18" s="37">
        <f t="shared" ref="AT18:AT20" ca="1" si="164">IF(TODAY()-E18&gt;335,((O18+1+(LOG(J18)*4/3))*0.13),((O18+(((TODAY()-E18)^0.5)/(336^0.5))+(LOG(J18)*4/3))*0.13))</f>
        <v>0.39875344522499911</v>
      </c>
      <c r="AU18" s="37">
        <f t="shared" ref="AU18:AU20" ca="1" si="165">IF(TODAY()-E18&gt;335,((P18+1+(LOG(J18)*4/3))*0.173)+((O18+1+(LOG(J18)*4/3))*0.12),((P18+(((TODAY()-E18)^0.5)/(336^0.5))+(LOG(J18)*4/3))*0.173)+((O18+(((TODAY()-E18)^0.5)/(336^0.5))+(LOG(J18)*4/3))*0.12))</f>
        <v>1.2452671410754892</v>
      </c>
      <c r="AV18" s="37">
        <f t="shared" ref="AV18:AV20" ca="1" si="166">AT18/2</f>
        <v>0.19937672261249956</v>
      </c>
      <c r="AW18" s="37">
        <f t="shared" ref="AW18:AW20" ca="1" si="167">IF(TODAY()-E18&gt;335,((L18+1+(LOG(J18)*4/3))*0.189),((L18+(((TODAY()-E18)^0.5)/(336^0.5))+(LOG(J18)*4/3))*0.189))</f>
        <v>0.75933916267326784</v>
      </c>
      <c r="AX18" s="37">
        <f t="shared" ref="AX18:AX20" ca="1" si="168">IF(TODAY()-E18&gt;335,((L18+1+(LOG(J18)*4/3))*0.4),((L18+(((TODAY()-E18)^0.5)/(336^0.5))+(LOG(J18)*4/3))*0.4))</f>
        <v>1.6070670109487151</v>
      </c>
      <c r="AY18" s="37">
        <f t="shared" ref="AY18:AY20" ca="1" si="169">AW18/2</f>
        <v>0.37966958133663392</v>
      </c>
      <c r="AZ18" s="37">
        <f t="shared" ref="AZ18:AZ20" ca="1" si="170">IF(TODAY()-E18&gt;335,((M18+1+(LOG(J18)*4/3))*1),((M18+(((TODAY()-E18)^0.5)/(336^0.5))+(LOG(J18)*4/3))*1))</f>
        <v>2.0176675273717879</v>
      </c>
      <c r="BA18" s="37">
        <f t="shared" ref="BA18:BA20" ca="1" si="171">IF(TODAY()-E18&gt;335,((O18+1+(LOG(J18)*4/3))*0.253),((O18+(((TODAY()-E18)^0.5)/(336^0.5))+(LOG(J18)*4/3))*0.253))</f>
        <v>0.77603555109172895</v>
      </c>
      <c r="BB18" s="37">
        <f t="shared" ref="BB18:BB20" ca="1" si="172">IF(TODAY()-E18&gt;335,((P18+1+(LOG(J18)*4/3))*0.21)+((O18+1+(LOG(J18)*4/3))*0.341),((P18+(((TODAY()-E18)^0.5)/(336^0.5))+(LOG(J18)*4/3))*0.21)+((O18+(((TODAY()-E18)^0.5)/(336^0.5))+(LOG(J18)*4/3))*0.341))</f>
        <v>2.1107544742485214</v>
      </c>
      <c r="BC18" s="37">
        <f t="shared" ref="BC18:BC20" ca="1" si="173">BA18/2</f>
        <v>0.38801777554586447</v>
      </c>
      <c r="BD18" s="37">
        <f t="shared" ref="BD18:BD20" ca="1" si="174">IF(TODAY()-E18&gt;335,((L18+1+(LOG(J18)*4/3))*0.291),((L18+(((TODAY()-E18)^0.5)/(336^0.5))+(LOG(J18)*4/3))*0.291))</f>
        <v>1.1691412504651901</v>
      </c>
      <c r="BE18" s="37">
        <f t="shared" ref="BE18:BE20" ca="1" si="175">IF(TODAY()-E18&gt;335,((L18+1+(LOG(J18)*4/3))*0.348),((L18+(((TODAY()-E18)^0.5)/(336^0.5))+(LOG(J18)*4/3))*0.348))</f>
        <v>1.398148299525382</v>
      </c>
      <c r="BF18" s="37">
        <f t="shared" ref="BF18:BF20" ca="1" si="176">IF(TODAY()-E18&gt;335,((M18+1+(LOG(J18)*4/3))*0.881),((M18+(((TODAY()-E18)^0.5)/(336^0.5))+(LOG(J18)*4/3))*0.881))</f>
        <v>1.7775650916145451</v>
      </c>
      <c r="BG18" s="37">
        <f t="shared" ref="BG18:BG20" ca="1" si="177">IF(TODAY()-E18&gt;335,((N18+1+(LOG(J18)*4/3))*0.574)+((O18+1+(LOG(J18)*4/3))*0.315),((N18+(((TODAY()-E18)^0.5)/(336^0.5))+(LOG(J18)*4/3))*0.574)+((O18+(((TODAY()-E18)^0.5)/(336^0.5))+(LOG(J18)*4/3))*0.315))</f>
        <v>2.1243514318335195</v>
      </c>
      <c r="BH18" s="37">
        <f t="shared" ref="BH18:BH20" ca="1" si="178">IF(TODAY()-E18&gt;335,((O18+1+(LOG(J18)*4/3))*0.241),((O18+(((TODAY()-E18)^0.5)/(336^0.5))+(LOG(J18)*4/3))*0.241))</f>
        <v>0.73922754076326747</v>
      </c>
      <c r="BI18" s="37">
        <f t="shared" ref="BI18:BI20" ca="1" si="179">IF(TODAY()-E18&gt;335,((L18+1+(LOG(J18)*4/3))*0.485),((L18+(((TODAY()-E18)^0.5)/(336^0.5))+(LOG(J18)*4/3))*0.485))</f>
        <v>1.9485687507753169</v>
      </c>
      <c r="BJ18" s="37">
        <f t="shared" ref="BJ18:BJ20" ca="1" si="180">IF(TODAY()-E18&gt;335,((L18+1+(LOG(J18)*4/3))*0.264),((L18+(((TODAY()-E18)^0.5)/(336^0.5))+(LOG(J18)*4/3))*0.264))</f>
        <v>1.0606642272261519</v>
      </c>
      <c r="BK18" s="37">
        <f t="shared" ref="BK18:BK20" ca="1" si="181">IF(TODAY()-E18&gt;335,((M18+1+(LOG(J18)*4/3))*0.381),((M18+(((TODAY()-E18)^0.5)/(336^0.5))+(LOG(J18)*4/3))*0.381))</f>
        <v>0.76873132792865118</v>
      </c>
      <c r="BL18" s="37">
        <f t="shared" ref="BL18:BL20" ca="1" si="182">IF(TODAY()-E18&gt;335,((N18+1+(LOG(J18)*4/3))*0.673)+((O18+1+(LOG(J18)*4/3))*0.201),((N18+(((TODAY()-E18)^0.5)/(336^0.5))+(LOG(J18)*4/3))*0.673)+((O18+(((TODAY()-E18)^0.5)/(336^0.5))+(LOG(J18)*4/3))*0.201))</f>
        <v>1.974424418922943</v>
      </c>
      <c r="BM18" s="37">
        <f t="shared" ref="BM18:BM20" ca="1" si="183">IF(TODAY()-E18&gt;335,((O18+1+(LOG(J18)*4/3))*0.052),((O18+(((TODAY()-E18)^0.5)/(336^0.5))+(LOG(J18)*4/3))*0.052))</f>
        <v>0.15950137808999962</v>
      </c>
      <c r="BN18" s="37">
        <f t="shared" ref="BN18:BN20" ca="1" si="184">IF(TODAY()-E18&gt;335,((L18+1+(LOG(J18)*4/3))*0.18),((L18+(((TODAY()-E18)^0.5)/(336^0.5))+(LOG(J18)*4/3))*0.18))</f>
        <v>0.72318015492692167</v>
      </c>
      <c r="BO18" s="37">
        <f t="shared" ref="BO18:BO20" ca="1" si="185">IF(TODAY()-E18&gt;335,((L18+1+(LOG(J18)*4/3))*0.068),((L18+(((TODAY()-E18)^0.5)/(336^0.5))+(LOG(J18)*4/3))*0.068))</f>
        <v>0.27320139186128156</v>
      </c>
      <c r="BP18" s="37">
        <f t="shared" ref="BP18:BP20" ca="1" si="186">IF(TODAY()-E18&gt;335,((M18+1+(LOG(J18)*4/3))*0.305),((M18+(((TODAY()-E18)^0.5)/(336^0.5))+(LOG(J18)*4/3))*0.305))</f>
        <v>0.61538859584839534</v>
      </c>
      <c r="BQ18" s="37">
        <f t="shared" ref="BQ18:BQ20" ca="1" si="187">IF(TODAY()-E18&gt;335,((N18+1+(LOG(J18)*4/3))*1)+((O18+1+(LOG(J18)*4/3))*0.286),((N18+(((TODAY()-E18)^0.5)/(336^0.5))+(LOG(J18)*4/3))*1)+((O18+(((TODAY()-E18)^0.5)/(336^0.5))+(LOG(J18)*4/3))*0.286))</f>
        <v>2.8949251068667858</v>
      </c>
      <c r="BR18" s="37">
        <f t="shared" ref="BR18:BR20" ca="1" si="188">IF(TODAY()-E18&gt;335,((O18+1+(LOG(J18)*4/3))*0.135),((O18+(((TODAY()-E18)^0.5)/(336^0.5))+(LOG(J18)*4/3))*0.135))</f>
        <v>0.41409011619519137</v>
      </c>
      <c r="BS18" s="37">
        <f t="shared" ref="BS18:BS20" ca="1" si="189">IF(TODAY()-E18&gt;335,((L18+1+(LOG(J18)*4/3))*0.284),((L18+(((TODAY()-E18)^0.5)/(336^0.5))+(LOG(J18)*4/3))*0.284))</f>
        <v>1.1410175777735876</v>
      </c>
      <c r="BT18" s="37">
        <f t="shared" ref="BT18:BT20" ca="1" si="190">IF(TODAY()-E18&gt;335,((L18+1+(LOG(J18)*4/3))*0.244),((L18+(((TODAY()-E18)^0.5)/(336^0.5))+(LOG(J18)*4/3))*0.244))</f>
        <v>0.98031087667871608</v>
      </c>
      <c r="BU18" s="37">
        <f t="shared" ref="BU18:BU20" ca="1" si="191">IF(TODAY()-E18&gt;335,((M18+1+(LOG(J18)*4/3))*0.631),((M18+(((TODAY()-E18)^0.5)/(336^0.5))+(LOG(J18)*4/3))*0.631))</f>
        <v>1.2731482097715983</v>
      </c>
      <c r="BV18" s="37">
        <f t="shared" ref="BV18:BV20" ca="1" si="192">IF(TODAY()-E18&gt;335,((N18+1+(LOG(J18)*4/3))*0.702)+((O18+1+(LOG(J18)*4/3))*0.193),((N18+(((TODAY()-E18)^0.5)/(336^0.5))+(LOG(J18)*4/3))*0.702)+((O18+(((TODAY()-E18)^0.5)/(336^0.5))+(LOG(J18)*4/3))*0.193))</f>
        <v>2.0083981036644167</v>
      </c>
      <c r="BW18" s="37">
        <f t="shared" ref="BW18:BW20" ca="1" si="193">IF(TODAY()-E18&gt;335,((O18+1+(LOG(J18)*4/3))*0.148),((O18+(((TODAY()-E18)^0.5)/(336^0.5))+(LOG(J18)*4/3))*0.148))</f>
        <v>0.45396546071769123</v>
      </c>
      <c r="BX18" s="37">
        <f t="shared" ref="BX18:BX20" ca="1" si="194">IF(TODAY()-E18&gt;335,((M18+1+(LOG(J18)*4/3))*0.406),((M18+(((TODAY()-E18)^0.5)/(336^0.5))+(LOG(J18)*4/3))*0.406))</f>
        <v>0.81917301611294591</v>
      </c>
      <c r="BY18" s="37">
        <f t="shared" ref="BY18:BY20"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1.7013242262051458</v>
      </c>
      <c r="BZ18" s="37">
        <f t="shared" ref="BZ18:BZ20" ca="1" si="196">IF(D18="TEC",IF(TODAY()-E18&gt;335,((O18+1+(LOG(J18)*4/3))*0.543)+((P18+1+(LOG(J18)*4/3))*0.583),((O18+(((TODAY()-E18)^0.5)/(336^0.5))+(LOG(J18)*4/3))*0.543)+((P18+(((TODAY()-E18)^0.5)/(336^0.5))+(LOG(J18)*4/3))*0.583)),IF(TODAY()-E18&gt;335,((O18+1+(LOG(J18)*4/3))*0.543)+((P18+1+(LOG(J18)*4/3))*0.583),((O18+(((TODAY()-E18)^0.5)/(336^0.5))+(LOG(J18)*4/3))*0.543)+((P18+(((TODAY()-E18)^0.5)/(336^0.5))+(LOG(J18)*4/3))*0.583)))</f>
        <v>4.6216320802650772</v>
      </c>
      <c r="CA18" s="37">
        <f t="shared" ref="CA18:CA20" ca="1" si="197">BY18</f>
        <v>1.7013242262051458</v>
      </c>
      <c r="CB18" s="37">
        <f t="shared" ref="CB18:CB20" ca="1" si="198">IF(TODAY()-E18&gt;335,((P18+1+(LOG(J18)*4/3))*0.26)+((N18+1+(LOG(J18)*4/3))*0.221)+((O18+1+(LOG(J18)*4/3))*0.142),((P18+(((TODAY()-E18)^0.5)/(336^0.5))+(LOG(J18)*4/3))*0.26)+((N18+(((TODAY()-E18)^0.5)/(336^0.5))+(LOG(J18)*4/3))*0.221)+((P18+(((TODAY()-E18)^0.5)/(336^0.5))+(LOG(J18)*4/3))*0.142))</f>
        <v>2.4842235362192904</v>
      </c>
      <c r="CC18" s="37">
        <f t="shared" ref="CC18:CC20" ca="1" si="199">IF(TODAY()-E18&gt;335,((P18+1+(LOG(J18)*4/3))*1)+((O18+1+(LOG(J18)*4/3))*0.369),((P18+(((TODAY()-E18)^0.5)/(336^0.5))+(LOG(J18)*4/3))*1)+((O18+(((TODAY()-E18)^0.5)/(336^0.5))+(LOG(J18)*4/3))*0.369))</f>
        <v>6.2022916227497547</v>
      </c>
      <c r="CD18" s="37">
        <f t="shared" ref="CD18:CD20" ca="1" si="200">CB18</f>
        <v>2.4842235362192904</v>
      </c>
      <c r="CE18" s="37">
        <f t="shared" ref="CE18:CE20" ca="1" si="201">IF(TODAY()-E18&gt;335,((M18+1+(LOG(J18)*4/3))*0.25),((M18+(((TODAY()-E18)^0.5)/(336^0.5))+(LOG(J18)*4/3))*0.25))</f>
        <v>0.50441688184294697</v>
      </c>
    </row>
    <row r="19" spans="1:83" x14ac:dyDescent="0.25">
      <c r="A19" t="str">
        <f>PLANTILLA!D21</f>
        <v>Casildo Abraldes</v>
      </c>
      <c r="B19">
        <f>PLANTILLA!E21</f>
        <v>17</v>
      </c>
      <c r="C19" s="33">
        <f ca="1">PLANTILLA!F21</f>
        <v>26</v>
      </c>
      <c r="D19" s="220">
        <f>PLANTILLA!G21</f>
        <v>0</v>
      </c>
      <c r="E19" s="30">
        <f>PLANTILLA!M21</f>
        <v>43090</v>
      </c>
      <c r="F19" s="47">
        <f>PLANTILLA!Q21</f>
        <v>5</v>
      </c>
      <c r="G19" s="48">
        <f t="shared" si="1"/>
        <v>0.84515425472851657</v>
      </c>
      <c r="H19" s="48">
        <f t="shared" si="2"/>
        <v>0.92504826128926143</v>
      </c>
      <c r="I19" s="51">
        <f t="shared" ca="1" si="3"/>
        <v>0.21128856368212917</v>
      </c>
      <c r="J19" s="39">
        <f>PLANTILLA!I21</f>
        <v>1</v>
      </c>
      <c r="K19" s="46">
        <f>PLANTILLA!X21</f>
        <v>0</v>
      </c>
      <c r="L19" s="46">
        <f>PLANTILLA!Y21</f>
        <v>3</v>
      </c>
      <c r="M19" s="46">
        <f>PLANTILLA!Z21</f>
        <v>2</v>
      </c>
      <c r="N19" s="46">
        <f>PLANTILLA!AA21</f>
        <v>5</v>
      </c>
      <c r="O19" s="46">
        <f>PLANTILLA!AB21</f>
        <v>5</v>
      </c>
      <c r="P19" s="46">
        <f>PLANTILLA!AC21</f>
        <v>6.5</v>
      </c>
      <c r="Q19" s="46">
        <f>PLANTILLA!AD21</f>
        <v>4</v>
      </c>
      <c r="R19" s="46">
        <f t="shared" si="136"/>
        <v>2</v>
      </c>
      <c r="S19" s="46">
        <f t="shared" si="137"/>
        <v>0.44500000000000001</v>
      </c>
      <c r="T19" s="46">
        <f t="shared" si="138"/>
        <v>0.24000000000000005</v>
      </c>
      <c r="U19" s="46">
        <f t="shared" ca="1" si="139"/>
        <v>3.5591884474854947</v>
      </c>
      <c r="V19" s="46">
        <f t="shared" ca="1" si="140"/>
        <v>3.8956451636215048</v>
      </c>
      <c r="W19" s="37">
        <f t="shared" ca="1" si="141"/>
        <v>1.0124549160944989</v>
      </c>
      <c r="X19" s="37">
        <f t="shared" ca="1" si="142"/>
        <v>1.5477735357136286</v>
      </c>
      <c r="Y19" s="37">
        <f t="shared" ca="1" si="143"/>
        <v>1.0124549160944989</v>
      </c>
      <c r="Z19" s="37">
        <f t="shared" ca="1" si="144"/>
        <v>1.6473354501148869</v>
      </c>
      <c r="AA19" s="37">
        <f t="shared" ca="1" si="145"/>
        <v>3.2112885636821291</v>
      </c>
      <c r="AB19" s="37">
        <f t="shared" ca="1" si="146"/>
        <v>0.82366772505744346</v>
      </c>
      <c r="AC19" s="37">
        <f t="shared" ca="1" si="147"/>
        <v>0.70686273616075534</v>
      </c>
      <c r="AD19" s="37">
        <f t="shared" ca="1" si="148"/>
        <v>1.2067689925260219</v>
      </c>
      <c r="AE19" s="37">
        <f t="shared" ca="1" si="149"/>
        <v>2.3217616315421794</v>
      </c>
      <c r="AF19" s="37">
        <f t="shared" ca="1" si="150"/>
        <v>0.60338449626301094</v>
      </c>
      <c r="AG19" s="37">
        <f t="shared" ca="1" si="151"/>
        <v>1.1434544261423985</v>
      </c>
      <c r="AH19" s="37">
        <f t="shared" ca="1" si="152"/>
        <v>2.9543854785875587</v>
      </c>
      <c r="AI19" s="37">
        <f t="shared" ca="1" si="153"/>
        <v>1.3862585324614665</v>
      </c>
      <c r="AJ19" s="37">
        <f t="shared" ca="1" si="154"/>
        <v>0.36928519013491556</v>
      </c>
      <c r="AK19" s="37">
        <f t="shared" ca="1" si="155"/>
        <v>3.0642376754450917</v>
      </c>
      <c r="AL19" s="37">
        <f t="shared" ca="1" si="156"/>
        <v>2.4213115770163252</v>
      </c>
      <c r="AM19" s="37">
        <f t="shared" ca="1" si="157"/>
        <v>2.3707029975427978</v>
      </c>
      <c r="AN19" s="37">
        <f t="shared" ca="1" si="158"/>
        <v>0.70328519013491564</v>
      </c>
      <c r="AO19" s="37">
        <f t="shared" ca="1" si="159"/>
        <v>0.63685110634045317</v>
      </c>
      <c r="AP19" s="37">
        <f t="shared" ca="1" si="160"/>
        <v>0.86704791219417487</v>
      </c>
      <c r="AQ19" s="37">
        <f t="shared" ca="1" si="161"/>
        <v>1.9075054068271846</v>
      </c>
      <c r="AR19" s="37">
        <f t="shared" ca="1" si="162"/>
        <v>0.43352395609708744</v>
      </c>
      <c r="AS19" s="37">
        <f t="shared" ca="1" si="163"/>
        <v>2.0874564041159296</v>
      </c>
      <c r="AT19" s="37">
        <f t="shared" ca="1" si="164"/>
        <v>0.67746751327867683</v>
      </c>
      <c r="AU19" s="37">
        <f t="shared" ca="1" si="165"/>
        <v>1.7864075491588638</v>
      </c>
      <c r="AV19" s="37">
        <f t="shared" ca="1" si="166"/>
        <v>0.33873375663933841</v>
      </c>
      <c r="AW19" s="37">
        <f t="shared" ca="1" si="167"/>
        <v>0.60693353853592236</v>
      </c>
      <c r="AX19" s="37">
        <f t="shared" ca="1" si="168"/>
        <v>1.2845154254728517</v>
      </c>
      <c r="AY19" s="37">
        <f t="shared" ca="1" si="169"/>
        <v>0.30346676926796118</v>
      </c>
      <c r="AZ19" s="37">
        <f t="shared" ca="1" si="170"/>
        <v>2.2112885636821291</v>
      </c>
      <c r="BA19" s="37">
        <f t="shared" ca="1" si="171"/>
        <v>1.3184560066115787</v>
      </c>
      <c r="BB19" s="37">
        <f t="shared" ca="1" si="172"/>
        <v>3.1864199985888533</v>
      </c>
      <c r="BC19" s="37">
        <f t="shared" ca="1" si="173"/>
        <v>0.65922800330578935</v>
      </c>
      <c r="BD19" s="37">
        <f t="shared" ca="1" si="174"/>
        <v>0.93448497203149949</v>
      </c>
      <c r="BE19" s="37">
        <f t="shared" ca="1" si="175"/>
        <v>1.1175284201613809</v>
      </c>
      <c r="BF19" s="37">
        <f t="shared" ca="1" si="176"/>
        <v>1.9481452246039557</v>
      </c>
      <c r="BG19" s="37">
        <f t="shared" ca="1" si="177"/>
        <v>4.632835533113413</v>
      </c>
      <c r="BH19" s="37">
        <f t="shared" ca="1" si="178"/>
        <v>1.255920543847393</v>
      </c>
      <c r="BI19" s="37">
        <f t="shared" ca="1" si="179"/>
        <v>1.5574749533858325</v>
      </c>
      <c r="BJ19" s="37">
        <f t="shared" ca="1" si="180"/>
        <v>0.84778018081208217</v>
      </c>
      <c r="BK19" s="37">
        <f t="shared" ca="1" si="181"/>
        <v>0.84250094276289123</v>
      </c>
      <c r="BL19" s="37">
        <f t="shared" ca="1" si="182"/>
        <v>4.5546662046581812</v>
      </c>
      <c r="BM19" s="37">
        <f t="shared" ca="1" si="183"/>
        <v>0.27098700531147069</v>
      </c>
      <c r="BN19" s="37">
        <f t="shared" ca="1" si="184"/>
        <v>0.57803194146278325</v>
      </c>
      <c r="BO19" s="37">
        <f t="shared" ca="1" si="185"/>
        <v>0.21836762233038479</v>
      </c>
      <c r="BP19" s="37">
        <f t="shared" ca="1" si="186"/>
        <v>0.67444301192304934</v>
      </c>
      <c r="BQ19" s="37">
        <f t="shared" ca="1" si="187"/>
        <v>6.7017170928952181</v>
      </c>
      <c r="BR19" s="37">
        <f t="shared" ca="1" si="188"/>
        <v>0.70352395609708751</v>
      </c>
      <c r="BS19" s="37">
        <f t="shared" ca="1" si="189"/>
        <v>0.91200595208572455</v>
      </c>
      <c r="BT19" s="37">
        <f t="shared" ca="1" si="190"/>
        <v>0.78355440953843947</v>
      </c>
      <c r="BU19" s="37">
        <f t="shared" ca="1" si="191"/>
        <v>1.3953230836834234</v>
      </c>
      <c r="BV19" s="37">
        <f t="shared" ca="1" si="192"/>
        <v>4.6641032644955054</v>
      </c>
      <c r="BW19" s="37">
        <f t="shared" ca="1" si="193"/>
        <v>0.77127070742495507</v>
      </c>
      <c r="BX19" s="37">
        <f t="shared" ca="1" si="194"/>
        <v>0.89778315685494448</v>
      </c>
      <c r="BY19" s="37">
        <f t="shared" ca="1" si="195"/>
        <v>2.9055813416783893</v>
      </c>
      <c r="BZ19" s="37">
        <f t="shared" ca="1" si="196"/>
        <v>6.7424109227060773</v>
      </c>
      <c r="CA19" s="37">
        <f t="shared" ca="1" si="197"/>
        <v>2.9055813416783893</v>
      </c>
      <c r="CB19" s="37">
        <f t="shared" ca="1" si="198"/>
        <v>3.8496327751739665</v>
      </c>
      <c r="CC19" s="37">
        <f t="shared" ca="1" si="199"/>
        <v>8.6342540436808353</v>
      </c>
      <c r="CD19" s="37">
        <f t="shared" ca="1" si="200"/>
        <v>3.8496327751739665</v>
      </c>
      <c r="CE19" s="37">
        <f t="shared" ca="1" si="201"/>
        <v>0.55282214092053228</v>
      </c>
    </row>
    <row r="20" spans="1:83" x14ac:dyDescent="0.25">
      <c r="A20" t="e">
        <f>PLANTILLA!#REF!</f>
        <v>#REF!</v>
      </c>
      <c r="B20" t="e">
        <f>PLANTILLA!#REF!</f>
        <v>#REF!</v>
      </c>
      <c r="C20" s="33" t="e">
        <f>PLANTILLA!#REF!</f>
        <v>#REF!</v>
      </c>
      <c r="D20" s="220" t="e">
        <f>PLANTILLA!#REF!</f>
        <v>#REF!</v>
      </c>
      <c r="E20" s="30" t="e">
        <f>PLANTILLA!#REF!</f>
        <v>#REF!</v>
      </c>
      <c r="F20" s="47" t="e">
        <f>PLANTILLA!#REF!</f>
        <v>#REF!</v>
      </c>
      <c r="G20" s="48" t="e">
        <f t="shared" si="1"/>
        <v>#REF!</v>
      </c>
      <c r="H20" s="48" t="e">
        <f t="shared" si="2"/>
        <v>#REF!</v>
      </c>
      <c r="I20" s="51" t="e">
        <f t="shared" ca="1" si="3"/>
        <v>#REF!</v>
      </c>
      <c r="J20" s="39" t="e">
        <f>PLANTILLA!#REF!</f>
        <v>#REF!</v>
      </c>
      <c r="K20" s="46" t="e">
        <f>PLANTILLA!#REF!</f>
        <v>#REF!</v>
      </c>
      <c r="L20" s="46" t="e">
        <f>PLANTILLA!#REF!</f>
        <v>#REF!</v>
      </c>
      <c r="M20" s="46" t="e">
        <f>PLANTILLA!#REF!</f>
        <v>#REF!</v>
      </c>
      <c r="N20" s="46" t="e">
        <f>PLANTILLA!#REF!</f>
        <v>#REF!</v>
      </c>
      <c r="O20" s="46" t="e">
        <f>PLANTILLA!#REF!</f>
        <v>#REF!</v>
      </c>
      <c r="P20" s="46" t="e">
        <f>PLANTILLA!#REF!</f>
        <v>#REF!</v>
      </c>
      <c r="Q20" s="46" t="e">
        <f>PLANTILLA!#REF!</f>
        <v>#REF!</v>
      </c>
      <c r="R20" s="46" t="e">
        <f t="shared" si="136"/>
        <v>#REF!</v>
      </c>
      <c r="S20" s="46" t="e">
        <f t="shared" si="137"/>
        <v>#REF!</v>
      </c>
      <c r="T20" s="46" t="e">
        <f t="shared" si="138"/>
        <v>#REF!</v>
      </c>
      <c r="U20" s="46" t="e">
        <f t="shared" ca="1" si="139"/>
        <v>#REF!</v>
      </c>
      <c r="V20" s="46" t="e">
        <f t="shared" ca="1" si="140"/>
        <v>#REF!</v>
      </c>
      <c r="W20" s="37" t="e">
        <f t="shared" ca="1" si="141"/>
        <v>#REF!</v>
      </c>
      <c r="X20" s="37" t="e">
        <f t="shared" ca="1" si="142"/>
        <v>#REF!</v>
      </c>
      <c r="Y20" s="37" t="e">
        <f t="shared" ca="1" si="143"/>
        <v>#REF!</v>
      </c>
      <c r="Z20" s="37" t="e">
        <f t="shared" ca="1" si="144"/>
        <v>#REF!</v>
      </c>
      <c r="AA20" s="37" t="e">
        <f t="shared" ca="1" si="145"/>
        <v>#REF!</v>
      </c>
      <c r="AB20" s="37" t="e">
        <f t="shared" ca="1" si="146"/>
        <v>#REF!</v>
      </c>
      <c r="AC20" s="37" t="e">
        <f t="shared" ca="1" si="147"/>
        <v>#REF!</v>
      </c>
      <c r="AD20" s="37" t="e">
        <f t="shared" ca="1" si="148"/>
        <v>#REF!</v>
      </c>
      <c r="AE20" s="37" t="e">
        <f t="shared" ca="1" si="149"/>
        <v>#REF!</v>
      </c>
      <c r="AF20" s="37" t="e">
        <f t="shared" ca="1" si="150"/>
        <v>#REF!</v>
      </c>
      <c r="AG20" s="37" t="e">
        <f t="shared" ca="1" si="151"/>
        <v>#REF!</v>
      </c>
      <c r="AH20" s="37" t="e">
        <f t="shared" ca="1" si="152"/>
        <v>#REF!</v>
      </c>
      <c r="AI20" s="37" t="e">
        <f t="shared" ca="1" si="153"/>
        <v>#REF!</v>
      </c>
      <c r="AJ20" s="37" t="e">
        <f t="shared" ca="1" si="154"/>
        <v>#REF!</v>
      </c>
      <c r="AK20" s="37" t="e">
        <f t="shared" ca="1" si="155"/>
        <v>#REF!</v>
      </c>
      <c r="AL20" s="37" t="e">
        <f t="shared" ca="1" si="156"/>
        <v>#REF!</v>
      </c>
      <c r="AM20" s="37" t="e">
        <f t="shared" ca="1" si="157"/>
        <v>#REF!</v>
      </c>
      <c r="AN20" s="37" t="e">
        <f t="shared" ca="1" si="158"/>
        <v>#REF!</v>
      </c>
      <c r="AO20" s="37" t="e">
        <f t="shared" ca="1" si="159"/>
        <v>#REF!</v>
      </c>
      <c r="AP20" s="37" t="e">
        <f t="shared" ca="1" si="160"/>
        <v>#REF!</v>
      </c>
      <c r="AQ20" s="37" t="e">
        <f t="shared" ca="1" si="161"/>
        <v>#REF!</v>
      </c>
      <c r="AR20" s="37" t="e">
        <f t="shared" ca="1" si="162"/>
        <v>#REF!</v>
      </c>
      <c r="AS20" s="37" t="e">
        <f t="shared" ca="1" si="163"/>
        <v>#REF!</v>
      </c>
      <c r="AT20" s="37" t="e">
        <f t="shared" ca="1" si="164"/>
        <v>#REF!</v>
      </c>
      <c r="AU20" s="37" t="e">
        <f t="shared" ca="1" si="165"/>
        <v>#REF!</v>
      </c>
      <c r="AV20" s="37" t="e">
        <f t="shared" ca="1" si="166"/>
        <v>#REF!</v>
      </c>
      <c r="AW20" s="37" t="e">
        <f t="shared" ca="1" si="167"/>
        <v>#REF!</v>
      </c>
      <c r="AX20" s="37" t="e">
        <f t="shared" ca="1" si="168"/>
        <v>#REF!</v>
      </c>
      <c r="AY20" s="37" t="e">
        <f t="shared" ca="1" si="169"/>
        <v>#REF!</v>
      </c>
      <c r="AZ20" s="37" t="e">
        <f t="shared" ca="1" si="170"/>
        <v>#REF!</v>
      </c>
      <c r="BA20" s="37" t="e">
        <f t="shared" ca="1" si="171"/>
        <v>#REF!</v>
      </c>
      <c r="BB20" s="37" t="e">
        <f t="shared" ca="1" si="172"/>
        <v>#REF!</v>
      </c>
      <c r="BC20" s="37" t="e">
        <f t="shared" ca="1" si="173"/>
        <v>#REF!</v>
      </c>
      <c r="BD20" s="37" t="e">
        <f t="shared" ca="1" si="174"/>
        <v>#REF!</v>
      </c>
      <c r="BE20" s="37" t="e">
        <f t="shared" ca="1" si="175"/>
        <v>#REF!</v>
      </c>
      <c r="BF20" s="37" t="e">
        <f t="shared" ca="1" si="176"/>
        <v>#REF!</v>
      </c>
      <c r="BG20" s="37" t="e">
        <f t="shared" ca="1" si="177"/>
        <v>#REF!</v>
      </c>
      <c r="BH20" s="37" t="e">
        <f t="shared" ca="1" si="178"/>
        <v>#REF!</v>
      </c>
      <c r="BI20" s="37" t="e">
        <f t="shared" ca="1" si="179"/>
        <v>#REF!</v>
      </c>
      <c r="BJ20" s="37" t="e">
        <f t="shared" ca="1" si="180"/>
        <v>#REF!</v>
      </c>
      <c r="BK20" s="37" t="e">
        <f t="shared" ca="1" si="181"/>
        <v>#REF!</v>
      </c>
      <c r="BL20" s="37" t="e">
        <f t="shared" ca="1" si="182"/>
        <v>#REF!</v>
      </c>
      <c r="BM20" s="37" t="e">
        <f t="shared" ca="1" si="183"/>
        <v>#REF!</v>
      </c>
      <c r="BN20" s="37" t="e">
        <f t="shared" ca="1" si="184"/>
        <v>#REF!</v>
      </c>
      <c r="BO20" s="37" t="e">
        <f t="shared" ca="1" si="185"/>
        <v>#REF!</v>
      </c>
      <c r="BP20" s="37" t="e">
        <f t="shared" ca="1" si="186"/>
        <v>#REF!</v>
      </c>
      <c r="BQ20" s="37" t="e">
        <f t="shared" ca="1" si="187"/>
        <v>#REF!</v>
      </c>
      <c r="BR20" s="37" t="e">
        <f t="shared" ca="1" si="188"/>
        <v>#REF!</v>
      </c>
      <c r="BS20" s="37" t="e">
        <f t="shared" ca="1" si="189"/>
        <v>#REF!</v>
      </c>
      <c r="BT20" s="37" t="e">
        <f t="shared" ca="1" si="190"/>
        <v>#REF!</v>
      </c>
      <c r="BU20" s="37" t="e">
        <f t="shared" ca="1" si="191"/>
        <v>#REF!</v>
      </c>
      <c r="BV20" s="37" t="e">
        <f t="shared" ca="1" si="192"/>
        <v>#REF!</v>
      </c>
      <c r="BW20" s="37" t="e">
        <f t="shared" ca="1" si="193"/>
        <v>#REF!</v>
      </c>
      <c r="BX20" s="37" t="e">
        <f t="shared" ca="1" si="194"/>
        <v>#REF!</v>
      </c>
      <c r="BY20" s="37" t="e">
        <f t="shared" ca="1" si="195"/>
        <v>#REF!</v>
      </c>
      <c r="BZ20" s="37" t="e">
        <f t="shared" ca="1" si="196"/>
        <v>#REF!</v>
      </c>
      <c r="CA20" s="37" t="e">
        <f t="shared" ca="1" si="197"/>
        <v>#REF!</v>
      </c>
      <c r="CB20" s="37" t="e">
        <f t="shared" ca="1" si="198"/>
        <v>#REF!</v>
      </c>
      <c r="CC20" s="37" t="e">
        <f t="shared" ca="1" si="199"/>
        <v>#REF!</v>
      </c>
      <c r="CD20" s="37" t="e">
        <f t="shared" ca="1" si="200"/>
        <v>#REF!</v>
      </c>
      <c r="CE20" s="37" t="e">
        <f t="shared" ca="1" si="201"/>
        <v>#REF!</v>
      </c>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2" spans="1:83" x14ac:dyDescent="0.25">
      <c r="C22" s="33"/>
      <c r="D22" s="194"/>
      <c r="E22" s="30"/>
      <c r="F22" s="47"/>
      <c r="G22" s="48"/>
      <c r="H22" s="48"/>
      <c r="I22" s="51"/>
      <c r="J22" s="39"/>
      <c r="K22" s="46"/>
      <c r="L22" s="46"/>
      <c r="M22" s="46"/>
      <c r="N22" s="46"/>
      <c r="O22" s="46"/>
      <c r="P22" s="46"/>
      <c r="Q22" s="46"/>
      <c r="R22" s="46"/>
      <c r="S22" s="46"/>
      <c r="T22" s="46"/>
      <c r="U22" s="46"/>
      <c r="V22" s="46"/>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row>
    <row r="25" spans="1:83" x14ac:dyDescent="0.25">
      <c r="M25" s="37"/>
      <c r="N25" s="37"/>
      <c r="AH25" s="37" t="e">
        <f>#REF!*#REF!</f>
        <v>#REF!</v>
      </c>
      <c r="AI25" s="37" t="e">
        <f>#REF!*#REF!</f>
        <v>#REF!</v>
      </c>
    </row>
    <row r="26" spans="1:83" ht="18.75" x14ac:dyDescent="0.3">
      <c r="A26" s="103" t="s">
        <v>162</v>
      </c>
      <c r="B26" s="103" t="s">
        <v>163</v>
      </c>
      <c r="C26" s="103"/>
      <c r="D26" s="104"/>
      <c r="Z26" s="37"/>
      <c r="AA26" s="37"/>
      <c r="BV26" s="37"/>
      <c r="BW26" s="37"/>
    </row>
    <row r="27" spans="1:83" x14ac:dyDescent="0.25">
      <c r="A27" s="105" t="s">
        <v>164</v>
      </c>
      <c r="B27" s="106">
        <v>1</v>
      </c>
      <c r="C27" s="108">
        <v>0.624</v>
      </c>
      <c r="D27" s="109">
        <v>0.245</v>
      </c>
      <c r="AH27" s="37" t="e">
        <f>#REF!*#REF!</f>
        <v>#REF!</v>
      </c>
      <c r="AI27" s="37" t="e">
        <f>#REF!*#REF!</f>
        <v>#REF!</v>
      </c>
    </row>
    <row r="28" spans="1:83" x14ac:dyDescent="0.25">
      <c r="A28" s="105" t="s">
        <v>165</v>
      </c>
      <c r="B28" s="106">
        <v>1</v>
      </c>
      <c r="C28" s="108">
        <v>1.002</v>
      </c>
      <c r="D28" s="109">
        <v>0.34</v>
      </c>
      <c r="AG28" s="116"/>
      <c r="AH28" s="117"/>
    </row>
    <row r="29" spans="1:83" x14ac:dyDescent="0.25">
      <c r="A29" s="105" t="s">
        <v>166</v>
      </c>
      <c r="B29" s="106">
        <v>1</v>
      </c>
      <c r="C29" s="108">
        <v>0.46800000000000003</v>
      </c>
      <c r="D29" s="109">
        <v>0.125</v>
      </c>
      <c r="Z29" s="37"/>
      <c r="AA29" s="37"/>
      <c r="AH29" s="118" t="e">
        <f>(AI25-AH27)/AI25</f>
        <v>#REF!</v>
      </c>
      <c r="AI29" s="118" t="e">
        <f>(AH25-AI27)/AH25</f>
        <v>#REF!</v>
      </c>
      <c r="BV29" s="37"/>
      <c r="BW29" s="37"/>
    </row>
    <row r="30" spans="1:83" x14ac:dyDescent="0.25">
      <c r="A30" s="105" t="s">
        <v>167</v>
      </c>
      <c r="B30" s="106">
        <v>1</v>
      </c>
      <c r="C30" s="108">
        <v>0.877</v>
      </c>
      <c r="D30" s="109">
        <v>0.25</v>
      </c>
      <c r="W30" s="117"/>
    </row>
    <row r="31" spans="1:83" x14ac:dyDescent="0.25">
      <c r="A31" s="105" t="s">
        <v>168</v>
      </c>
      <c r="B31" s="106">
        <v>1</v>
      </c>
      <c r="C31" s="108">
        <v>0.59299999999999997</v>
      </c>
      <c r="D31" s="109">
        <v>0.19</v>
      </c>
      <c r="W31" s="117"/>
    </row>
    <row r="33" spans="26:75" x14ac:dyDescent="0.25">
      <c r="Z33" s="117"/>
      <c r="AA33" s="117"/>
      <c r="BV33" s="117"/>
      <c r="BW33" s="117"/>
    </row>
  </sheetData>
  <conditionalFormatting sqref="U3:V22">
    <cfRule type="cellIs" dxfId="10" priority="20" operator="greaterThan">
      <formula>15</formula>
    </cfRule>
  </conditionalFormatting>
  <conditionalFormatting sqref="R3:R22">
    <cfRule type="cellIs" dxfId="9" priority="19" operator="greaterThan">
      <formula>3.2</formula>
    </cfRule>
  </conditionalFormatting>
  <conditionalFormatting sqref="S3:T22">
    <cfRule type="cellIs" dxfId="8" priority="18" operator="greaterThan">
      <formula>0.6</formula>
    </cfRule>
  </conditionalFormatting>
  <conditionalFormatting sqref="AK3:AM22 AO3:BD22 BF3:CE22 W3:AI22">
    <cfRule type="cellIs" dxfId="7" priority="17" operator="greaterThan">
      <formula>12.5</formula>
    </cfRule>
  </conditionalFormatting>
  <conditionalFormatting sqref="J3:J22">
    <cfRule type="cellIs" dxfId="6" priority="14" operator="greaterThan">
      <formula>7</formula>
    </cfRule>
  </conditionalFormatting>
  <conditionalFormatting sqref="K3:Q22">
    <cfRule type="colorScale" priority="4959">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0" t="s">
        <v>203</v>
      </c>
      <c r="B1" s="230"/>
      <c r="C1" s="230"/>
      <c r="D1" s="230"/>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1" t="s">
        <v>204</v>
      </c>
      <c r="B2" s="232" t="s">
        <v>205</v>
      </c>
      <c r="C2" s="232" t="s">
        <v>206</v>
      </c>
      <c r="D2" s="232"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1"/>
      <c r="B3" s="232"/>
      <c r="C3" s="232"/>
      <c r="D3" s="232"/>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ht="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ht="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ht="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ht="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ht="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ht="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ht="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ht="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ht="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ht="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ht="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ht="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ht="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ht="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ht="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R14" sqref="R14"/>
    </sheetView>
  </sheetViews>
  <sheetFormatPr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3"/>
      <c r="U1" s="233"/>
      <c r="V1" s="233"/>
      <c r="W1" s="139"/>
      <c r="X1" s="233" t="s">
        <v>169</v>
      </c>
      <c r="Y1" s="233"/>
      <c r="Z1" s="114">
        <f>T2+U2+V2+W2+X2+Y2+Z2</f>
        <v>47</v>
      </c>
      <c r="AA1" s="32">
        <f>Z1/16</f>
        <v>2.9375</v>
      </c>
      <c r="AC1" s="65"/>
      <c r="AD1" s="65"/>
      <c r="AE1" s="65"/>
      <c r="AF1" s="65"/>
      <c r="AG1" s="65"/>
      <c r="AH1" s="65"/>
      <c r="AI1" s="65"/>
      <c r="AJ1" s="65"/>
    </row>
    <row r="2" spans="1:36" x14ac:dyDescent="0.25">
      <c r="A2" s="140"/>
      <c r="B2" s="140"/>
      <c r="C2" s="141"/>
      <c r="D2" s="142">
        <f ca="1">TODAY()</f>
        <v>43105</v>
      </c>
      <c r="G2" s="65"/>
      <c r="H2" s="143"/>
      <c r="I2" s="143"/>
      <c r="J2" s="144"/>
      <c r="K2" s="144"/>
      <c r="L2" s="143"/>
      <c r="M2" s="145"/>
      <c r="N2" s="143"/>
      <c r="O2" s="143"/>
      <c r="P2" s="143"/>
      <c r="Q2" s="143"/>
      <c r="R2" s="143"/>
      <c r="S2" s="143"/>
      <c r="T2" s="148">
        <v>0</v>
      </c>
      <c r="U2" s="149">
        <v>0</v>
      </c>
      <c r="V2" s="149">
        <v>0</v>
      </c>
      <c r="W2" s="148">
        <v>29</v>
      </c>
      <c r="X2" s="150">
        <v>0</v>
      </c>
      <c r="Y2" s="150">
        <v>18</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10.892857142857142</v>
      </c>
      <c r="D4" s="28" t="str">
        <f>PLANTILLA!D4</f>
        <v>Alberto Ercilla</v>
      </c>
      <c r="E4" s="16">
        <f>PLANTILLA!E4</f>
        <v>22</v>
      </c>
      <c r="F4" s="17">
        <f ca="1">PLANTILLA!F4</f>
        <v>12</v>
      </c>
      <c r="G4" s="18" t="str">
        <f>PLANTILLA!G4</f>
        <v>IMP</v>
      </c>
      <c r="H4" s="4">
        <f>PLANTILLA!H4</f>
        <v>4</v>
      </c>
      <c r="I4" s="27">
        <f>PLANTILLA!I4</f>
        <v>2.2000000000000002</v>
      </c>
      <c r="J4" s="19">
        <f>PLANTILLA!O4</f>
        <v>7</v>
      </c>
      <c r="K4" s="6">
        <f t="shared" ref="K4" si="0">(H4)*(H4)*(I4)</f>
        <v>35.200000000000003</v>
      </c>
      <c r="L4" s="6">
        <f t="shared" ref="L4" si="1">(H4+1)*(H4+1)*I4</f>
        <v>55.000000000000007</v>
      </c>
      <c r="M4" s="21">
        <f>PLANTILLA!X4</f>
        <v>0</v>
      </c>
      <c r="N4" s="21">
        <f>PLANTILLA!Y4</f>
        <v>7</v>
      </c>
      <c r="O4" s="21">
        <f>PLANTILLA!Z4</f>
        <v>2</v>
      </c>
      <c r="P4" s="21">
        <f>PLANTILLA!AA4</f>
        <v>5</v>
      </c>
      <c r="Q4" s="21">
        <f>PLANTILLA!AB4</f>
        <v>7</v>
      </c>
      <c r="R4" s="21">
        <f>PLANTILLA!AC4</f>
        <v>5.0476190476190474</v>
      </c>
      <c r="S4" s="21">
        <f>PLANTILLA!AD4</f>
        <v>4</v>
      </c>
      <c r="T4" s="155">
        <v>0</v>
      </c>
      <c r="U4" s="155">
        <v>0</v>
      </c>
      <c r="V4" s="155">
        <v>0</v>
      </c>
      <c r="W4" s="155">
        <v>0.13</v>
      </c>
      <c r="X4" s="155">
        <v>0</v>
      </c>
      <c r="Y4" s="155">
        <f t="shared" ref="Y4:Y17" si="2">0.17</f>
        <v>0.17</v>
      </c>
      <c r="Z4" s="155">
        <v>0</v>
      </c>
      <c r="AA4" s="153">
        <v>20</v>
      </c>
      <c r="AB4" s="154">
        <v>56</v>
      </c>
      <c r="AC4" s="25">
        <f t="shared" ref="AC4:AC17" si="3">I4+$AC$2</f>
        <v>2.2000000000000002</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15.410714285714286</v>
      </c>
      <c r="D5" s="28" t="str">
        <f>PLANTILLA!D5</f>
        <v>Marc Dolz</v>
      </c>
      <c r="E5" s="16">
        <f>PLANTILLA!E5</f>
        <v>17</v>
      </c>
      <c r="F5" s="17">
        <f ca="1">PLANTILLA!F5</f>
        <v>66</v>
      </c>
      <c r="G5" s="18" t="str">
        <f>PLANTILLA!G5</f>
        <v>POT</v>
      </c>
      <c r="H5" s="4">
        <f>PLANTILLA!H5</f>
        <v>3</v>
      </c>
      <c r="I5" s="27">
        <f>PLANTILLA!I5</f>
        <v>1</v>
      </c>
      <c r="J5" s="19">
        <f>PLANTILLA!O5</f>
        <v>4.5</v>
      </c>
      <c r="K5" s="6">
        <f t="shared" ref="K5:K17" si="4">(H5)*(H5)*(I5)</f>
        <v>9</v>
      </c>
      <c r="L5" s="6">
        <f t="shared" ref="L5:L17" si="5">(H5+1)*(H5+1)*I5</f>
        <v>16</v>
      </c>
      <c r="M5" s="21">
        <f>PLANTILLA!X5</f>
        <v>0</v>
      </c>
      <c r="N5" s="21">
        <f>PLANTILLA!Y5</f>
        <v>4</v>
      </c>
      <c r="O5" s="21">
        <f>PLANTILLA!Z5</f>
        <v>4</v>
      </c>
      <c r="P5" s="21">
        <f>PLANTILLA!AA5</f>
        <v>3</v>
      </c>
      <c r="Q5" s="21">
        <f>PLANTILLA!AB5</f>
        <v>4.2526666666666664</v>
      </c>
      <c r="R5" s="21">
        <f>PLANTILLA!AC5</f>
        <v>3.0666666666666669</v>
      </c>
      <c r="S5" s="21">
        <f>PLANTILLA!AD5</f>
        <v>0.4</v>
      </c>
      <c r="T5" s="155">
        <v>0</v>
      </c>
      <c r="U5" s="155">
        <v>0</v>
      </c>
      <c r="V5" s="155">
        <v>0</v>
      </c>
      <c r="W5" s="155">
        <v>1</v>
      </c>
      <c r="X5" s="155">
        <v>0</v>
      </c>
      <c r="Y5" s="155">
        <v>1</v>
      </c>
      <c r="Z5" s="155">
        <v>0</v>
      </c>
      <c r="AA5" s="153">
        <v>20</v>
      </c>
      <c r="AB5" s="154">
        <v>59</v>
      </c>
      <c r="AC5" s="25">
        <f t="shared" si="3"/>
        <v>1</v>
      </c>
      <c r="AD5" s="156">
        <f t="shared" ref="AD5:AD17" si="6">M5</f>
        <v>0</v>
      </c>
      <c r="AE5" s="156">
        <f t="shared" ref="AE5:AE17" si="7">N5</f>
        <v>4</v>
      </c>
      <c r="AF5" s="156">
        <f t="shared" ref="AF5:AF17"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15.883928571428571</v>
      </c>
      <c r="D6" s="28" t="str">
        <f>PLANTILLA!D6</f>
        <v>Manuel Parejo</v>
      </c>
      <c r="E6" s="16">
        <f>PLANTILLA!E6</f>
        <v>17</v>
      </c>
      <c r="F6" s="17">
        <f ca="1">PLANTILLA!F6</f>
        <v>13</v>
      </c>
      <c r="G6" s="18">
        <f>PLANTILLA!G6</f>
        <v>0</v>
      </c>
      <c r="H6" s="4">
        <f>PLANTILLA!H6</f>
        <v>1</v>
      </c>
      <c r="I6" s="27">
        <f>PLANTILLA!I6</f>
        <v>1</v>
      </c>
      <c r="J6" s="19">
        <f>PLANTILLA!O6</f>
        <v>3.5</v>
      </c>
      <c r="K6" s="6">
        <f t="shared" si="4"/>
        <v>1</v>
      </c>
      <c r="L6" s="6">
        <f t="shared" si="5"/>
        <v>4</v>
      </c>
      <c r="M6" s="21">
        <f>PLANTILLA!X6</f>
        <v>0</v>
      </c>
      <c r="N6" s="21">
        <f>PLANTILLA!Y6</f>
        <v>5</v>
      </c>
      <c r="O6" s="21">
        <f>PLANTILLA!Z6</f>
        <v>6.7</v>
      </c>
      <c r="P6" s="21">
        <f>PLANTILLA!AA6</f>
        <v>3</v>
      </c>
      <c r="Q6" s="21">
        <f>PLANTILLA!AB6</f>
        <v>2</v>
      </c>
      <c r="R6" s="21">
        <f>PLANTILLA!AC6</f>
        <v>3.0666666666666669</v>
      </c>
      <c r="S6" s="21">
        <f>PLANTILLA!AD6</f>
        <v>2</v>
      </c>
      <c r="T6" s="155">
        <v>0</v>
      </c>
      <c r="U6" s="155">
        <v>0</v>
      </c>
      <c r="V6" s="155">
        <v>0</v>
      </c>
      <c r="W6" s="155">
        <v>1</v>
      </c>
      <c r="X6" s="155">
        <v>0</v>
      </c>
      <c r="Y6" s="155">
        <v>1</v>
      </c>
      <c r="Z6" s="155">
        <v>0</v>
      </c>
      <c r="AA6" s="153">
        <v>20</v>
      </c>
      <c r="AB6" s="154">
        <v>69</v>
      </c>
      <c r="AC6" s="25">
        <f t="shared" si="3"/>
        <v>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15.383928571428571</v>
      </c>
      <c r="D7" s="28" t="str">
        <f>PLANTILLA!D7</f>
        <v>Valeri Gomis</v>
      </c>
      <c r="E7" s="16">
        <f>PLANTILLA!E7</f>
        <v>17</v>
      </c>
      <c r="F7" s="17">
        <f ca="1">PLANTILLA!F7</f>
        <v>69</v>
      </c>
      <c r="G7" s="18" t="str">
        <f>PLANTILLA!G7</f>
        <v>IMP</v>
      </c>
      <c r="H7" s="4">
        <f>PLANTILLA!H7</f>
        <v>6</v>
      </c>
      <c r="I7" s="27">
        <f>PLANTILLA!I7</f>
        <v>1</v>
      </c>
      <c r="J7" s="19">
        <f>PLANTILLA!O7</f>
        <v>5</v>
      </c>
      <c r="K7" s="6">
        <f t="shared" si="4"/>
        <v>36</v>
      </c>
      <c r="L7" s="6">
        <f t="shared" si="5"/>
        <v>49</v>
      </c>
      <c r="M7" s="21">
        <f>PLANTILLA!X7</f>
        <v>0</v>
      </c>
      <c r="N7" s="21">
        <f>PLANTILLA!Y7</f>
        <v>6</v>
      </c>
      <c r="O7" s="21">
        <f>PLANTILLA!Z7</f>
        <v>3</v>
      </c>
      <c r="P7" s="21">
        <f>PLANTILLA!AA7</f>
        <v>3</v>
      </c>
      <c r="Q7" s="21">
        <f>PLANTILLA!AB7</f>
        <v>5.4</v>
      </c>
      <c r="R7" s="21">
        <f>PLANTILLA!AC7</f>
        <v>3.66</v>
      </c>
      <c r="S7" s="21">
        <f>PLANTILLA!AD7</f>
        <v>3</v>
      </c>
      <c r="T7" s="155">
        <v>0</v>
      </c>
      <c r="U7" s="155">
        <v>0</v>
      </c>
      <c r="V7" s="155">
        <v>0</v>
      </c>
      <c r="W7" s="155">
        <v>0.13</v>
      </c>
      <c r="X7" s="155">
        <v>0</v>
      </c>
      <c r="Y7" s="155">
        <v>0.17</v>
      </c>
      <c r="Z7" s="155">
        <v>0</v>
      </c>
      <c r="AA7" s="153">
        <v>20</v>
      </c>
      <c r="AB7" s="154">
        <v>103</v>
      </c>
      <c r="AC7" s="25">
        <f t="shared" si="3"/>
        <v>1</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15.294642857142858</v>
      </c>
      <c r="D8" s="28" t="str">
        <f>PLANTILLA!D8</f>
        <v>J. G. de Minaya</v>
      </c>
      <c r="E8" s="16">
        <f>PLANTILLA!E8</f>
        <v>17</v>
      </c>
      <c r="F8" s="17">
        <f ca="1">PLANTILLA!F8</f>
        <v>79</v>
      </c>
      <c r="G8" s="18" t="str">
        <f>PLANTILLA!G8</f>
        <v>TEC</v>
      </c>
      <c r="H8" s="4">
        <f>PLANTILLA!H8</f>
        <v>0</v>
      </c>
      <c r="I8" s="27">
        <f>PLANTILLA!I8</f>
        <v>1.2</v>
      </c>
      <c r="J8" s="19">
        <f>PLANTILLA!O8</f>
        <v>3.5</v>
      </c>
      <c r="K8" s="6">
        <f t="shared" si="4"/>
        <v>0</v>
      </c>
      <c r="L8" s="6">
        <f t="shared" si="5"/>
        <v>1.2</v>
      </c>
      <c r="M8" s="21">
        <f>PLANTILLA!X8</f>
        <v>0</v>
      </c>
      <c r="N8" s="21">
        <f>PLANTILLA!Y8</f>
        <v>6</v>
      </c>
      <c r="O8" s="21">
        <f>PLANTILLA!Z8</f>
        <v>5</v>
      </c>
      <c r="P8" s="21">
        <f>PLANTILLA!AA8</f>
        <v>6</v>
      </c>
      <c r="Q8" s="21">
        <f>PLANTILLA!AB8</f>
        <v>6</v>
      </c>
      <c r="R8" s="21">
        <f>PLANTILLA!AC8</f>
        <v>5.33</v>
      </c>
      <c r="S8" s="21">
        <f>PLANTILLA!AD8</f>
        <v>0</v>
      </c>
      <c r="T8" s="155">
        <v>0</v>
      </c>
      <c r="U8" s="155">
        <v>0</v>
      </c>
      <c r="V8" s="155">
        <v>0</v>
      </c>
      <c r="W8" s="155">
        <v>0.13</v>
      </c>
      <c r="X8" s="155">
        <v>0</v>
      </c>
      <c r="Y8" s="155">
        <f t="shared" si="2"/>
        <v>0.17</v>
      </c>
      <c r="Z8" s="155">
        <v>0</v>
      </c>
      <c r="AA8" s="153">
        <v>20</v>
      </c>
      <c r="AB8" s="154">
        <v>55</v>
      </c>
      <c r="AC8" s="25">
        <f t="shared" si="3"/>
        <v>1.2</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14.991071428571429</v>
      </c>
      <c r="D9" s="28" t="str">
        <f>PLANTILLA!D9</f>
        <v>Roberto Montero</v>
      </c>
      <c r="E9" s="16">
        <f>PLANTILLA!E9</f>
        <v>18</v>
      </c>
      <c r="F9" s="17">
        <f ca="1">PLANTILLA!F9</f>
        <v>1</v>
      </c>
      <c r="G9" s="18" t="str">
        <f>PLANTILLA!G9</f>
        <v>TEC</v>
      </c>
      <c r="H9" s="4">
        <f>PLANTILLA!H9</f>
        <v>2</v>
      </c>
      <c r="I9" s="27">
        <f>PLANTILLA!I9</f>
        <v>0.5</v>
      </c>
      <c r="J9" s="19">
        <f>PLANTILLA!O9</f>
        <v>6</v>
      </c>
      <c r="K9" s="6">
        <f t="shared" si="4"/>
        <v>2</v>
      </c>
      <c r="L9" s="6">
        <f t="shared" si="5"/>
        <v>4.5</v>
      </c>
      <c r="M9" s="21">
        <f>PLANTILLA!X9</f>
        <v>0</v>
      </c>
      <c r="N9" s="21">
        <f>PLANTILLA!Y9</f>
        <v>6</v>
      </c>
      <c r="O9" s="21">
        <f>PLANTILLA!Z9</f>
        <v>4</v>
      </c>
      <c r="P9" s="21">
        <f>PLANTILLA!AA9</f>
        <v>4</v>
      </c>
      <c r="Q9" s="21">
        <f>PLANTILLA!AB9</f>
        <v>3.3028</v>
      </c>
      <c r="R9" s="21">
        <f>PLANTILLA!AC9</f>
        <v>3.4633333333333338</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15.419642857142858</v>
      </c>
      <c r="D10" s="28" t="str">
        <f>PLANTILLA!D10</f>
        <v>Eckardt Hägerling</v>
      </c>
      <c r="E10" s="16">
        <f>PLANTILLA!E10</f>
        <v>17</v>
      </c>
      <c r="F10" s="17">
        <f ca="1">PLANTILLA!F10</f>
        <v>65</v>
      </c>
      <c r="G10" s="18" t="str">
        <f>PLANTILLA!G10</f>
        <v>IMP</v>
      </c>
      <c r="H10" s="4">
        <f>PLANTILLA!H10</f>
        <v>3</v>
      </c>
      <c r="I10" s="27">
        <f>PLANTILLA!I10</f>
        <v>1</v>
      </c>
      <c r="J10" s="19">
        <f>PLANTILLA!O10</f>
        <v>5.7</v>
      </c>
      <c r="K10" s="6">
        <f t="shared" si="4"/>
        <v>9</v>
      </c>
      <c r="L10" s="6">
        <f t="shared" si="5"/>
        <v>16</v>
      </c>
      <c r="M10" s="21">
        <f>PLANTILLA!X10</f>
        <v>0</v>
      </c>
      <c r="N10" s="21">
        <f>PLANTILLA!Y10</f>
        <v>5</v>
      </c>
      <c r="O10" s="21">
        <f>PLANTILLA!Z10</f>
        <v>3</v>
      </c>
      <c r="P10" s="21">
        <f>PLANTILLA!AA10</f>
        <v>4</v>
      </c>
      <c r="Q10" s="21">
        <f>PLANTILLA!AB10</f>
        <v>2.4356</v>
      </c>
      <c r="R10" s="21">
        <f>PLANTILLA!AC10</f>
        <v>3.2000000000000006</v>
      </c>
      <c r="S10" s="21">
        <f>PLANTILLA!AD10</f>
        <v>3</v>
      </c>
      <c r="T10" s="155">
        <v>0</v>
      </c>
      <c r="U10" s="155">
        <v>0</v>
      </c>
      <c r="V10" s="155">
        <v>0</v>
      </c>
      <c r="W10" s="155">
        <v>0.13</v>
      </c>
      <c r="X10" s="155">
        <v>0</v>
      </c>
      <c r="Y10" s="155">
        <f t="shared" si="2"/>
        <v>0.17</v>
      </c>
      <c r="Z10" s="155">
        <v>0</v>
      </c>
      <c r="AA10" s="153">
        <v>20</v>
      </c>
      <c r="AB10" s="154">
        <v>84</v>
      </c>
      <c r="AC10" s="25">
        <f t="shared" si="3"/>
        <v>1</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#7</v>
      </c>
      <c r="B11" s="15" t="str">
        <f>PLANTILLA!B11</f>
        <v>LAT</v>
      </c>
      <c r="C11" s="121">
        <f ca="1">PLANTILLA!C11</f>
        <v>15.607142857142858</v>
      </c>
      <c r="D11" s="28" t="str">
        <f>PLANTILLA!D11</f>
        <v>Raul Riquelme</v>
      </c>
      <c r="E11" s="16">
        <f>PLANTILLA!E11</f>
        <v>17</v>
      </c>
      <c r="F11" s="17">
        <f ca="1">PLANTILLA!F11</f>
        <v>44</v>
      </c>
      <c r="G11" s="18" t="str">
        <f>PLANTILLA!G11</f>
        <v>RAP</v>
      </c>
      <c r="H11" s="4">
        <f>PLANTILLA!H11</f>
        <v>6</v>
      </c>
      <c r="I11" s="27">
        <f>PLANTILLA!I11</f>
        <v>0.5</v>
      </c>
      <c r="J11" s="19">
        <f>PLANTILLA!O11</f>
        <v>3.5</v>
      </c>
      <c r="K11" s="6">
        <f t="shared" si="4"/>
        <v>18</v>
      </c>
      <c r="L11" s="6">
        <f t="shared" si="5"/>
        <v>24.5</v>
      </c>
      <c r="M11" s="21">
        <f>PLANTILLA!X11</f>
        <v>0</v>
      </c>
      <c r="N11" s="21">
        <f>PLANTILLA!Y11</f>
        <v>6</v>
      </c>
      <c r="O11" s="21">
        <f>PLANTILLA!Z11</f>
        <v>3</v>
      </c>
      <c r="P11" s="21">
        <f>PLANTILLA!AA11</f>
        <v>3</v>
      </c>
      <c r="Q11" s="21">
        <f>PLANTILLA!AB11</f>
        <v>3</v>
      </c>
      <c r="R11" s="21">
        <f>PLANTILLA!AC11</f>
        <v>5</v>
      </c>
      <c r="S11" s="21">
        <f>PLANTILLA!AD11</f>
        <v>4</v>
      </c>
      <c r="T11" s="155">
        <v>0</v>
      </c>
      <c r="U11" s="155">
        <v>0</v>
      </c>
      <c r="V11" s="155">
        <v>0</v>
      </c>
      <c r="W11" s="155">
        <v>0.13</v>
      </c>
      <c r="X11" s="155">
        <v>0</v>
      </c>
      <c r="Y11" s="155">
        <f t="shared" si="2"/>
        <v>0.17</v>
      </c>
      <c r="Z11" s="155">
        <v>0</v>
      </c>
      <c r="AA11" s="153">
        <v>20</v>
      </c>
      <c r="AB11" s="154">
        <v>54</v>
      </c>
      <c r="AC11" s="25">
        <f t="shared" si="3"/>
        <v>0.5</v>
      </c>
      <c r="AD11" s="156">
        <f t="shared" si="6"/>
        <v>0</v>
      </c>
      <c r="AE11" s="156">
        <f t="shared" si="7"/>
        <v>6</v>
      </c>
      <c r="AF11" s="156">
        <f t="shared" si="8"/>
        <v>3</v>
      </c>
      <c r="AG11" s="156">
        <f>5+14/18</f>
        <v>5.7777777777777777</v>
      </c>
      <c r="AH11" s="156">
        <f>Q11+(X$2/9)</f>
        <v>3</v>
      </c>
      <c r="AI11" s="156">
        <f>5+2/20</f>
        <v>5.0999999999999996</v>
      </c>
      <c r="AJ11" s="156">
        <f>S11+(Z$2/3)</f>
        <v>4</v>
      </c>
    </row>
    <row r="12" spans="1:36" ht="16.5" customHeight="1" x14ac:dyDescent="0.25">
      <c r="A12" s="15" t="str">
        <f>PLANTILLA!A12</f>
        <v>#21</v>
      </c>
      <c r="B12" s="15" t="str">
        <f>PLANTILLA!B12</f>
        <v>MED</v>
      </c>
      <c r="C12" s="121">
        <f ca="1">PLANTILLA!C12</f>
        <v>15.053571428571429</v>
      </c>
      <c r="D12" s="28" t="str">
        <f>PLANTILLA!D12</f>
        <v>Fernando Gazón</v>
      </c>
      <c r="E12" s="16">
        <f>PLANTILLA!E12</f>
        <v>17</v>
      </c>
      <c r="F12" s="17">
        <f ca="1">PLANTILLA!F12</f>
        <v>106</v>
      </c>
      <c r="G12" s="18" t="str">
        <f>PLANTILLA!G12</f>
        <v>IMP</v>
      </c>
      <c r="H12" s="4">
        <f>PLANTILLA!H12</f>
        <v>3</v>
      </c>
      <c r="I12" s="27">
        <f>PLANTILLA!I12</f>
        <v>0.5</v>
      </c>
      <c r="J12" s="19">
        <f>PLANTILLA!O12</f>
        <v>6</v>
      </c>
      <c r="K12" s="6">
        <f t="shared" si="4"/>
        <v>4.5</v>
      </c>
      <c r="L12" s="6">
        <f t="shared" si="5"/>
        <v>8</v>
      </c>
      <c r="M12" s="21">
        <f>PLANTILLA!X12</f>
        <v>0</v>
      </c>
      <c r="N12" s="21">
        <f>PLANTILLA!Y12</f>
        <v>3</v>
      </c>
      <c r="O12" s="21">
        <f>PLANTILLA!Z12</f>
        <v>6</v>
      </c>
      <c r="P12" s="21">
        <f>PLANTILLA!AA12</f>
        <v>3</v>
      </c>
      <c r="Q12" s="21">
        <f>PLANTILLA!AB12</f>
        <v>4</v>
      </c>
      <c r="R12" s="21">
        <f>PLANTILLA!AC12</f>
        <v>4.7188235294117646</v>
      </c>
      <c r="S12" s="21">
        <f>PLANTILLA!AD12</f>
        <v>3</v>
      </c>
      <c r="T12" s="155">
        <v>0</v>
      </c>
      <c r="U12" s="155">
        <v>0</v>
      </c>
      <c r="V12" s="155">
        <v>0</v>
      </c>
      <c r="W12" s="155">
        <v>1</v>
      </c>
      <c r="X12" s="155">
        <v>0</v>
      </c>
      <c r="Y12" s="155">
        <v>1</v>
      </c>
      <c r="Z12" s="155">
        <v>0</v>
      </c>
      <c r="AA12" s="153">
        <v>20</v>
      </c>
      <c r="AB12" s="154">
        <v>55</v>
      </c>
      <c r="AC12" s="25">
        <f t="shared" si="3"/>
        <v>0.5</v>
      </c>
      <c r="AD12" s="156">
        <f t="shared" si="6"/>
        <v>0</v>
      </c>
      <c r="AE12" s="156">
        <f t="shared" si="7"/>
        <v>3</v>
      </c>
      <c r="AF12" s="156">
        <f t="shared" si="8"/>
        <v>6</v>
      </c>
      <c r="AG12" s="156">
        <f>12+5/6</f>
        <v>12.833333333333334</v>
      </c>
      <c r="AH12" s="156">
        <f>Q12+(X$2/6)</f>
        <v>4</v>
      </c>
      <c r="AI12" s="156">
        <f>8+2/4</f>
        <v>8.5</v>
      </c>
      <c r="AJ12" s="156">
        <f>S12+(Z$2/2.5)</f>
        <v>3</v>
      </c>
    </row>
    <row r="13" spans="1:36" ht="16.5" customHeight="1" x14ac:dyDescent="0.25">
      <c r="A13" s="15" t="str">
        <f>PLANTILLA!A13</f>
        <v>#26</v>
      </c>
      <c r="B13" s="15" t="str">
        <f>PLANTILLA!B13</f>
        <v>MED</v>
      </c>
      <c r="C13" s="121">
        <f ca="1">PLANTILLA!C13</f>
        <v>15.160714285714286</v>
      </c>
      <c r="D13" s="28" t="str">
        <f>PLANTILLA!D13</f>
        <v>Roberto Abenoza</v>
      </c>
      <c r="E13" s="16">
        <f>PLANTILLA!E13</f>
        <v>17</v>
      </c>
      <c r="F13" s="17">
        <f ca="1">PLANTILLA!F13</f>
        <v>94</v>
      </c>
      <c r="G13" s="18" t="str">
        <f>PLANTILLA!G13</f>
        <v>CAB</v>
      </c>
      <c r="H13" s="4">
        <f>PLANTILLA!H13</f>
        <v>4</v>
      </c>
      <c r="I13" s="27">
        <f>PLANTILLA!I13</f>
        <v>0.5</v>
      </c>
      <c r="J13" s="19">
        <f>PLANTILLA!O13</f>
        <v>5.7</v>
      </c>
      <c r="K13" s="6">
        <f t="shared" si="4"/>
        <v>8</v>
      </c>
      <c r="L13" s="6">
        <f t="shared" si="5"/>
        <v>12.5</v>
      </c>
      <c r="M13" s="21">
        <f>PLANTILLA!X13</f>
        <v>0</v>
      </c>
      <c r="N13" s="21">
        <f>PLANTILLA!Y13</f>
        <v>2</v>
      </c>
      <c r="O13" s="21">
        <f>PLANTILLA!Z13</f>
        <v>5</v>
      </c>
      <c r="P13" s="21">
        <f>PLANTILLA!AA13</f>
        <v>3</v>
      </c>
      <c r="Q13" s="21">
        <f>PLANTILLA!AB13</f>
        <v>2.1583999999999999</v>
      </c>
      <c r="R13" s="21">
        <f>PLANTILLA!AC13</f>
        <v>5.1499999999999995</v>
      </c>
      <c r="S13" s="21">
        <f>PLANTILLA!AD13</f>
        <v>5</v>
      </c>
      <c r="T13" s="155">
        <v>0</v>
      </c>
      <c r="U13" s="155">
        <v>0</v>
      </c>
      <c r="V13" s="155">
        <v>0</v>
      </c>
      <c r="W13" s="155">
        <v>1</v>
      </c>
      <c r="X13" s="155">
        <v>0</v>
      </c>
      <c r="Y13" s="155">
        <v>1</v>
      </c>
      <c r="Z13" s="155">
        <v>0</v>
      </c>
      <c r="AA13" s="153">
        <v>20</v>
      </c>
      <c r="AB13" s="154">
        <v>55</v>
      </c>
      <c r="AC13" s="25">
        <f t="shared" si="3"/>
        <v>0.5</v>
      </c>
      <c r="AD13" s="156">
        <f t="shared" si="6"/>
        <v>0</v>
      </c>
      <c r="AE13" s="156">
        <f t="shared" si="7"/>
        <v>2</v>
      </c>
      <c r="AF13" s="156">
        <f t="shared" si="8"/>
        <v>5</v>
      </c>
      <c r="AG13" s="156">
        <f>12+3/6</f>
        <v>12.5</v>
      </c>
      <c r="AH13" s="156">
        <f>Q13+(X$2/16)</f>
        <v>2.1583999999999999</v>
      </c>
      <c r="AI13" s="156">
        <f>8+2/4</f>
        <v>8.5</v>
      </c>
      <c r="AJ13" s="156">
        <f>S13+(Z$2/2)</f>
        <v>5</v>
      </c>
    </row>
    <row r="14" spans="1:36" ht="16.5" customHeight="1" x14ac:dyDescent="0.25">
      <c r="A14" s="15" t="str">
        <f>PLANTILLA!A14</f>
        <v>#29</v>
      </c>
      <c r="B14" s="15" t="str">
        <f>PLANTILLA!B14</f>
        <v>MED</v>
      </c>
      <c r="C14" s="121">
        <f ca="1">PLANTILLA!C14</f>
        <v>15.428571428571429</v>
      </c>
      <c r="D14" s="28" t="str">
        <f>PLANTILLA!D14</f>
        <v>Julio Calle</v>
      </c>
      <c r="E14" s="16">
        <f>PLANTILLA!E14</f>
        <v>17</v>
      </c>
      <c r="F14" s="17">
        <f ca="1">PLANTILLA!F14</f>
        <v>64</v>
      </c>
      <c r="G14" s="18" t="str">
        <f>PLANTILLA!G14</f>
        <v>POT</v>
      </c>
      <c r="H14" s="4">
        <f>PLANTILLA!H14</f>
        <v>3</v>
      </c>
      <c r="I14" s="27">
        <f>PLANTILLA!I14</f>
        <v>0.5</v>
      </c>
      <c r="J14" s="19">
        <f>PLANTILLA!O14</f>
        <v>4.5</v>
      </c>
      <c r="K14" s="6">
        <f t="shared" si="4"/>
        <v>4.5</v>
      </c>
      <c r="L14" s="6">
        <f t="shared" si="5"/>
        <v>8</v>
      </c>
      <c r="M14" s="21">
        <f>PLANTILLA!X14</f>
        <v>0</v>
      </c>
      <c r="N14" s="21">
        <f>PLANTILLA!Y14</f>
        <v>3</v>
      </c>
      <c r="O14" s="21">
        <f>PLANTILLA!Z14</f>
        <v>4</v>
      </c>
      <c r="P14" s="21">
        <f>PLANTILLA!AA14</f>
        <v>4</v>
      </c>
      <c r="Q14" s="21">
        <f>PLANTILLA!AB14</f>
        <v>3.0151111111111111</v>
      </c>
      <c r="R14" s="21">
        <f>PLANTILLA!AC14</f>
        <v>4.0588235294117645</v>
      </c>
      <c r="S14" s="21">
        <f>PLANTILLA!AD14</f>
        <v>1.3</v>
      </c>
      <c r="T14" s="155">
        <v>0</v>
      </c>
      <c r="U14" s="155">
        <v>0</v>
      </c>
      <c r="V14" s="155">
        <v>0</v>
      </c>
      <c r="W14" s="155">
        <v>0.13</v>
      </c>
      <c r="X14" s="155">
        <v>0</v>
      </c>
      <c r="Y14" s="155">
        <f t="shared" si="2"/>
        <v>0.17</v>
      </c>
      <c r="Z14" s="155">
        <v>0</v>
      </c>
      <c r="AA14" s="153">
        <v>20</v>
      </c>
      <c r="AB14" s="154">
        <v>63</v>
      </c>
      <c r="AC14" s="25">
        <f t="shared" si="3"/>
        <v>0.5</v>
      </c>
      <c r="AD14" s="156">
        <f t="shared" si="6"/>
        <v>0</v>
      </c>
      <c r="AE14" s="156">
        <f t="shared" si="7"/>
        <v>3</v>
      </c>
      <c r="AF14" s="156">
        <f t="shared" si="8"/>
        <v>4</v>
      </c>
      <c r="AG14" s="156">
        <f>6+11/20</f>
        <v>6.55</v>
      </c>
      <c r="AH14" s="156">
        <f>Q14+(X$2/12)</f>
        <v>3.0151111111111111</v>
      </c>
      <c r="AI14" s="156">
        <f>5+2/20</f>
        <v>5.0999999999999996</v>
      </c>
      <c r="AJ14" s="156">
        <f>S14+(Z$2/2)</f>
        <v>1.3</v>
      </c>
    </row>
    <row r="15" spans="1:36" ht="16.5" customHeight="1" x14ac:dyDescent="0.25">
      <c r="A15" s="15" t="str">
        <f>PLANTILLA!A15</f>
        <v>#8</v>
      </c>
      <c r="B15" s="15" t="str">
        <f>PLANTILLA!B15</f>
        <v>EXT</v>
      </c>
      <c r="C15" s="121">
        <f ca="1">PLANTILLA!C15</f>
        <v>15.419642857142858</v>
      </c>
      <c r="D15" s="28" t="str">
        <f>PLANTILLA!D15</f>
        <v>Enrique Cubas</v>
      </c>
      <c r="E15" s="16">
        <f>PLANTILLA!E15</f>
        <v>17</v>
      </c>
      <c r="F15" s="17">
        <f ca="1">PLANTILLA!F15</f>
        <v>65</v>
      </c>
      <c r="G15" s="18" t="str">
        <f>PLANTILLA!G15</f>
        <v>RAP</v>
      </c>
      <c r="H15" s="4">
        <f>PLANTILLA!H15</f>
        <v>1</v>
      </c>
      <c r="I15" s="27">
        <f>PLANTILLA!I15</f>
        <v>1</v>
      </c>
      <c r="J15" s="19">
        <f>PLANTILLA!O15</f>
        <v>5.7</v>
      </c>
      <c r="K15" s="6">
        <f t="shared" si="4"/>
        <v>1</v>
      </c>
      <c r="L15" s="6">
        <f t="shared" si="5"/>
        <v>4</v>
      </c>
      <c r="M15" s="21">
        <f>PLANTILLA!X15</f>
        <v>0</v>
      </c>
      <c r="N15" s="21">
        <f>PLANTILLA!Y15</f>
        <v>2</v>
      </c>
      <c r="O15" s="21">
        <f>PLANTILLA!Z15</f>
        <v>5.7</v>
      </c>
      <c r="P15" s="21">
        <f>PLANTILLA!AA15</f>
        <v>5.5</v>
      </c>
      <c r="Q15" s="21">
        <f>PLANTILLA!AB15</f>
        <v>5.5</v>
      </c>
      <c r="R15" s="21">
        <f>PLANTILLA!AC15</f>
        <v>4.33</v>
      </c>
      <c r="S15" s="21">
        <f>PLANTILLA!AD15</f>
        <v>5</v>
      </c>
      <c r="T15" s="155">
        <v>0</v>
      </c>
      <c r="U15" s="155">
        <v>0</v>
      </c>
      <c r="V15" s="155">
        <v>0</v>
      </c>
      <c r="W15" s="155">
        <v>0.5</v>
      </c>
      <c r="X15" s="155">
        <v>0</v>
      </c>
      <c r="Y15" s="155">
        <f t="shared" si="2"/>
        <v>0.17</v>
      </c>
      <c r="Z15" s="155">
        <v>0</v>
      </c>
      <c r="AA15" s="153">
        <v>20</v>
      </c>
      <c r="AB15" s="154">
        <v>53</v>
      </c>
      <c r="AC15" s="25">
        <f t="shared" si="3"/>
        <v>1</v>
      </c>
      <c r="AD15" s="156">
        <f t="shared" si="6"/>
        <v>0</v>
      </c>
      <c r="AE15" s="156">
        <f t="shared" si="7"/>
        <v>2</v>
      </c>
      <c r="AF15" s="156">
        <f t="shared" si="8"/>
        <v>5.7</v>
      </c>
      <c r="AG15" s="156">
        <f>5</f>
        <v>5</v>
      </c>
      <c r="AH15" s="156">
        <f>Q15+(X$2/13)</f>
        <v>5.5</v>
      </c>
      <c r="AI15" s="156">
        <f>5+19/20</f>
        <v>5.95</v>
      </c>
      <c r="AJ15" s="156">
        <f>S15+(Z$2/3)</f>
        <v>5</v>
      </c>
    </row>
    <row r="16" spans="1:36" ht="16.5" customHeight="1" x14ac:dyDescent="0.25">
      <c r="A16" s="15" t="str">
        <f>PLANTILLA!A16</f>
        <v>#11</v>
      </c>
      <c r="B16" s="15" t="str">
        <f>PLANTILLA!B16</f>
        <v>EXT</v>
      </c>
      <c r="C16" s="121">
        <f ca="1">PLANTILLA!C16</f>
        <v>15.419642857142858</v>
      </c>
      <c r="D16" s="28" t="str">
        <f>PLANTILLA!D16</f>
        <v>J. G. Peñuela</v>
      </c>
      <c r="E16" s="16">
        <f>PLANTILLA!E16</f>
        <v>17</v>
      </c>
      <c r="F16" s="17">
        <f ca="1">PLANTILLA!F16</f>
        <v>65</v>
      </c>
      <c r="G16" s="18" t="str">
        <f>PLANTILLA!G16</f>
        <v>IMP</v>
      </c>
      <c r="H16" s="4">
        <f>PLANTILLA!H16</f>
        <v>6</v>
      </c>
      <c r="I16" s="27">
        <f>PLANTILLA!I16</f>
        <v>1</v>
      </c>
      <c r="J16" s="19">
        <f>PLANTILLA!O16</f>
        <v>5</v>
      </c>
      <c r="K16" s="6">
        <f t="shared" si="4"/>
        <v>36</v>
      </c>
      <c r="L16" s="6">
        <f t="shared" si="5"/>
        <v>49</v>
      </c>
      <c r="M16" s="21">
        <f>PLANTILLA!X16</f>
        <v>0</v>
      </c>
      <c r="N16" s="21">
        <f>PLANTILLA!Y16</f>
        <v>3</v>
      </c>
      <c r="O16" s="21">
        <f>PLANTILLA!Z16</f>
        <v>5</v>
      </c>
      <c r="P16" s="21">
        <f>PLANTILLA!AA16</f>
        <v>4</v>
      </c>
      <c r="Q16" s="21">
        <f>PLANTILLA!AB16</f>
        <v>4.25</v>
      </c>
      <c r="R16" s="21">
        <f>PLANTILLA!AC16</f>
        <v>4.66</v>
      </c>
      <c r="S16" s="21">
        <f>PLANTILLA!AD16</f>
        <v>3</v>
      </c>
      <c r="T16" s="155">
        <v>0</v>
      </c>
      <c r="U16" s="155">
        <v>0</v>
      </c>
      <c r="V16" s="155">
        <v>0</v>
      </c>
      <c r="W16" s="155">
        <v>0.5</v>
      </c>
      <c r="X16" s="155">
        <v>0</v>
      </c>
      <c r="Y16" s="155">
        <f t="shared" si="2"/>
        <v>0.17</v>
      </c>
      <c r="Z16" s="155">
        <v>0</v>
      </c>
      <c r="AA16" s="153">
        <v>20</v>
      </c>
      <c r="AB16" s="154">
        <v>96</v>
      </c>
      <c r="AC16" s="25">
        <f t="shared" si="3"/>
        <v>1</v>
      </c>
      <c r="AD16" s="156">
        <f t="shared" si="6"/>
        <v>0</v>
      </c>
      <c r="AE16" s="156">
        <f t="shared" si="7"/>
        <v>3</v>
      </c>
      <c r="AF16" s="156">
        <f t="shared" si="8"/>
        <v>5</v>
      </c>
      <c r="AG16" s="156">
        <f>5</f>
        <v>5</v>
      </c>
      <c r="AH16" s="156">
        <f>Q16+(X$2/13)</f>
        <v>4.25</v>
      </c>
      <c r="AI16" s="156">
        <f>6+19/23</f>
        <v>6.8260869565217392</v>
      </c>
      <c r="AJ16" s="156">
        <f>S16+(Z$2/3)</f>
        <v>3</v>
      </c>
    </row>
    <row r="17" spans="1:36" ht="16.5" customHeight="1" x14ac:dyDescent="0.25">
      <c r="A17" s="15" t="str">
        <f>PLANTILLA!A17</f>
        <v>#24</v>
      </c>
      <c r="B17" s="15" t="str">
        <f>PLANTILLA!B17</f>
        <v>EXT</v>
      </c>
      <c r="C17" s="121">
        <f ca="1">PLANTILLA!C17</f>
        <v>15.348214285714286</v>
      </c>
      <c r="D17" s="28" t="str">
        <f>PLANTILLA!D17</f>
        <v>Paulo Beltrán</v>
      </c>
      <c r="E17" s="16">
        <f>PLANTILLA!E17</f>
        <v>17</v>
      </c>
      <c r="F17" s="17">
        <f ca="1">PLANTILLA!F17</f>
        <v>73</v>
      </c>
      <c r="G17" s="18" t="str">
        <f>PLANTILLA!G17</f>
        <v>RAP</v>
      </c>
      <c r="H17" s="4">
        <f>PLANTILLA!H17</f>
        <v>3</v>
      </c>
      <c r="I17" s="27">
        <f>PLANTILLA!I17</f>
        <v>1</v>
      </c>
      <c r="J17" s="19">
        <f>PLANTILLA!O17</f>
        <v>5.7</v>
      </c>
      <c r="K17" s="6">
        <f t="shared" si="4"/>
        <v>9</v>
      </c>
      <c r="L17" s="6">
        <f t="shared" si="5"/>
        <v>16</v>
      </c>
      <c r="M17" s="21">
        <f>PLANTILLA!X17</f>
        <v>0</v>
      </c>
      <c r="N17" s="21">
        <f>PLANTILLA!Y17</f>
        <v>4</v>
      </c>
      <c r="O17" s="21">
        <f>PLANTILLA!Z17</f>
        <v>2</v>
      </c>
      <c r="P17" s="21">
        <f>PLANTILLA!AA17</f>
        <v>5</v>
      </c>
      <c r="Q17" s="21">
        <f>PLANTILLA!AB17</f>
        <v>4</v>
      </c>
      <c r="R17" s="21">
        <f>PLANTILLA!AC17</f>
        <v>4.1764705882352935</v>
      </c>
      <c r="S17" s="21">
        <f>PLANTILLA!AD17</f>
        <v>4</v>
      </c>
      <c r="T17" s="155">
        <v>0</v>
      </c>
      <c r="U17" s="155">
        <v>0</v>
      </c>
      <c r="V17" s="155">
        <v>0</v>
      </c>
      <c r="W17" s="155">
        <v>0.13</v>
      </c>
      <c r="X17" s="155">
        <v>0</v>
      </c>
      <c r="Y17" s="155">
        <f t="shared" si="2"/>
        <v>0.17</v>
      </c>
      <c r="Z17" s="155">
        <v>0</v>
      </c>
      <c r="AA17" s="153">
        <v>20</v>
      </c>
      <c r="AB17" s="154">
        <v>52</v>
      </c>
      <c r="AC17" s="25">
        <f t="shared" si="3"/>
        <v>1</v>
      </c>
      <c r="AD17" s="156">
        <f t="shared" si="6"/>
        <v>0</v>
      </c>
      <c r="AE17" s="156">
        <f t="shared" si="7"/>
        <v>4</v>
      </c>
      <c r="AF17" s="156">
        <f t="shared" si="8"/>
        <v>2</v>
      </c>
      <c r="AG17" s="156">
        <f>4+4/15</f>
        <v>4.2666666666666666</v>
      </c>
      <c r="AH17" s="156">
        <f>Q17+(X$2/13)</f>
        <v>4</v>
      </c>
      <c r="AI17" s="156">
        <f>5+19/20</f>
        <v>5.95</v>
      </c>
      <c r="AJ17" s="156">
        <f>S17+(Z$2/3)</f>
        <v>4</v>
      </c>
    </row>
    <row r="18" spans="1:36" ht="16.5" customHeight="1" x14ac:dyDescent="0.25">
      <c r="A18" s="15" t="str">
        <f>PLANTILLA!A18</f>
        <v>#22</v>
      </c>
      <c r="B18" s="15" t="str">
        <f>PLANTILLA!B18</f>
        <v>DAV</v>
      </c>
      <c r="C18" s="121">
        <f ca="1">PLANTILLA!C18</f>
        <v>15.4375</v>
      </c>
      <c r="D18" s="28" t="str">
        <f>PLANTILLA!D18</f>
        <v>Santiago Serra</v>
      </c>
      <c r="E18" s="16">
        <f>PLANTILLA!E18</f>
        <v>17</v>
      </c>
      <c r="F18" s="17">
        <f ca="1">PLANTILLA!F18</f>
        <v>63</v>
      </c>
      <c r="G18" s="18"/>
      <c r="H18" s="4">
        <f>PLANTILLA!H18</f>
        <v>4</v>
      </c>
      <c r="I18" s="27">
        <f>PLANTILLA!I18</f>
        <v>1</v>
      </c>
      <c r="J18" s="19">
        <f>PLANTILLA!O18</f>
        <v>5.7</v>
      </c>
      <c r="K18" s="6">
        <f t="shared" ref="K18" si="9">(H18)*(H18)*(I18)</f>
        <v>16</v>
      </c>
      <c r="L18" s="6">
        <f t="shared" ref="L18" si="10">(H18+1)*(H18+1)*I18</f>
        <v>25</v>
      </c>
      <c r="M18" s="21">
        <f>PLANTILLA!X18</f>
        <v>1</v>
      </c>
      <c r="N18" s="21">
        <f>PLANTILLA!Y18</f>
        <v>4</v>
      </c>
      <c r="O18" s="21">
        <f>PLANTILLA!Z18</f>
        <v>2</v>
      </c>
      <c r="P18" s="21">
        <f>PLANTILLA!AA18</f>
        <v>3</v>
      </c>
      <c r="Q18" s="21">
        <f>PLANTILLA!AB18</f>
        <v>4.5</v>
      </c>
      <c r="R18" s="21">
        <f>PLANTILLA!AC18</f>
        <v>5.1027777777777779</v>
      </c>
      <c r="S18" s="21">
        <f>PLANTILLA!AD18</f>
        <v>6</v>
      </c>
      <c r="T18" s="155">
        <v>0</v>
      </c>
      <c r="U18" s="155">
        <v>0</v>
      </c>
      <c r="V18" s="155">
        <v>0</v>
      </c>
      <c r="W18" s="155">
        <v>0.5</v>
      </c>
      <c r="X18" s="155">
        <v>0</v>
      </c>
      <c r="Y18" s="155">
        <v>1</v>
      </c>
      <c r="Z18" s="155">
        <v>0</v>
      </c>
      <c r="AA18" s="153">
        <v>20</v>
      </c>
      <c r="AB18" s="154">
        <v>53</v>
      </c>
      <c r="AC18" s="25">
        <f t="shared" ref="AC18" si="11">I18+$AC$2</f>
        <v>1</v>
      </c>
      <c r="AD18" s="156">
        <f t="shared" ref="AD18" si="12">M18</f>
        <v>1</v>
      </c>
      <c r="AE18" s="156">
        <f t="shared" ref="AE18" si="13">N18</f>
        <v>4</v>
      </c>
      <c r="AF18" s="156">
        <f t="shared" ref="AF18" si="14">O18</f>
        <v>2</v>
      </c>
      <c r="AG18" s="156">
        <v>10</v>
      </c>
      <c r="AH18" s="156">
        <f>Q18+(X$2/13)</f>
        <v>4.5</v>
      </c>
      <c r="AI18" s="156">
        <v>10</v>
      </c>
      <c r="AJ18" s="156">
        <f>S18+(Z$2/3)</f>
        <v>6</v>
      </c>
    </row>
    <row r="19" spans="1:36" ht="16.5" customHeight="1" x14ac:dyDescent="0.25">
      <c r="A19" s="15" t="str">
        <f>PLANTILLA!A19</f>
        <v>#25</v>
      </c>
      <c r="B19" s="15" t="str">
        <f>PLANTILLA!B19</f>
        <v>DAV</v>
      </c>
      <c r="C19" s="121">
        <f ca="1">PLANTILLA!C19</f>
        <v>15.053571428571429</v>
      </c>
      <c r="D19" s="28" t="str">
        <f>PLANTILLA!D19</f>
        <v>Nicolás Eans</v>
      </c>
      <c r="E19" s="220"/>
      <c r="F19" s="220"/>
      <c r="G19" s="220"/>
      <c r="H19" s="220"/>
      <c r="I19" s="220"/>
      <c r="J19" s="220"/>
      <c r="K19" s="220"/>
      <c r="L19" s="220"/>
      <c r="M19" s="220"/>
      <c r="N19" s="220"/>
      <c r="O19" s="220"/>
      <c r="P19" s="220"/>
      <c r="Q19" s="220"/>
      <c r="R19" s="220"/>
      <c r="S19" s="220"/>
      <c r="T19" s="220"/>
      <c r="U19" s="220"/>
      <c r="V19" s="220"/>
      <c r="W19" s="220"/>
      <c r="X19" s="220"/>
      <c r="Y19" s="220"/>
      <c r="Z19" s="220"/>
      <c r="AA19" s="220"/>
      <c r="AB19" s="220"/>
      <c r="AC19" s="220"/>
      <c r="AD19" s="65"/>
      <c r="AE19" s="65"/>
      <c r="AF19" s="65"/>
      <c r="AG19" s="65"/>
      <c r="AH19" s="65"/>
      <c r="AI19" s="65"/>
      <c r="AJ19" s="65"/>
    </row>
    <row r="20" spans="1:36" ht="16.5" customHeight="1" x14ac:dyDescent="0.25">
      <c r="A20" s="15" t="str">
        <f>PLANTILLA!A20</f>
        <v>#27</v>
      </c>
      <c r="B20" s="15" t="str">
        <f>PLANTILLA!B20</f>
        <v>DAV</v>
      </c>
      <c r="C20" s="121">
        <f ca="1">PLANTILLA!C20</f>
        <v>15.446428571428571</v>
      </c>
      <c r="D20" s="28" t="str">
        <f>PLANTILLA!D20</f>
        <v>Noel Fuster</v>
      </c>
      <c r="E20" s="220"/>
      <c r="F20" s="220"/>
      <c r="G20" s="220"/>
      <c r="H20" s="220"/>
      <c r="I20" s="220"/>
      <c r="J20" s="220"/>
      <c r="K20" s="220"/>
      <c r="L20" s="220"/>
      <c r="M20" s="220"/>
      <c r="N20" s="220"/>
      <c r="O20" s="220"/>
      <c r="P20" s="220"/>
      <c r="Q20" s="220"/>
      <c r="R20" s="220"/>
      <c r="S20" s="220"/>
      <c r="T20" s="220"/>
      <c r="U20" s="220"/>
      <c r="V20" s="220"/>
      <c r="W20" s="220"/>
      <c r="X20" s="220"/>
      <c r="Y20" s="220"/>
      <c r="Z20" s="220"/>
      <c r="AA20" s="220"/>
      <c r="AB20" s="220"/>
      <c r="AC20" s="220"/>
      <c r="AD20" s="65"/>
      <c r="AE20" s="65"/>
      <c r="AF20" s="65"/>
      <c r="AG20" s="65"/>
      <c r="AH20" s="65"/>
      <c r="AI20" s="65"/>
      <c r="AJ20" s="65"/>
    </row>
    <row r="21" spans="1:36" ht="16.5" customHeight="1" x14ac:dyDescent="0.25">
      <c r="A21" s="15" t="str">
        <f>PLANTILLA!A21</f>
        <v>#9</v>
      </c>
      <c r="B21" s="15" t="str">
        <f>PLANTILLA!B21</f>
        <v>DAV</v>
      </c>
      <c r="C21" s="121">
        <f ca="1">PLANTILLA!C21</f>
        <v>15.767857142857142</v>
      </c>
      <c r="D21" s="28" t="str">
        <f>PLANTILLA!D21</f>
        <v>Casildo Abraldes</v>
      </c>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65"/>
      <c r="AE21" s="65"/>
      <c r="AF21" s="65"/>
      <c r="AG21" s="65"/>
      <c r="AH21" s="65"/>
      <c r="AI21" s="65"/>
      <c r="AJ21" s="65"/>
    </row>
    <row r="22" spans="1:36" ht="16.5" customHeight="1" x14ac:dyDescent="0.25">
      <c r="A22" s="15" t="e">
        <f>PLANTILLA!#REF!</f>
        <v>#REF!</v>
      </c>
      <c r="B22" s="15" t="e">
        <f>PLANTILLA!#REF!</f>
        <v>#REF!</v>
      </c>
      <c r="C22" s="121" t="e">
        <f>PLANTILLA!#REF!</f>
        <v>#REF!</v>
      </c>
      <c r="D22" s="28" t="e">
        <f>PLANTILLA!#REF!</f>
        <v>#REF!</v>
      </c>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65"/>
      <c r="AE22" s="65"/>
      <c r="AF22" s="65"/>
      <c r="AG22" s="65"/>
      <c r="AH22" s="65"/>
      <c r="AI22" s="65"/>
      <c r="AJ22" s="65"/>
    </row>
    <row r="23" spans="1:36" ht="16.5" customHeight="1" x14ac:dyDescent="0.25">
      <c r="A23" s="15">
        <f>PLANTILLA!A22</f>
        <v>0</v>
      </c>
      <c r="B23" s="15">
        <f>PLANTILLA!B22</f>
        <v>0</v>
      </c>
      <c r="C23" s="121">
        <f>PLANTILLA!C22</f>
        <v>0</v>
      </c>
      <c r="D23" s="28" t="str">
        <f>PLANTILLA!D22</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18">
    <cfRule type="cellIs" dxfId="5" priority="57" operator="lessThan">
      <formula>0.2</formula>
    </cfRule>
    <cfRule type="cellIs" dxfId="4" priority="58" operator="greaterThan">
      <formula>0.9</formula>
    </cfRule>
  </conditionalFormatting>
  <conditionalFormatting sqref="I4:I18">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18">
    <cfRule type="cellIs" dxfId="0" priority="4966" operator="greaterThan">
      <formula>8</formula>
    </cfRule>
    <cfRule type="colorScale" priority="4967">
      <colorScale>
        <cfvo type="min"/>
        <cfvo type="max"/>
        <color rgb="FFFFEF9C"/>
        <color rgb="FFFF7128"/>
      </colorScale>
    </cfRule>
  </conditionalFormatting>
  <conditionalFormatting sqref="AD4:AJ18">
    <cfRule type="colorScale" priority="4968">
      <colorScale>
        <cfvo type="min"/>
        <cfvo type="max"/>
        <color rgb="FFFFEF9C"/>
        <color rgb="FF63BE7B"/>
      </colorScale>
    </cfRule>
  </conditionalFormatting>
  <conditionalFormatting sqref="C4:C23">
    <cfRule type="colorScale" priority="496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13</vt:i4>
      </vt:variant>
    </vt:vector>
  </HeadingPairs>
  <TitlesOfParts>
    <vt:vector size="13" baseType="lpstr">
      <vt:lpstr>Resistencia</vt:lpstr>
      <vt:lpstr>TL_v1</vt:lpstr>
      <vt:lpstr>CA_v1</vt:lpstr>
      <vt:lpstr>Planning_Entrenador</vt:lpstr>
      <vt:lpstr>PLANTILLA</vt:lpstr>
      <vt:lpstr>CAPITAN</vt:lpstr>
      <vt:lpstr>Evaluacion Jugadores</vt:lpstr>
      <vt:lpstr>CambioENTRENADOR</vt:lpstr>
      <vt:lpstr>Rendimiento_ENTRENAMIENTO</vt:lpstr>
      <vt:lpstr>LAT</vt:lpstr>
      <vt:lpstr>ANO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2018-01-05T14:14:51Z</dcterms:modified>
</cp:coreProperties>
</file>