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/>
  </bookViews>
  <sheets>
    <sheet name="OBIWAN-Texas" sheetId="439" r:id="rId1"/>
    <sheet name="SIMULADOR&gt;22-12-17_v2" sheetId="436" r:id="rId2"/>
    <sheet name="SIMULADOR&gt;22-12-17" sheetId="435" r:id="rId3"/>
    <sheet name="SIMULADOR" sheetId="285" r:id="rId4"/>
    <sheet name="SIMULADOR_sinJC" sheetId="273" r:id="rId5"/>
  </sheets>
  <calcPr calcId="152511"/>
  <fileRecoveryPr autoRecover="0"/>
</workbook>
</file>

<file path=xl/calcChain.xml><?xml version="1.0" encoding="utf-8"?>
<calcChain xmlns="http://schemas.openxmlformats.org/spreadsheetml/2006/main">
  <c r="BF48" i="439" l="1"/>
  <c r="BF47" i="439"/>
  <c r="BF46" i="439"/>
  <c r="BE45" i="439"/>
  <c r="BE44" i="439"/>
  <c r="BF45" i="439" s="1"/>
  <c r="BD44" i="439"/>
  <c r="BE43" i="439"/>
  <c r="BD43" i="439"/>
  <c r="BC43" i="439"/>
  <c r="BF42" i="439"/>
  <c r="BE42" i="439"/>
  <c r="BD42" i="439"/>
  <c r="BC42" i="439"/>
  <c r="BF41" i="439"/>
  <c r="BE41" i="439"/>
  <c r="BD41" i="439"/>
  <c r="BC41" i="439"/>
  <c r="BF40" i="439"/>
  <c r="BE40" i="439"/>
  <c r="BD40" i="439"/>
  <c r="BC40" i="439"/>
  <c r="BC39" i="439"/>
  <c r="AS38" i="439"/>
  <c r="AR38" i="439"/>
  <c r="AQ38" i="439"/>
  <c r="AP38" i="439"/>
  <c r="AO38" i="439"/>
  <c r="AN38" i="439"/>
  <c r="AM38" i="439"/>
  <c r="AL38" i="439"/>
  <c r="AK38" i="439"/>
  <c r="AJ38" i="439"/>
  <c r="AI38" i="439"/>
  <c r="AH38" i="439"/>
  <c r="AG38" i="439"/>
  <c r="AF38" i="439"/>
  <c r="AE38" i="439"/>
  <c r="AD38" i="439"/>
  <c r="AC38" i="439"/>
  <c r="AB38" i="439"/>
  <c r="AA38" i="439"/>
  <c r="Z38" i="439"/>
  <c r="Y38" i="439"/>
  <c r="X38" i="439"/>
  <c r="W38" i="439"/>
  <c r="V38" i="439"/>
  <c r="U38" i="439"/>
  <c r="T38" i="439"/>
  <c r="S38" i="439"/>
  <c r="R38" i="439"/>
  <c r="Q38" i="439"/>
  <c r="P38" i="439"/>
  <c r="O38" i="439"/>
  <c r="N38" i="439"/>
  <c r="M38" i="439"/>
  <c r="L38" i="439"/>
  <c r="K38" i="439"/>
  <c r="J38" i="439"/>
  <c r="I38" i="439"/>
  <c r="H38" i="439"/>
  <c r="G38" i="439"/>
  <c r="BH37" i="439"/>
  <c r="BH43" i="439" s="1"/>
  <c r="BH48" i="439" s="1"/>
  <c r="BH53" i="439" s="1"/>
  <c r="BH56" i="439" s="1"/>
  <c r="BH58" i="439" s="1"/>
  <c r="BH59" i="439" s="1"/>
  <c r="BF34" i="439"/>
  <c r="BH33" i="439"/>
  <c r="BH39" i="439" s="1"/>
  <c r="BH44" i="439" s="1"/>
  <c r="BF33" i="439"/>
  <c r="C33" i="439"/>
  <c r="B33" i="439"/>
  <c r="BF32" i="439"/>
  <c r="C32" i="439"/>
  <c r="B32" i="439"/>
  <c r="BE31" i="439"/>
  <c r="BH30" i="439"/>
  <c r="BE30" i="439"/>
  <c r="BF31" i="439" s="1"/>
  <c r="BD30" i="439"/>
  <c r="E30" i="439"/>
  <c r="D30" i="439"/>
  <c r="BH29" i="439"/>
  <c r="BH36" i="439" s="1"/>
  <c r="BH42" i="439" s="1"/>
  <c r="BH47" i="439" s="1"/>
  <c r="BH52" i="439" s="1"/>
  <c r="BH55" i="439" s="1"/>
  <c r="BH57" i="439" s="1"/>
  <c r="BL13" i="439" s="1"/>
  <c r="BF29" i="439"/>
  <c r="BE29" i="439"/>
  <c r="BD29" i="439"/>
  <c r="BC29" i="439"/>
  <c r="C29" i="439"/>
  <c r="B29" i="439"/>
  <c r="BH28" i="439"/>
  <c r="BH35" i="439" s="1"/>
  <c r="BH41" i="439" s="1"/>
  <c r="BH46" i="439" s="1"/>
  <c r="BH51" i="439" s="1"/>
  <c r="BH54" i="439" s="1"/>
  <c r="BL12" i="439" s="1"/>
  <c r="BP47" i="439" s="1"/>
  <c r="BE28" i="439"/>
  <c r="BD28" i="439"/>
  <c r="BC28" i="439"/>
  <c r="BH27" i="439"/>
  <c r="BH34" i="439" s="1"/>
  <c r="BH40" i="439" s="1"/>
  <c r="BH45" i="439" s="1"/>
  <c r="BH50" i="439" s="1"/>
  <c r="BL11" i="439" s="1"/>
  <c r="BP38" i="439" s="1"/>
  <c r="BP46" i="439" s="1"/>
  <c r="BF27" i="439"/>
  <c r="BE27" i="439"/>
  <c r="BD27" i="439"/>
  <c r="BC27" i="439"/>
  <c r="D27" i="439"/>
  <c r="C27" i="439"/>
  <c r="B27" i="439"/>
  <c r="BH26" i="439"/>
  <c r="BF26" i="439"/>
  <c r="BE26" i="439"/>
  <c r="BD26" i="439"/>
  <c r="BC26" i="439"/>
  <c r="E26" i="439"/>
  <c r="E27" i="439" s="1"/>
  <c r="D26" i="439"/>
  <c r="C26" i="439"/>
  <c r="B26" i="439"/>
  <c r="BH25" i="439"/>
  <c r="BH32" i="439" s="1"/>
  <c r="BH38" i="439" s="1"/>
  <c r="BC25" i="439"/>
  <c r="E25" i="439"/>
  <c r="E23" i="439" s="1"/>
  <c r="D25" i="439"/>
  <c r="D23" i="439" s="1"/>
  <c r="C25" i="439"/>
  <c r="B25" i="439"/>
  <c r="BP24" i="439"/>
  <c r="BP31" i="439" s="1"/>
  <c r="BP39" i="439" s="1"/>
  <c r="BL14" i="439" s="1"/>
  <c r="BH24" i="439"/>
  <c r="BH31" i="439" s="1"/>
  <c r="BL8" i="439" s="1"/>
  <c r="BP18" i="439" s="1"/>
  <c r="BP22" i="439" s="1"/>
  <c r="BP28" i="439" s="1"/>
  <c r="BP35" i="439" s="1"/>
  <c r="BP43" i="439" s="1"/>
  <c r="BH23" i="439"/>
  <c r="B22" i="439"/>
  <c r="C22" i="439" s="1"/>
  <c r="B20" i="439"/>
  <c r="B21" i="439" s="1"/>
  <c r="AK19" i="439"/>
  <c r="AN19" i="439" s="1"/>
  <c r="AG19" i="439"/>
  <c r="Z19" i="439"/>
  <c r="P19" i="439"/>
  <c r="AA18" i="439"/>
  <c r="Q18" i="439"/>
  <c r="AK17" i="439"/>
  <c r="AG17" i="439"/>
  <c r="Z17" i="439"/>
  <c r="P17" i="439"/>
  <c r="AA16" i="439"/>
  <c r="Q16" i="439"/>
  <c r="C16" i="439"/>
  <c r="B16" i="439"/>
  <c r="AA15" i="439"/>
  <c r="Q15" i="439"/>
  <c r="AN14" i="439"/>
  <c r="Z14" i="439"/>
  <c r="P14" i="439"/>
  <c r="BP13" i="439"/>
  <c r="BP17" i="439" s="1"/>
  <c r="BP21" i="439" s="1"/>
  <c r="BP27" i="439" s="1"/>
  <c r="BP34" i="439" s="1"/>
  <c r="BP42" i="439" s="1"/>
  <c r="Z13" i="439"/>
  <c r="P13" i="439"/>
  <c r="BP12" i="439"/>
  <c r="BP16" i="439" s="1"/>
  <c r="BP20" i="439" s="1"/>
  <c r="BP26" i="439" s="1"/>
  <c r="BP33" i="439" s="1"/>
  <c r="BP41" i="439" s="1"/>
  <c r="AA12" i="439"/>
  <c r="Q12" i="439"/>
  <c r="AK11" i="439"/>
  <c r="AG11" i="439"/>
  <c r="Z11" i="439"/>
  <c r="P11" i="439"/>
  <c r="BL10" i="439"/>
  <c r="BP30" i="439" s="1"/>
  <c r="BP37" i="439" s="1"/>
  <c r="BP45" i="439" s="1"/>
  <c r="AK10" i="439"/>
  <c r="AG10" i="439"/>
  <c r="Z10" i="439"/>
  <c r="P10" i="439"/>
  <c r="BP9" i="439"/>
  <c r="BL9" i="439"/>
  <c r="BP23" i="439" s="1"/>
  <c r="BP29" i="439" s="1"/>
  <c r="BP36" i="439" s="1"/>
  <c r="BP44" i="439" s="1"/>
  <c r="AK9" i="439"/>
  <c r="AG9" i="439"/>
  <c r="Z9" i="439"/>
  <c r="P9" i="439"/>
  <c r="AK8" i="439"/>
  <c r="AG8" i="439"/>
  <c r="Z8" i="439"/>
  <c r="P8" i="439"/>
  <c r="BP7" i="439"/>
  <c r="BP10" i="439" s="1"/>
  <c r="BP14" i="439" s="1"/>
  <c r="BH49" i="439" s="1"/>
  <c r="BL7" i="439"/>
  <c r="AA7" i="439"/>
  <c r="Z7" i="439"/>
  <c r="Q7" i="439"/>
  <c r="P7" i="439"/>
  <c r="BP6" i="439"/>
  <c r="BP8" i="439" s="1"/>
  <c r="BP11" i="439" s="1"/>
  <c r="BP15" i="439" s="1"/>
  <c r="BP19" i="439" s="1"/>
  <c r="BP25" i="439" s="1"/>
  <c r="BP32" i="439" s="1"/>
  <c r="BP40" i="439" s="1"/>
  <c r="BL6" i="439"/>
  <c r="AK6" i="439"/>
  <c r="AG6" i="439"/>
  <c r="Z6" i="439"/>
  <c r="P6" i="439"/>
  <c r="BP5" i="439"/>
  <c r="AK5" i="439"/>
  <c r="AG5" i="439"/>
  <c r="Z5" i="439"/>
  <c r="P5" i="439"/>
  <c r="K3" i="439"/>
  <c r="G3" i="439"/>
  <c r="D3" i="439"/>
  <c r="AI2" i="439"/>
  <c r="S2" i="439"/>
  <c r="K2" i="439"/>
  <c r="G2" i="439"/>
  <c r="S1" i="439"/>
  <c r="K1" i="439"/>
  <c r="G1" i="439"/>
  <c r="AN17" i="439" l="1"/>
  <c r="AN11" i="439"/>
  <c r="AN6" i="439"/>
  <c r="AN9" i="439"/>
  <c r="AI9" i="439" s="1"/>
  <c r="O9" i="439" s="1"/>
  <c r="Q9" i="439" s="1"/>
  <c r="R9" i="439" s="1"/>
  <c r="AN10" i="439"/>
  <c r="AN8" i="439"/>
  <c r="AN5" i="439"/>
  <c r="B31" i="439"/>
  <c r="W25" i="439" s="1"/>
  <c r="R16" i="439"/>
  <c r="AB7" i="439"/>
  <c r="AC7" i="439" s="1"/>
  <c r="AB15" i="439"/>
  <c r="AC15" i="439"/>
  <c r="R18" i="439"/>
  <c r="AB12" i="439"/>
  <c r="R7" i="439"/>
  <c r="R12" i="439"/>
  <c r="S16" i="439"/>
  <c r="R15" i="439"/>
  <c r="AB16" i="439"/>
  <c r="AB18" i="439"/>
  <c r="C31" i="439"/>
  <c r="W39" i="439" s="1"/>
  <c r="BF28" i="439"/>
  <c r="B23" i="439"/>
  <c r="C23" i="439" s="1"/>
  <c r="BF30" i="439"/>
  <c r="BF44" i="439"/>
  <c r="BF43" i="439"/>
  <c r="Z14" i="436"/>
  <c r="P14" i="436"/>
  <c r="AI19" i="439" l="1"/>
  <c r="Y19" i="439"/>
  <c r="AA19" i="439" s="1"/>
  <c r="AB19" i="439" s="1"/>
  <c r="AC19" i="439" s="1"/>
  <c r="O19" i="439"/>
  <c r="Q19" i="439" s="1"/>
  <c r="R19" i="439" s="1"/>
  <c r="S19" i="439" s="1"/>
  <c r="AI10" i="439"/>
  <c r="O10" i="439" s="1"/>
  <c r="Q10" i="439" s="1"/>
  <c r="R10" i="439" s="1"/>
  <c r="S10" i="439" s="1"/>
  <c r="AI11" i="439"/>
  <c r="Y11" i="439" s="1"/>
  <c r="AA11" i="439" s="1"/>
  <c r="AB11" i="439" s="1"/>
  <c r="AC11" i="439" s="1"/>
  <c r="AI6" i="439"/>
  <c r="O6" i="439" s="1"/>
  <c r="Q6" i="439" s="1"/>
  <c r="R6" i="439" s="1"/>
  <c r="S6" i="439" s="1"/>
  <c r="AI8" i="439"/>
  <c r="Y10" i="439"/>
  <c r="AA10" i="439" s="1"/>
  <c r="AB10" i="439" s="1"/>
  <c r="AC10" i="439" s="1"/>
  <c r="Y9" i="439"/>
  <c r="AA9" i="439" s="1"/>
  <c r="AB9" i="439" s="1"/>
  <c r="AC9" i="439" s="1"/>
  <c r="Y6" i="439"/>
  <c r="AA6" i="439" s="1"/>
  <c r="AB6" i="439" s="1"/>
  <c r="AC6" i="439" s="1"/>
  <c r="AI17" i="439"/>
  <c r="AI5" i="439"/>
  <c r="AI14" i="439"/>
  <c r="AI13" i="439"/>
  <c r="Y13" i="439" s="1"/>
  <c r="AA13" i="439" s="1"/>
  <c r="AB13" i="439" s="1"/>
  <c r="AC13" i="439" s="1"/>
  <c r="C34" i="439"/>
  <c r="T30" i="439"/>
  <c r="T29" i="439"/>
  <c r="T26" i="439"/>
  <c r="C24" i="439"/>
  <c r="T31" i="439"/>
  <c r="T28" i="439"/>
  <c r="T27" i="439"/>
  <c r="T25" i="439"/>
  <c r="T33" i="439"/>
  <c r="T35" i="439"/>
  <c r="T34" i="439"/>
  <c r="T32" i="439"/>
  <c r="T41" i="439"/>
  <c r="AC12" i="439"/>
  <c r="T46" i="439"/>
  <c r="T49" i="439"/>
  <c r="T45" i="439"/>
  <c r="S15" i="439"/>
  <c r="S7" i="439"/>
  <c r="T48" i="439"/>
  <c r="B34" i="439"/>
  <c r="T47" i="439"/>
  <c r="T44" i="439"/>
  <c r="B24" i="439"/>
  <c r="T40" i="439"/>
  <c r="AC18" i="439"/>
  <c r="AC16" i="439"/>
  <c r="T42" i="439"/>
  <c r="T39" i="439"/>
  <c r="T43" i="439"/>
  <c r="S12" i="439"/>
  <c r="S18" i="439"/>
  <c r="S9" i="439"/>
  <c r="AI19" i="436"/>
  <c r="AI17" i="436"/>
  <c r="AI14" i="436"/>
  <c r="AI13" i="436"/>
  <c r="AI11" i="436"/>
  <c r="AI10" i="436"/>
  <c r="AI9" i="436"/>
  <c r="AI8" i="436"/>
  <c r="AI6" i="436"/>
  <c r="AI5" i="436"/>
  <c r="AN19" i="436"/>
  <c r="AN17" i="436"/>
  <c r="AN14" i="436"/>
  <c r="AN11" i="436"/>
  <c r="AN10" i="436"/>
  <c r="AN9" i="436"/>
  <c r="AN8" i="436"/>
  <c r="AN6" i="436"/>
  <c r="AN5" i="436"/>
  <c r="O11" i="439" l="1"/>
  <c r="Q11" i="439" s="1"/>
  <c r="R11" i="439" s="1"/>
  <c r="S11" i="439" s="1"/>
  <c r="Y14" i="439"/>
  <c r="AA14" i="439" s="1"/>
  <c r="AB14" i="439" s="1"/>
  <c r="AC14" i="439" s="1"/>
  <c r="O14" i="439"/>
  <c r="Q14" i="439" s="1"/>
  <c r="R14" i="439" s="1"/>
  <c r="S14" i="439" s="1"/>
  <c r="O8" i="439"/>
  <c r="Q8" i="439" s="1"/>
  <c r="R8" i="439" s="1"/>
  <c r="S8" i="439" s="1"/>
  <c r="Y8" i="439"/>
  <c r="AA8" i="439" s="1"/>
  <c r="AB8" i="439" s="1"/>
  <c r="AC8" i="439" s="1"/>
  <c r="O13" i="439"/>
  <c r="Q13" i="439" s="1"/>
  <c r="R13" i="439" s="1"/>
  <c r="S13" i="439" s="1"/>
  <c r="O17" i="439"/>
  <c r="Q17" i="439" s="1"/>
  <c r="R17" i="439" s="1"/>
  <c r="S17" i="439" s="1"/>
  <c r="Y17" i="439"/>
  <c r="AA17" i="439" s="1"/>
  <c r="AB17" i="439" s="1"/>
  <c r="AC17" i="439" s="1"/>
  <c r="Y5" i="439"/>
  <c r="AA5" i="439" s="1"/>
  <c r="AB5" i="439" s="1"/>
  <c r="AC5" i="439" s="1"/>
  <c r="O5" i="439"/>
  <c r="Q5" i="439" s="1"/>
  <c r="R5" i="439" s="1"/>
  <c r="S5" i="439" s="1"/>
  <c r="T23" i="439"/>
  <c r="T37" i="439"/>
  <c r="N29" i="439"/>
  <c r="P29" i="439" s="1"/>
  <c r="N26" i="439"/>
  <c r="N28" i="439"/>
  <c r="P28" i="439" s="1"/>
  <c r="N25" i="439"/>
  <c r="N27" i="439"/>
  <c r="P27" i="439" s="1"/>
  <c r="N30" i="439"/>
  <c r="P30" i="439" s="1"/>
  <c r="R35" i="439" s="1"/>
  <c r="N43" i="439"/>
  <c r="P43" i="439" s="1"/>
  <c r="N41" i="439"/>
  <c r="P41" i="439" s="1"/>
  <c r="N44" i="439"/>
  <c r="P44" i="439" s="1"/>
  <c r="N39" i="439"/>
  <c r="N40" i="439"/>
  <c r="P40" i="439" s="1"/>
  <c r="N42" i="439"/>
  <c r="P42" i="439" s="1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AD13" i="439" l="1"/>
  <c r="AD14" i="439"/>
  <c r="T6" i="439"/>
  <c r="AE8" i="439"/>
  <c r="AD16" i="439"/>
  <c r="T18" i="439"/>
  <c r="AD12" i="439"/>
  <c r="U18" i="439"/>
  <c r="T13" i="439"/>
  <c r="T16" i="439"/>
  <c r="U17" i="439"/>
  <c r="U13" i="439"/>
  <c r="T11" i="439"/>
  <c r="U7" i="439"/>
  <c r="U10" i="439"/>
  <c r="T15" i="439"/>
  <c r="U9" i="439"/>
  <c r="U15" i="439"/>
  <c r="U11" i="439"/>
  <c r="T17" i="439"/>
  <c r="S20" i="439"/>
  <c r="L25" i="439" s="1"/>
  <c r="U5" i="439"/>
  <c r="AD18" i="439"/>
  <c r="AE5" i="439"/>
  <c r="AD15" i="439"/>
  <c r="AD10" i="439"/>
  <c r="AE13" i="439"/>
  <c r="AD9" i="439"/>
  <c r="AE12" i="439"/>
  <c r="AD8" i="439"/>
  <c r="AC20" i="439"/>
  <c r="L39" i="439" s="1"/>
  <c r="AD11" i="439"/>
  <c r="AD5" i="439"/>
  <c r="AE10" i="439"/>
  <c r="AE9" i="439"/>
  <c r="AE11" i="439"/>
  <c r="AE17" i="439"/>
  <c r="AE7" i="439"/>
  <c r="AE14" i="439"/>
  <c r="AE6" i="439"/>
  <c r="AE18" i="439"/>
  <c r="AD19" i="439"/>
  <c r="AD7" i="439"/>
  <c r="AD6" i="439"/>
  <c r="AD17" i="439"/>
  <c r="AE15" i="439"/>
  <c r="AE16" i="439"/>
  <c r="U16" i="439"/>
  <c r="U6" i="439"/>
  <c r="U8" i="439"/>
  <c r="T7" i="439"/>
  <c r="T12" i="439"/>
  <c r="T8" i="439"/>
  <c r="T14" i="439"/>
  <c r="T10" i="439"/>
  <c r="T5" i="439"/>
  <c r="U12" i="439"/>
  <c r="U14" i="439"/>
  <c r="T9" i="439"/>
  <c r="T19" i="439"/>
  <c r="R32" i="439"/>
  <c r="R34" i="439"/>
  <c r="N23" i="439"/>
  <c r="P25" i="439"/>
  <c r="R47" i="439"/>
  <c r="R49" i="439"/>
  <c r="R48" i="439"/>
  <c r="R45" i="439"/>
  <c r="R46" i="439"/>
  <c r="N37" i="439"/>
  <c r="P39" i="439"/>
  <c r="R43" i="439" s="1"/>
  <c r="R33" i="439"/>
  <c r="P26" i="439"/>
  <c r="R31" i="439" s="1"/>
  <c r="Y17" i="436"/>
  <c r="O13" i="436"/>
  <c r="Y9" i="436"/>
  <c r="Y5" i="436"/>
  <c r="O6" i="436"/>
  <c r="Y6" i="436"/>
  <c r="O8" i="436"/>
  <c r="Y11" i="436"/>
  <c r="Y10" i="436"/>
  <c r="Y8" i="436"/>
  <c r="Y13" i="436"/>
  <c r="O9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AD20" i="439" l="1"/>
  <c r="L40" i="439" s="1"/>
  <c r="AE20" i="439"/>
  <c r="L41" i="439" s="1"/>
  <c r="U20" i="439"/>
  <c r="L27" i="439" s="1"/>
  <c r="T20" i="439"/>
  <c r="L26" i="439" s="1"/>
  <c r="R39" i="439"/>
  <c r="P37" i="439"/>
  <c r="R26" i="439"/>
  <c r="R42" i="439"/>
  <c r="R40" i="439"/>
  <c r="V40" i="439" s="1"/>
  <c r="R44" i="439"/>
  <c r="R27" i="439"/>
  <c r="P23" i="439"/>
  <c r="R30" i="439"/>
  <c r="R29" i="439"/>
  <c r="R28" i="439"/>
  <c r="R25" i="439"/>
  <c r="R41" i="439"/>
  <c r="V41" i="439" s="1"/>
  <c r="O10" i="436"/>
  <c r="Q10" i="436" s="1"/>
  <c r="R10" i="436" s="1"/>
  <c r="O11" i="436"/>
  <c r="Q11" i="436" s="1"/>
  <c r="R11" i="436" s="1"/>
  <c r="O5" i="436"/>
  <c r="Q5" i="436" s="1"/>
  <c r="R5" i="436" s="1"/>
  <c r="Y19" i="436"/>
  <c r="AA19" i="436" s="1"/>
  <c r="AB19" i="436" s="1"/>
  <c r="O19" i="436"/>
  <c r="Q19" i="436" s="1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AF20" i="439" l="1"/>
  <c r="L42" i="439" s="1"/>
  <c r="L37" i="439" s="1"/>
  <c r="V20" i="439"/>
  <c r="L28" i="439" s="1"/>
  <c r="L23" i="439" s="1"/>
  <c r="V42" i="439"/>
  <c r="AE39" i="439" s="1"/>
  <c r="V28" i="439"/>
  <c r="V27" i="439"/>
  <c r="V26" i="439"/>
  <c r="V25" i="439"/>
  <c r="R23" i="439"/>
  <c r="V31" i="439"/>
  <c r="V29" i="439"/>
  <c r="V30" i="439"/>
  <c r="V32" i="439"/>
  <c r="V33" i="439"/>
  <c r="V34" i="439"/>
  <c r="AE40" i="439"/>
  <c r="AE41" i="439"/>
  <c r="AC40" i="439"/>
  <c r="AC39" i="439"/>
  <c r="AC41" i="439"/>
  <c r="AA40" i="439"/>
  <c r="AA39" i="439"/>
  <c r="R37" i="439"/>
  <c r="V39" i="439"/>
  <c r="V44" i="439"/>
  <c r="V47" i="439"/>
  <c r="V46" i="439"/>
  <c r="V45" i="439"/>
  <c r="V48" i="439"/>
  <c r="V43" i="439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E42" i="439" l="1"/>
  <c r="AE37" i="439" s="1"/>
  <c r="AC37" i="439"/>
  <c r="AA37" i="439"/>
  <c r="AQ47" i="439"/>
  <c r="AQ41" i="439"/>
  <c r="AQ42" i="439"/>
  <c r="AQ48" i="439"/>
  <c r="AQ44" i="439"/>
  <c r="AQ40" i="439"/>
  <c r="AQ39" i="439"/>
  <c r="AQ46" i="439"/>
  <c r="AQ43" i="439"/>
  <c r="AQ45" i="439"/>
  <c r="AK44" i="439"/>
  <c r="AK43" i="439"/>
  <c r="AK40" i="439"/>
  <c r="AK41" i="439"/>
  <c r="AK39" i="439"/>
  <c r="AK45" i="439"/>
  <c r="AK42" i="439"/>
  <c r="Y39" i="439"/>
  <c r="V37" i="439"/>
  <c r="V49" i="439" s="1"/>
  <c r="V36" i="439" s="1"/>
  <c r="AO31" i="439"/>
  <c r="AO27" i="439"/>
  <c r="AO28" i="439"/>
  <c r="AO29" i="439"/>
  <c r="AO30" i="439"/>
  <c r="AO32" i="439"/>
  <c r="AO25" i="439"/>
  <c r="AO33" i="439"/>
  <c r="AO26" i="439"/>
  <c r="AK27" i="439"/>
  <c r="AK31" i="439"/>
  <c r="AK25" i="439"/>
  <c r="AK30" i="439"/>
  <c r="AK26" i="439"/>
  <c r="AK28" i="439"/>
  <c r="AK29" i="439"/>
  <c r="AA25" i="439"/>
  <c r="AA26" i="439"/>
  <c r="AI44" i="439"/>
  <c r="AI40" i="439"/>
  <c r="AI39" i="439"/>
  <c r="AI41" i="439"/>
  <c r="AI43" i="439"/>
  <c r="AI42" i="439"/>
  <c r="AG27" i="439"/>
  <c r="AG26" i="439"/>
  <c r="AG25" i="439"/>
  <c r="AG29" i="439"/>
  <c r="AG28" i="439"/>
  <c r="AG42" i="439"/>
  <c r="AG43" i="439"/>
  <c r="AG41" i="439"/>
  <c r="AG40" i="439"/>
  <c r="AG39" i="439"/>
  <c r="AM44" i="439"/>
  <c r="AM41" i="439"/>
  <c r="AM42" i="439"/>
  <c r="AM40" i="439"/>
  <c r="AM43" i="439"/>
  <c r="AM45" i="439"/>
  <c r="AM39" i="439"/>
  <c r="AM46" i="439"/>
  <c r="AM32" i="439"/>
  <c r="AM31" i="439"/>
  <c r="AM29" i="439"/>
  <c r="AM28" i="439"/>
  <c r="AM27" i="439"/>
  <c r="AM30" i="439"/>
  <c r="AM26" i="439"/>
  <c r="AM25" i="439"/>
  <c r="AC26" i="439"/>
  <c r="AC25" i="439"/>
  <c r="AC27" i="439"/>
  <c r="AQ31" i="439"/>
  <c r="AQ30" i="439"/>
  <c r="AQ33" i="439"/>
  <c r="AQ27" i="439"/>
  <c r="AQ29" i="439"/>
  <c r="AQ25" i="439"/>
  <c r="AQ32" i="439"/>
  <c r="AQ34" i="439"/>
  <c r="AQ26" i="439"/>
  <c r="AQ28" i="439"/>
  <c r="V23" i="439"/>
  <c r="V35" i="439" s="1"/>
  <c r="V22" i="439" s="1"/>
  <c r="Y25" i="439"/>
  <c r="AO47" i="439"/>
  <c r="AO46" i="439"/>
  <c r="AO40" i="439"/>
  <c r="AO39" i="439"/>
  <c r="AO43" i="439"/>
  <c r="AO41" i="439"/>
  <c r="AO45" i="439"/>
  <c r="AO44" i="439"/>
  <c r="AO42" i="439"/>
  <c r="AI25" i="439"/>
  <c r="AI28" i="439"/>
  <c r="AI29" i="439"/>
  <c r="AI26" i="439"/>
  <c r="AI30" i="439"/>
  <c r="AI27" i="439"/>
  <c r="AE28" i="439"/>
  <c r="AE25" i="439"/>
  <c r="AE27" i="439"/>
  <c r="AE26" i="439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A23" i="439" l="1"/>
  <c r="AM37" i="439"/>
  <c r="AI37" i="439"/>
  <c r="AK37" i="439"/>
  <c r="AQ37" i="439"/>
  <c r="AO37" i="439"/>
  <c r="AI23" i="439"/>
  <c r="AC23" i="439"/>
  <c r="AE23" i="439"/>
  <c r="AQ23" i="439"/>
  <c r="AG23" i="439"/>
  <c r="AO23" i="439"/>
  <c r="AK23" i="439"/>
  <c r="AM23" i="439"/>
  <c r="AG37" i="439"/>
  <c r="AS29" i="439"/>
  <c r="J29" i="439" s="1"/>
  <c r="AS26" i="439"/>
  <c r="J26" i="439" s="1"/>
  <c r="AS33" i="439"/>
  <c r="J33" i="439" s="1"/>
  <c r="AS25" i="439"/>
  <c r="AS32" i="439"/>
  <c r="AS27" i="439"/>
  <c r="J27" i="439" s="1"/>
  <c r="AS30" i="439"/>
  <c r="J30" i="439" s="1"/>
  <c r="AS28" i="439"/>
  <c r="J28" i="439" s="1"/>
  <c r="AS31" i="439"/>
  <c r="J31" i="439" s="1"/>
  <c r="AS34" i="439"/>
  <c r="J34" i="439" s="1"/>
  <c r="AS35" i="439"/>
  <c r="J35" i="439" s="1"/>
  <c r="Y37" i="439"/>
  <c r="J32" i="439"/>
  <c r="Y23" i="439"/>
  <c r="AS42" i="439"/>
  <c r="J42" i="439" s="1"/>
  <c r="AS45" i="439"/>
  <c r="J45" i="439" s="1"/>
  <c r="AS41" i="439"/>
  <c r="J41" i="439" s="1"/>
  <c r="AS48" i="439"/>
  <c r="J48" i="439" s="1"/>
  <c r="AS44" i="439"/>
  <c r="J44" i="439" s="1"/>
  <c r="AS46" i="439"/>
  <c r="J46" i="439" s="1"/>
  <c r="AS43" i="439"/>
  <c r="J43" i="439" s="1"/>
  <c r="AS47" i="439"/>
  <c r="J47" i="439" s="1"/>
  <c r="AS40" i="439"/>
  <c r="J40" i="439" s="1"/>
  <c r="AS49" i="439"/>
  <c r="J49" i="439" s="1"/>
  <c r="AS39" i="439"/>
  <c r="AE20" i="436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AS37" i="439" l="1"/>
  <c r="AS23" i="439"/>
  <c r="AS22" i="439" s="1"/>
  <c r="J25" i="439"/>
  <c r="H28" i="439" s="1"/>
  <c r="H26" i="439"/>
  <c r="H35" i="439"/>
  <c r="H30" i="439"/>
  <c r="H47" i="439"/>
  <c r="H48" i="439"/>
  <c r="H43" i="439"/>
  <c r="H46" i="439"/>
  <c r="BJ45" i="439" s="1"/>
  <c r="H31" i="439"/>
  <c r="H33" i="439"/>
  <c r="H44" i="439"/>
  <c r="AS36" i="439"/>
  <c r="H49" i="439"/>
  <c r="H32" i="439"/>
  <c r="J39" i="439"/>
  <c r="H42" i="439" s="1"/>
  <c r="H45" i="439"/>
  <c r="BJ44" i="439" s="1"/>
  <c r="H34" i="439"/>
  <c r="H25" i="439"/>
  <c r="H29" i="439"/>
  <c r="V26" i="436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BJ46" i="439" l="1"/>
  <c r="BJ35" i="439"/>
  <c r="H27" i="439"/>
  <c r="BJ30" i="439" s="1"/>
  <c r="BR18" i="439"/>
  <c r="J23" i="439"/>
  <c r="BJ22" i="439"/>
  <c r="BJ47" i="439"/>
  <c r="BJ20" i="439"/>
  <c r="BJ16" i="439"/>
  <c r="BN14" i="439"/>
  <c r="BJ21" i="439"/>
  <c r="BJ34" i="439"/>
  <c r="BJ32" i="439"/>
  <c r="BJ19" i="439"/>
  <c r="BJ37" i="439"/>
  <c r="BJ33" i="439"/>
  <c r="BJ36" i="439"/>
  <c r="BJ18" i="439"/>
  <c r="BJ15" i="439"/>
  <c r="BN7" i="439"/>
  <c r="BR17" i="439"/>
  <c r="BJ10" i="439"/>
  <c r="BJ13" i="439"/>
  <c r="BJ11" i="439"/>
  <c r="BJ7" i="439"/>
  <c r="BJ12" i="439"/>
  <c r="BJ9" i="439"/>
  <c r="BJ6" i="439"/>
  <c r="BJ8" i="439"/>
  <c r="BJ57" i="439"/>
  <c r="BR38" i="439"/>
  <c r="BR37" i="439"/>
  <c r="BR36" i="439"/>
  <c r="BR34" i="439"/>
  <c r="BJ58" i="439"/>
  <c r="BR35" i="439"/>
  <c r="BN12" i="439"/>
  <c r="BJ48" i="439"/>
  <c r="BJ29" i="439"/>
  <c r="BJ23" i="439"/>
  <c r="BJ17" i="439"/>
  <c r="BN9" i="439"/>
  <c r="J37" i="439"/>
  <c r="H39" i="439"/>
  <c r="BN4" i="439" s="1"/>
  <c r="BJ31" i="439"/>
  <c r="BJ53" i="439"/>
  <c r="BJ51" i="439"/>
  <c r="BJ50" i="439"/>
  <c r="BR21" i="439"/>
  <c r="BN10" i="439"/>
  <c r="BJ52" i="439"/>
  <c r="BR22" i="439"/>
  <c r="BR23" i="439"/>
  <c r="H41" i="439"/>
  <c r="BR12" i="439" s="1"/>
  <c r="BJ39" i="439"/>
  <c r="BJ42" i="439"/>
  <c r="BJ41" i="439"/>
  <c r="BJ40" i="439"/>
  <c r="BJ38" i="439"/>
  <c r="BN8" i="439"/>
  <c r="BJ43" i="439"/>
  <c r="BR13" i="439"/>
  <c r="BJ59" i="439"/>
  <c r="BR45" i="439"/>
  <c r="BR44" i="439"/>
  <c r="BR43" i="439"/>
  <c r="BR46" i="439"/>
  <c r="BR47" i="439"/>
  <c r="BN13" i="439"/>
  <c r="BR42" i="439"/>
  <c r="BJ55" i="439"/>
  <c r="BR30" i="439"/>
  <c r="BJ54" i="439"/>
  <c r="BR29" i="439"/>
  <c r="BR28" i="439"/>
  <c r="BR27" i="439"/>
  <c r="BJ56" i="439"/>
  <c r="BR26" i="439"/>
  <c r="BN11" i="439"/>
  <c r="H40" i="439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BR6" i="439" l="1"/>
  <c r="BJ27" i="439"/>
  <c r="BJ28" i="439"/>
  <c r="BJ25" i="439"/>
  <c r="BJ26" i="439"/>
  <c r="H23" i="439"/>
  <c r="BJ24" i="439"/>
  <c r="BJ49" i="439"/>
  <c r="BR41" i="439"/>
  <c r="BR31" i="439"/>
  <c r="BR24" i="439"/>
  <c r="BR10" i="439"/>
  <c r="BR11" i="439"/>
  <c r="BR5" i="439"/>
  <c r="BR40" i="439"/>
  <c r="BR39" i="439"/>
  <c r="BJ14" i="439"/>
  <c r="BR16" i="439"/>
  <c r="BR9" i="439"/>
  <c r="BR33" i="439"/>
  <c r="BJ4" i="439"/>
  <c r="BR25" i="439"/>
  <c r="BR19" i="439"/>
  <c r="H37" i="439"/>
  <c r="BR14" i="439"/>
  <c r="BR7" i="439"/>
  <c r="BR4" i="439"/>
  <c r="BN6" i="439"/>
  <c r="BJ5" i="439"/>
  <c r="BR15" i="439"/>
  <c r="BR8" i="439"/>
  <c r="BN5" i="439"/>
  <c r="B37" i="439" s="1"/>
  <c r="BR20" i="439"/>
  <c r="BR32" i="439"/>
  <c r="AG23" i="436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B38" i="439" l="1"/>
  <c r="B39" i="439"/>
  <c r="H31" i="436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B36" i="439" l="1"/>
  <c r="H43" i="436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BJ4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55" i="436" l="1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<sst xmlns="http://schemas.openxmlformats.org/spreadsheetml/2006/main" count="1096" uniqueCount="157">
  <si>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</si>
  <si>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</si>
  <si>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</si>
  <si>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</si>
  <si>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</si>
  <si>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</si>
  <si>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</si>
  <si>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</si>
  <si>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</si>
  <si>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</si>
  <si>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</si>
  <si>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</si>
  <si>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</si>
  <si>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</si>
  <si>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</si>
  <si>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</si>
  <si>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</si>
  <si>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</si>
  <si>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</si>
  <si>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</si>
  <si>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</si>
  <si>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</si>
  <si>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</si>
  <si>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</si>
  <si>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</si>
  <si>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</si>
  <si>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</si>
  <si>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</si>
  <si>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</si>
  <si>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</si>
  <si>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</si>
  <si>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</si>
  <si>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</si>
  <si>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</si>
  <si>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</si>
  <si>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</si>
  <si>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</si>
  <si>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</si>
  <si>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</si>
  <si>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</si>
  <si>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</si>
  <si>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</si>
  <si>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</si>
  <si>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</si>
  <si>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</si>
  <si>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</si>
  <si>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</si>
  <si>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</si>
  <si>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</si>
  <si>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</si>
  <si>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</si>
  <si>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</si>
  <si>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</si>
  <si>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</si>
  <si>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</si>
  <si>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</si>
  <si>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</si>
  <si>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</si>
  <si>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</si>
  <si>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</si>
  <si>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</si>
  <si>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</si>
  <si>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</si>
  <si>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</si>
  <si>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</si>
  <si>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</si>
  <si>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</si>
  <si>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</si>
  <si>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</si>
  <si>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</si>
  <si>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</si>
  <si>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</si>
  <si>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</si>
  <si>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</si>
  <si>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</si>
  <si>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</si>
  <si>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</si>
  <si>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</si>
  <si>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</si>
  <si>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</si>
  <si>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</si>
  <si>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</si>
  <si>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</si>
  <si>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</si>
  <si>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</si>
  <si>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</si>
  <si>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</si>
  <si>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</si>
  <si>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</si>
  <si>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</si>
  <si>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</si>
  <si>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</si>
  <si>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</si>
  <si>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</si>
  <si>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</si>
  <si>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</si>
  <si>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</si>
  <si>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</si>
  <si>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</si>
  <si>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</si>
  <si>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</si>
  <si>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</si>
  <si>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</si>
  <si>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</si>
  <si>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</si>
  <si>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</si>
  <si>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</si>
  <si>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</si>
  <si>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</si>
  <si>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</si>
  <si>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</si>
  <si>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</si>
  <si>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</si>
  <si>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</si>
  <si>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</si>
  <si>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</si>
  <si>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</si>
  <si>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</si>
  <si>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</si>
  <si>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</si>
  <si>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</si>
  <si>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</si>
  <si>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</si>
  <si>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</si>
  <si>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</si>
  <si>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</si>
  <si>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</si>
  <si>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</si>
  <si>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</si>
  <si>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</si>
  <si>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</si>
  <si>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</si>
  <si>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</si>
  <si>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</si>
  <si>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</si>
  <si>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</si>
  <si>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</si>
  <si>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</si>
  <si>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</si>
  <si>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</si>
  <si>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</si>
  <si>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</si>
  <si>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</si>
  <si>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</si>
  <si>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</si>
  <si>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</si>
  <si>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</si>
  <si>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</si>
  <si>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</si>
  <si>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</si>
  <si>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</si>
  <si>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</si>
  <si>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</si>
  <si>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</si>
  <si>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</si>
  <si>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AIM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</si>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</sst>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Coma" xfId="1" builtinId="3"/>
    <cellStyle name="Normal" xfId="0" builtinId="0"/>
    <cellStyle name="Percentatge" xfId="2" builtinId="5"/>
  </cellStyles>
  <dxfs count="7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'OBIWAN-Texas'!$G$25:$G$35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'OBIWAN-Texas'!$H$25:$H$35</c:f>
              <c:numCache>
                <c:formatCode>0.0%</c:formatCode>
                <c:ptCount val="11"/>
                <c:pt idx="0">
                  <c:v>5.2080771657591859E-4</c:v>
                </c:pt>
                <c:pt idx="1">
                  <c:v>5.5034985021548844E-3</c:v>
                </c:pt>
                <c:pt idx="2">
                  <c:v>2.6589430130585307E-2</c:v>
                </c:pt>
                <c:pt idx="3">
                  <c:v>7.7682277538355909E-2</c:v>
                </c:pt>
                <c:pt idx="4">
                  <c:v>0.15292285879760939</c:v>
                </c:pt>
                <c:pt idx="5">
                  <c:v>0.21388805158767471</c:v>
                </c:pt>
                <c:pt idx="6">
                  <c:v>0.21830938044693762</c:v>
                </c:pt>
                <c:pt idx="7">
                  <c:v>0.16433200067939829</c:v>
                </c:pt>
                <c:pt idx="8">
                  <c:v>9.1054215347743078E-2</c:v>
                </c:pt>
                <c:pt idx="9">
                  <c:v>3.6615468517024352E-2</c:v>
                </c:pt>
                <c:pt idx="10">
                  <c:v>1.0378208919128277E-2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'OBIWAN-Texas'!$H$39:$H$49</c:f>
              <c:numCache>
                <c:formatCode>0.0%</c:formatCode>
                <c:ptCount val="11"/>
                <c:pt idx="0">
                  <c:v>0.2021695097791337</c:v>
                </c:pt>
                <c:pt idx="1">
                  <c:v>0.34197118196287024</c:v>
                </c:pt>
                <c:pt idx="2">
                  <c:v>0.26888109897102408</c:v>
                </c:pt>
                <c:pt idx="3">
                  <c:v>0.13042035641629809</c:v>
                </c:pt>
                <c:pt idx="4">
                  <c:v>4.3637863430631585E-2</c:v>
                </c:pt>
                <c:pt idx="5">
                  <c:v>1.0656963117571895E-2</c:v>
                </c:pt>
                <c:pt idx="6">
                  <c:v>1.957281127929198E-3</c:v>
                </c:pt>
                <c:pt idx="7">
                  <c:v>2.739979625648013E-4</c:v>
                </c:pt>
                <c:pt idx="8">
                  <c:v>2.9250300524055978E-5</c:v>
                </c:pt>
                <c:pt idx="9">
                  <c:v>2.3524656480860423E-6</c:v>
                </c:pt>
                <c:pt idx="10">
                  <c:v>1.3863573155287254E-7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48096"/>
        <c:axId val="129444832"/>
      </c:lineChart>
      <c:catAx>
        <c:axId val="1294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444832"/>
        <c:crosses val="autoZero"/>
        <c:auto val="1"/>
        <c:lblAlgn val="ctr"/>
        <c:lblOffset val="100"/>
        <c:noMultiLvlLbl val="0"/>
      </c:catAx>
      <c:valAx>
        <c:axId val="1294448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944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'OBIWAN-Texas'!$B$37:$B$39</c:f>
              <c:numCache>
                <c:formatCode>0.0%</c:formatCode>
                <c:ptCount val="3"/>
                <c:pt idx="0">
                  <c:v>2.8695769153814762E-2</c:v>
                </c:pt>
                <c:pt idx="1">
                  <c:v>5.895701160746393E-2</c:v>
                </c:pt>
                <c:pt idx="2">
                  <c:v>0.8997652041848524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387232"/>
        <c:axId val="1904391040"/>
      </c:lineChart>
      <c:catAx>
        <c:axId val="19043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391040"/>
        <c:crosses val="autoZero"/>
        <c:auto val="1"/>
        <c:lblAlgn val="ctr"/>
        <c:lblOffset val="100"/>
        <c:noMultiLvlLbl val="0"/>
      </c:catAx>
      <c:valAx>
        <c:axId val="19043910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04387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380160"/>
        <c:axId val="1904388864"/>
      </c:lineChart>
      <c:catAx>
        <c:axId val="19043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388864"/>
        <c:crosses val="autoZero"/>
        <c:auto val="1"/>
        <c:lblAlgn val="ctr"/>
        <c:lblOffset val="100"/>
        <c:noMultiLvlLbl val="0"/>
      </c:catAx>
      <c:valAx>
        <c:axId val="19043888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0438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392672"/>
        <c:axId val="1904383424"/>
      </c:lineChart>
      <c:catAx>
        <c:axId val="19043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383424"/>
        <c:crosses val="autoZero"/>
        <c:auto val="1"/>
        <c:lblAlgn val="ctr"/>
        <c:lblOffset val="100"/>
        <c:noMultiLvlLbl val="0"/>
      </c:catAx>
      <c:valAx>
        <c:axId val="19043834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0439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380704"/>
        <c:axId val="1904382880"/>
      </c:lineChart>
      <c:catAx>
        <c:axId val="19043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382880"/>
        <c:crosses val="autoZero"/>
        <c:auto val="1"/>
        <c:lblAlgn val="ctr"/>
        <c:lblOffset val="100"/>
        <c:noMultiLvlLbl val="0"/>
      </c:catAx>
      <c:valAx>
        <c:axId val="19043828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0438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F17" sqref="F17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143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1</v>
      </c>
      <c r="L1" s="13"/>
      <c r="P1" s="207"/>
      <c r="Q1" s="207"/>
      <c r="R1" s="152">
        <v>0</v>
      </c>
      <c r="S1" s="153">
        <f>1+R1</f>
        <v>1</v>
      </c>
      <c r="AI1" s="160" t="s">
        <v>152</v>
      </c>
    </row>
    <row r="2" spans="1:70" x14ac:dyDescent="0.25">
      <c r="A2" s="206" t="s">
        <v>156</v>
      </c>
      <c r="B2" t="s">
        <v>145</v>
      </c>
      <c r="F2" s="204" t="s">
        <v>21</v>
      </c>
      <c r="G2" s="202">
        <f>IF(D3="SI",COUNTIF($F$6:$F$18,"TEC"),0)</f>
        <v>4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08" t="s">
        <v>116</v>
      </c>
      <c r="C3" s="20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1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6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1.781012304128504E-4</v>
      </c>
      <c r="BL4">
        <v>0</v>
      </c>
      <c r="BM4">
        <v>0</v>
      </c>
      <c r="BN4" s="107">
        <f>H25*H39</f>
        <v>1.0529144074934347E-4</v>
      </c>
      <c r="BP4">
        <v>1</v>
      </c>
      <c r="BQ4">
        <v>0</v>
      </c>
      <c r="BR4" s="107">
        <f>$H$26*H39</f>
        <v>1.1126395942508496E-3</v>
      </c>
    </row>
    <row r="5" spans="1:70" x14ac:dyDescent="0.25">
      <c r="A5" s="40" t="s">
        <v>150</v>
      </c>
      <c r="B5" s="161">
        <v>352</v>
      </c>
      <c r="C5" s="161">
        <v>343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I5" s="206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0.04</v>
      </c>
      <c r="AN5">
        <f>IF(AK5+AG5=0,AM5*2/10,0)</f>
        <v>8.0000000000000002E-3</v>
      </c>
      <c r="BH5">
        <v>0</v>
      </c>
      <c r="BI5">
        <v>2</v>
      </c>
      <c r="BJ5" s="107">
        <f t="shared" si="0"/>
        <v>1.4003535118552263E-4</v>
      </c>
      <c r="BL5">
        <v>1</v>
      </c>
      <c r="BM5">
        <v>1</v>
      </c>
      <c r="BN5" s="107">
        <f>$H$26*H40</f>
        <v>1.8820378877127918E-3</v>
      </c>
      <c r="BP5">
        <f>BP4+1</f>
        <v>2</v>
      </c>
      <c r="BQ5">
        <v>0</v>
      </c>
      <c r="BR5" s="107">
        <f>$H$27*H39</f>
        <v>5.3755720548069588E-3</v>
      </c>
    </row>
    <row r="6" spans="1:70" x14ac:dyDescent="0.25">
      <c r="A6" s="2" t="s">
        <v>1</v>
      </c>
      <c r="B6" s="168">
        <v>12.25</v>
      </c>
      <c r="C6" s="169">
        <v>9</v>
      </c>
      <c r="E6" s="192" t="s">
        <v>17</v>
      </c>
      <c r="F6" s="167" t="s">
        <v>154</v>
      </c>
      <c r="G6" s="167"/>
      <c r="H6" s="10"/>
      <c r="I6" s="10"/>
      <c r="J6" s="166" t="s">
        <v>16</v>
      </c>
      <c r="K6" s="166"/>
      <c r="L6" s="10"/>
      <c r="M6" s="10"/>
      <c r="O6" s="67">
        <f>COUNTIF(F11:F18,"IMP")*AI6*AG6</f>
        <v>4.65E-2</v>
      </c>
      <c r="P6" s="196" t="str">
        <f>P3</f>
        <v>0,6</v>
      </c>
      <c r="Q6" s="16">
        <f t="shared" ref="Q6:Q19" si="1">P6*O6</f>
        <v>2.7899999999999998E-2</v>
      </c>
      <c r="R6" s="157">
        <f>IF($M$2="SI",Q6*$B$22/0.5*$S$1,Q6*$B$22/0.5*$S$2)</f>
        <v>3.216705882352941E-2</v>
      </c>
      <c r="S6" s="176">
        <f t="shared" ref="S6:S19" si="2">(1-R6)</f>
        <v>0.96783294117647056</v>
      </c>
      <c r="T6" s="177">
        <f>R6*S5*PRODUCT(S7:S19)</f>
        <v>1.428604148746161E-2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1.3773098227080392E-2</v>
      </c>
      <c r="V6" s="18"/>
      <c r="W6" s="186" t="s">
        <v>38</v>
      </c>
      <c r="X6" s="15" t="s">
        <v>39</v>
      </c>
      <c r="Y6" s="69">
        <f>COUNTIF(J11:J18,"IMP")*AI6*AK6</f>
        <v>4.65E-2</v>
      </c>
      <c r="Z6" s="197" t="str">
        <f>Z3</f>
        <v>0,6</v>
      </c>
      <c r="AA6" s="19">
        <f t="shared" ref="AA6:AA19" si="3">Z6*Y6</f>
        <v>2.7899999999999998E-2</v>
      </c>
      <c r="AB6" s="157">
        <f t="shared" ref="AB6:AB19" si="4">IF($M$2="SI",AA6*$C$22/0.5*$S$1,AA6*$C$22/0.5*$S$2)</f>
        <v>2.3632941176470589E-2</v>
      </c>
      <c r="AC6" s="176">
        <f t="shared" ref="AC6:AC19" si="5">(1-AB6)</f>
        <v>0.97636705882352937</v>
      </c>
      <c r="AD6" s="177">
        <f>AB6*AC5*PRODUCT(AC7:AC19)</f>
        <v>1.7203079323013796E-2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5.6461800765603021E-3</v>
      </c>
      <c r="AF6" s="18"/>
      <c r="AG6" s="203">
        <f>IF(COUNTIF(F11:F18,"IMP")+COUNTIF(J11:J18,"IMP")=0,0,COUNTIF(F11:F18,"IMP")/(COUNTIF(F11:F18,"IMP")+COUNTIF(J11:J18,"IMP")))</f>
        <v>0.5</v>
      </c>
      <c r="AI6" s="206">
        <f t="shared" ref="AI6:AI19" si="6">IF(AN6=0,(AM6*2*$AI$2/2)+SUM($AN$5:$AN$19),0)</f>
        <v>9.2999999999999999E-2</v>
      </c>
      <c r="AK6" s="203">
        <f>IF(COUNTIF(F11:F18,"IMP")+COUNTIF(J11:J18,"IMP")=0,0,COUNTIF(J11:J18,"IMP")/(COUNTIF(F11:F18,"IMP")+COUNTIF(J11:J18,"IMP")))</f>
        <v>0.5</v>
      </c>
      <c r="AM6" s="13">
        <v>0.04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6.7923928020189659E-5</v>
      </c>
      <c r="BL6">
        <f>BH14+1</f>
        <v>2</v>
      </c>
      <c r="BM6">
        <v>2</v>
      </c>
      <c r="BN6" s="107">
        <f>$H$27*H41</f>
        <v>7.1493951945250378E-3</v>
      </c>
      <c r="BP6">
        <f>BL5+1</f>
        <v>2</v>
      </c>
      <c r="BQ6">
        <v>1</v>
      </c>
      <c r="BR6" s="107">
        <f>$H$27*H40</f>
        <v>9.0928188494754127E-3</v>
      </c>
    </row>
    <row r="7" spans="1:70" x14ac:dyDescent="0.25">
      <c r="A7" s="5" t="s">
        <v>2</v>
      </c>
      <c r="B7" s="168">
        <v>16.5</v>
      </c>
      <c r="C7" s="169">
        <v>9.5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06"/>
      <c r="AK7" s="13"/>
      <c r="AM7" s="13">
        <v>0</v>
      </c>
      <c r="BH7">
        <v>0</v>
      </c>
      <c r="BI7">
        <v>4</v>
      </c>
      <c r="BJ7" s="107">
        <f t="shared" si="0"/>
        <v>2.2726936009559017E-5</v>
      </c>
      <c r="BL7">
        <f>BH23+1</f>
        <v>3</v>
      </c>
      <c r="BM7">
        <v>3</v>
      </c>
      <c r="BN7" s="107">
        <f>$H$28*H42</f>
        <v>1.0131350323782165E-2</v>
      </c>
      <c r="BP7">
        <f>BP5+1</f>
        <v>3</v>
      </c>
      <c r="BQ7">
        <v>0</v>
      </c>
      <c r="BR7" s="107">
        <f>$H$28*H39</f>
        <v>1.5704987968456024E-2</v>
      </c>
    </row>
    <row r="8" spans="1:70" x14ac:dyDescent="0.25">
      <c r="A8" s="5" t="s">
        <v>3</v>
      </c>
      <c r="B8" s="168">
        <v>14.75</v>
      </c>
      <c r="C8" s="169">
        <v>8.75</v>
      </c>
      <c r="E8" s="192" t="s">
        <v>18</v>
      </c>
      <c r="F8" s="167" t="s">
        <v>16</v>
      </c>
      <c r="G8" s="167"/>
      <c r="H8" s="10"/>
      <c r="I8" s="10"/>
      <c r="J8" s="166" t="s">
        <v>16</v>
      </c>
      <c r="K8" s="166"/>
      <c r="L8" s="10"/>
      <c r="M8" s="10"/>
      <c r="O8" s="67">
        <f>COUNTIF(F6:F18,"IMP")*AI8*AG8</f>
        <v>4.65E-2</v>
      </c>
      <c r="P8" s="196" t="str">
        <f>P3</f>
        <v>0,6</v>
      </c>
      <c r="Q8" s="16">
        <f t="shared" si="1"/>
        <v>2.7899999999999998E-2</v>
      </c>
      <c r="R8" s="157">
        <f t="shared" si="8"/>
        <v>3.216705882352941E-2</v>
      </c>
      <c r="S8" s="176">
        <f t="shared" si="2"/>
        <v>0.96783294117647056</v>
      </c>
      <c r="T8" s="177">
        <f>R8*PRODUCT(S5:S7)*PRODUCT(S9:S19)</f>
        <v>1.4286041487461612E-2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1.3298284943370545E-2</v>
      </c>
      <c r="W8" s="186" t="s">
        <v>42</v>
      </c>
      <c r="X8" s="15" t="s">
        <v>43</v>
      </c>
      <c r="Y8" s="69">
        <f>COUNTIF(J6:J18,"IMP")*AI8*AK8</f>
        <v>4.65E-2</v>
      </c>
      <c r="Z8" s="197" t="str">
        <f>Z3</f>
        <v>0,6</v>
      </c>
      <c r="AA8" s="19">
        <f t="shared" si="3"/>
        <v>2.7899999999999998E-2</v>
      </c>
      <c r="AB8" s="157">
        <f t="shared" si="4"/>
        <v>2.3632941176470589E-2</v>
      </c>
      <c r="AC8" s="176">
        <f t="shared" si="5"/>
        <v>0.97636705882352937</v>
      </c>
      <c r="AD8" s="177">
        <f>AB8*PRODUCT(AC5:AC7)*PRODUCT(AC9:AC19)</f>
        <v>1.7203079323013792E-2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5.2297799552935877E-3</v>
      </c>
      <c r="AG8" s="203">
        <f>IF(COUNTIF(F6:F18,"IMP")+COUNTIF(J6:J18,"IMP")=0,0,COUNTIF(F6:F18,"IMP")/(COUNTIF(F6:F18,"IMP")+COUNTIF(J6:J18,"IMP")))</f>
        <v>0.5</v>
      </c>
      <c r="AI8" s="206">
        <f t="shared" si="6"/>
        <v>9.2999999999999999E-2</v>
      </c>
      <c r="AK8" s="203">
        <f>IF(COUNTIF(F6:F18,"IMP")+COUNTIF(J6:J18,"IMP")=0,0,COUNTIF(J6:J18,"IMP")/(COUNTIF(F6:F18,"IMP")+COUNTIF(J6:J18,"IMP")))</f>
        <v>0.5</v>
      </c>
      <c r="AM8" s="13">
        <v>0.04</v>
      </c>
      <c r="AN8">
        <f t="shared" si="7"/>
        <v>0</v>
      </c>
      <c r="BH8">
        <v>0</v>
      </c>
      <c r="BI8">
        <v>5</v>
      </c>
      <c r="BJ8" s="107">
        <f t="shared" si="0"/>
        <v>5.5502286268964015E-6</v>
      </c>
      <c r="BL8">
        <f>BH31+1</f>
        <v>4</v>
      </c>
      <c r="BM8">
        <v>4</v>
      </c>
      <c r="BN8" s="107">
        <f>$H$29*H43</f>
        <v>6.6732268276318363E-3</v>
      </c>
      <c r="BP8">
        <f>BP6+1</f>
        <v>3</v>
      </c>
      <c r="BQ8">
        <v>1</v>
      </c>
      <c r="BR8" s="107">
        <f>$H$28*H40</f>
        <v>2.6565100267359296E-2</v>
      </c>
    </row>
    <row r="9" spans="1:70" x14ac:dyDescent="0.25">
      <c r="A9" s="5" t="s">
        <v>4</v>
      </c>
      <c r="B9" s="168">
        <v>15.25</v>
      </c>
      <c r="C9" s="169">
        <v>8.25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I9" s="206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>
        <f t="shared" si="0"/>
        <v>1.0193671149339441E-6</v>
      </c>
      <c r="BL9">
        <f>BH38+1</f>
        <v>5</v>
      </c>
      <c r="BM9">
        <v>5</v>
      </c>
      <c r="BN9" s="107">
        <f>$H$30*H44</f>
        <v>2.279397077059164E-3</v>
      </c>
      <c r="BP9">
        <f>BL6+1</f>
        <v>3</v>
      </c>
      <c r="BQ9">
        <v>2</v>
      </c>
      <c r="BR9" s="107">
        <f>$H$28*H41</f>
        <v>2.0887296155085236E-2</v>
      </c>
    </row>
    <row r="10" spans="1:70" x14ac:dyDescent="0.25">
      <c r="A10" s="6" t="s">
        <v>5</v>
      </c>
      <c r="B10" s="168">
        <v>16.25</v>
      </c>
      <c r="C10" s="169">
        <v>12.75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>
        <f t="shared" si="8"/>
        <v>0</v>
      </c>
      <c r="S10" s="176">
        <f t="shared" si="2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>COUNTIF(J11:J18,"RAP")*AI10*AK10</f>
        <v>0.13300000000000001</v>
      </c>
      <c r="Z10" s="197" t="str">
        <f>AB3</f>
        <v>0,72</v>
      </c>
      <c r="AA10" s="19">
        <f t="shared" si="3"/>
        <v>9.5759999999999998E-2</v>
      </c>
      <c r="AB10" s="157">
        <f t="shared" si="4"/>
        <v>8.1114352941176485E-2</v>
      </c>
      <c r="AC10" s="176">
        <f t="shared" si="5"/>
        <v>0.91888564705882347</v>
      </c>
      <c r="AD10" s="177">
        <f>AB10*PRODUCT(AC5:AC9)*PRODUCT(AC11:AC19)</f>
        <v>6.2739026643379742E-2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1.3534555360151052E-2</v>
      </c>
      <c r="AG10" s="203">
        <f>IF(COUNTIF(F11:F18,"RAP")+COUNTIF(J11:J18,"RAP")=0,0,COUNTIF(F11:F18,"RAP")/(COUNTIF(F11:F18,"RAP")+COUNTIF(J11:J18,"RAP")))</f>
        <v>0</v>
      </c>
      <c r="AI10" s="206">
        <f t="shared" si="6"/>
        <v>0.13300000000000001</v>
      </c>
      <c r="AK10" s="203">
        <f>IF(COUNTIF(F11:F18,"RAP")+COUNTIF(J11:J18,"RAP")=0,0,COUNTIF(J11:J18,"RAP")/(COUNTIF(F11:F18,"RAP")+COUNTIF(J11:J18,"RAP")))</f>
        <v>1</v>
      </c>
      <c r="AM10" s="13">
        <v>0.06</v>
      </c>
      <c r="AN10">
        <f t="shared" si="7"/>
        <v>0</v>
      </c>
      <c r="BH10">
        <v>0</v>
      </c>
      <c r="BI10">
        <v>7</v>
      </c>
      <c r="BJ10" s="107">
        <f t="shared" si="0"/>
        <v>1.4270025322982819E-7</v>
      </c>
      <c r="BL10">
        <f>BH44+1</f>
        <v>6</v>
      </c>
      <c r="BM10">
        <v>6</v>
      </c>
      <c r="BN10" s="107">
        <f>$H$31*H45</f>
        <v>4.2729283039870646E-4</v>
      </c>
      <c r="BP10">
        <f>BP7+1</f>
        <v>4</v>
      </c>
      <c r="BQ10">
        <v>0</v>
      </c>
      <c r="BR10" s="107">
        <f>$H$29*H39</f>
        <v>3.0916339397136373E-2</v>
      </c>
    </row>
    <row r="11" spans="1:70" x14ac:dyDescent="0.25">
      <c r="A11" s="6" t="s">
        <v>6</v>
      </c>
      <c r="B11" s="168">
        <v>9.25</v>
      </c>
      <c r="C11" s="169">
        <v>16.5</v>
      </c>
      <c r="E11" s="192" t="s">
        <v>19</v>
      </c>
      <c r="F11" s="167" t="s">
        <v>21</v>
      </c>
      <c r="G11" s="167"/>
      <c r="H11" s="10"/>
      <c r="I11" s="10"/>
      <c r="J11" s="166" t="s">
        <v>16</v>
      </c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>
        <f t="shared" si="8"/>
        <v>0</v>
      </c>
      <c r="S11" s="176">
        <f t="shared" si="2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>COUNTIF(J11:J18,"RAP")*AI11*AK11</f>
        <v>0.13300000000000001</v>
      </c>
      <c r="Z11" s="197" t="str">
        <f>AB3</f>
        <v>0,72</v>
      </c>
      <c r="AA11" s="19">
        <f t="shared" si="3"/>
        <v>9.5759999999999998E-2</v>
      </c>
      <c r="AB11" s="157">
        <f t="shared" si="4"/>
        <v>8.1114352941176485E-2</v>
      </c>
      <c r="AC11" s="176">
        <f t="shared" si="5"/>
        <v>0.91888564705882347</v>
      </c>
      <c r="AD11" s="177">
        <f>AB11*PRODUCT(AC5:AC10)*PRODUCT(AC12:AC19)</f>
        <v>6.2739026643379742E-2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7.9962867337708202E-3</v>
      </c>
      <c r="AG11" s="203">
        <f>IF(COUNTIF(F11:F18,"RAP")+COUNTIF(J11:J18,"RAP")=0,0,COUNTIF(F11:F18,"RAP")/(COUNTIF(F11:F18,"RAP")+COUNTIF(J11:J18,"RAP")))</f>
        <v>0</v>
      </c>
      <c r="AI11" s="206">
        <f t="shared" si="6"/>
        <v>0.13300000000000001</v>
      </c>
      <c r="AK11" s="203">
        <f>IF(COUNTIF(F11:F18,"RAP")+COUNTIF(J11:J18,"RAP")=0,0,COUNTIF(J11:J18,"RAP")/(COUNTIF(F11:F18,"RAP")+COUNTIF(J11:J18,"RAP")))</f>
        <v>1</v>
      </c>
      <c r="AM11" s="13">
        <v>0.06</v>
      </c>
      <c r="AN11">
        <f t="shared" si="7"/>
        <v>0</v>
      </c>
      <c r="BH11">
        <v>0</v>
      </c>
      <c r="BI11">
        <v>8</v>
      </c>
      <c r="BJ11" s="107">
        <f t="shared" si="0"/>
        <v>1.523378222509299E-8</v>
      </c>
      <c r="BL11">
        <f>BH50+1</f>
        <v>7</v>
      </c>
      <c r="BM11">
        <v>7</v>
      </c>
      <c r="BN11" s="107">
        <f>$H$32*H46</f>
        <v>4.5026633370352678E-5</v>
      </c>
      <c r="BP11">
        <f>BP8+1</f>
        <v>4</v>
      </c>
      <c r="BQ11">
        <v>1</v>
      </c>
      <c r="BR11" s="107">
        <f>$H$29*H40</f>
        <v>5.2295210772159595E-2</v>
      </c>
    </row>
    <row r="12" spans="1:70" x14ac:dyDescent="0.25">
      <c r="A12" s="6" t="s">
        <v>7</v>
      </c>
      <c r="B12" s="168">
        <v>16.5</v>
      </c>
      <c r="C12" s="169">
        <v>8.75</v>
      </c>
      <c r="E12" s="192" t="s">
        <v>19</v>
      </c>
      <c r="F12" s="167" t="s">
        <v>16</v>
      </c>
      <c r="G12" s="167"/>
      <c r="H12" s="10"/>
      <c r="I12" s="10"/>
      <c r="J12" s="166" t="s">
        <v>154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06"/>
      <c r="AK12" s="13"/>
      <c r="AM12" s="13">
        <v>0</v>
      </c>
      <c r="BH12">
        <v>0</v>
      </c>
      <c r="BI12">
        <v>9</v>
      </c>
      <c r="BJ12" s="107">
        <f t="shared" si="0"/>
        <v>1.2251822625029801E-9</v>
      </c>
      <c r="BL12">
        <f>BH54+1</f>
        <v>8</v>
      </c>
      <c r="BM12">
        <v>8</v>
      </c>
      <c r="BN12" s="107">
        <f>$H$33*H47</f>
        <v>2.663363162903595E-6</v>
      </c>
      <c r="BP12">
        <f>BP9+1</f>
        <v>4</v>
      </c>
      <c r="BQ12">
        <v>2</v>
      </c>
      <c r="BR12" s="107">
        <f>$H$29*H41</f>
        <v>4.1118066331291954E-2</v>
      </c>
    </row>
    <row r="13" spans="1:70" x14ac:dyDescent="0.25">
      <c r="A13" s="7" t="s">
        <v>8</v>
      </c>
      <c r="B13" s="168">
        <v>12.75</v>
      </c>
      <c r="C13" s="169">
        <v>8.25</v>
      </c>
      <c r="E13" s="192" t="s">
        <v>19</v>
      </c>
      <c r="F13" s="167" t="s">
        <v>21</v>
      </c>
      <c r="G13" s="167"/>
      <c r="H13" s="10"/>
      <c r="I13" s="10"/>
      <c r="J13" s="166" t="s">
        <v>154</v>
      </c>
      <c r="K13" s="166"/>
      <c r="L13" s="10"/>
      <c r="M13" s="10"/>
      <c r="O13" s="67">
        <f>AI13*B22/0.5</f>
        <v>0.15910588235294118</v>
      </c>
      <c r="P13" s="196" t="str">
        <f>P2</f>
        <v>0,4</v>
      </c>
      <c r="Q13" s="16">
        <f t="shared" si="1"/>
        <v>6.3642352941176469E-2</v>
      </c>
      <c r="R13" s="157">
        <f t="shared" si="8"/>
        <v>7.3375889273356393E-2</v>
      </c>
      <c r="S13" s="176">
        <f t="shared" si="2"/>
        <v>0.92662411072664363</v>
      </c>
      <c r="T13" s="177">
        <f>R13*PRODUCT(S5:S12)*PRODUCT(S14:S19)</f>
        <v>3.4036957688119485E-2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2.8988336581416356E-2</v>
      </c>
      <c r="W13" s="186" t="s">
        <v>52</v>
      </c>
      <c r="X13" s="15" t="s">
        <v>53</v>
      </c>
      <c r="Y13" s="69">
        <f>AI13*C22/0.5</f>
        <v>0.11689411764705884</v>
      </c>
      <c r="Z13" s="197" t="str">
        <f>Z2</f>
        <v>0,4</v>
      </c>
      <c r="AA13" s="19">
        <f t="shared" si="3"/>
        <v>4.6757647058823543E-2</v>
      </c>
      <c r="AB13" s="157">
        <f t="shared" si="4"/>
        <v>3.9606477508650532E-2</v>
      </c>
      <c r="AC13" s="176">
        <f t="shared" si="5"/>
        <v>0.96039352249134946</v>
      </c>
      <c r="AD13" s="177">
        <f>AB13*PRODUCT(AC5:AC12)*PRODUCT(AC14:AC19)</f>
        <v>2.9310183226267942E-2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2.5269279171379975E-3</v>
      </c>
      <c r="AG13" s="13"/>
      <c r="AI13" s="206">
        <f>(AM13*$AI$2/2)+SUM($AN$5:$AN$19)</f>
        <v>0.13800000000000001</v>
      </c>
      <c r="AK13" s="13"/>
      <c r="AM13" s="13">
        <v>0.125</v>
      </c>
      <c r="BH13">
        <v>0</v>
      </c>
      <c r="BI13">
        <v>10</v>
      </c>
      <c r="BJ13" s="107">
        <f t="shared" si="0"/>
        <v>7.2202558785883579E-11</v>
      </c>
      <c r="BL13">
        <f>BH57+1</f>
        <v>9</v>
      </c>
      <c r="BM13">
        <v>9</v>
      </c>
      <c r="BN13" s="107">
        <f>$H$34*H48</f>
        <v>8.6136631874875764E-8</v>
      </c>
      <c r="BP13">
        <f>BL7+1</f>
        <v>4</v>
      </c>
      <c r="BQ13">
        <v>3</v>
      </c>
      <c r="BR13" s="107">
        <f>$H$29*H42</f>
        <v>1.9944253748583444E-2</v>
      </c>
    </row>
    <row r="14" spans="1:70" x14ac:dyDescent="0.25">
      <c r="A14" s="7" t="s">
        <v>9</v>
      </c>
      <c r="B14" s="168">
        <v>10.5</v>
      </c>
      <c r="C14" s="169">
        <v>9.25</v>
      </c>
      <c r="E14" s="192" t="s">
        <v>20</v>
      </c>
      <c r="F14" s="167" t="s">
        <v>21</v>
      </c>
      <c r="G14" s="167"/>
      <c r="H14" s="10"/>
      <c r="I14" s="10"/>
      <c r="J14" s="166" t="s">
        <v>131</v>
      </c>
      <c r="K14" s="166"/>
      <c r="L14" s="10"/>
      <c r="M14" s="10"/>
      <c r="O14" s="67">
        <f>IF(COUNTIF(F6:F18,"CAB")&gt;0,AI14*B22/0.5,0)</f>
        <v>0.15910588235294118</v>
      </c>
      <c r="P14" s="196">
        <f>IF(COUNTIF(F6:F18,"CAB")-COUNTIF(J6:J18,"CAB")&gt;3,0.8,IF(COUNTIF(F6:F18,"CAB")-COUNTIF(J6:J18,"CAB")&gt;0,0.6,IF(COUNTIF(F6:F18,"CAB")-COUNTIF(J6:J18,"CAB")=0,0.4,0.15)))</f>
        <v>0.15</v>
      </c>
      <c r="Q14" s="16">
        <f t="shared" si="1"/>
        <v>2.3865882352941178E-2</v>
      </c>
      <c r="R14" s="157">
        <f t="shared" si="8"/>
        <v>2.7515958477508651E-2</v>
      </c>
      <c r="S14" s="176">
        <f t="shared" si="2"/>
        <v>0.97248404152249135</v>
      </c>
      <c r="T14" s="177">
        <f>R14*PRODUCT(S5:S13)*PRODUCT(S15:S19)</f>
        <v>1.2161947254251427E-2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1.00138781726692E-2</v>
      </c>
      <c r="W14" s="186" t="s">
        <v>54</v>
      </c>
      <c r="X14" s="15" t="s">
        <v>55</v>
      </c>
      <c r="Y14" s="69">
        <f>IF(COUNTIF(J6:J18,"CAB")&gt;0,AI14*C22/0.5,0)</f>
        <v>0.11689411764705884</v>
      </c>
      <c r="Z14" s="197">
        <f>IF(COUNTIF(J6:J18,"CAB")-COUNTIF(F6:F18,"CAB")&gt;3,0.8,IF(COUNTIF(J6:J18,"CAB")-COUNTIF(F6:F18,"CAB")&gt;0,0.6,IF(COUNTIF(J6:J18,"CAB")-COUNTIF(F6:F18,"CAB")=0,0.4,0.15)))</f>
        <v>0.6</v>
      </c>
      <c r="AA14" s="19">
        <f t="shared" si="3"/>
        <v>7.01364705882353E-2</v>
      </c>
      <c r="AB14" s="157">
        <f t="shared" si="4"/>
        <v>5.9409716262975788E-2</v>
      </c>
      <c r="AC14" s="176">
        <f t="shared" si="5"/>
        <v>0.94059028373702425</v>
      </c>
      <c r="AD14" s="177">
        <f>AB14*PRODUCT(AC5:AC13)*PRODUCT(AC15:AC19)</f>
        <v>4.4890922116008924E-2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1.0347872780169215E-3</v>
      </c>
      <c r="AG14" s="13"/>
      <c r="AI14" s="206">
        <f>IF(COUNTIF(J6:J18,"CAB")+COUNTIF(F6:F18,"CAB")=0,0,(AM14*$AI$2/2)+SUM($AN$5:$AN$19))</f>
        <v>0.13800000000000001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1.4797867254447903E-3</v>
      </c>
      <c r="BL14">
        <f>BP39+1</f>
        <v>10</v>
      </c>
      <c r="BM14">
        <v>10</v>
      </c>
      <c r="BN14" s="107">
        <f>$H$35*H49</f>
        <v>1.4387905857118952E-9</v>
      </c>
      <c r="BP14">
        <f>BP10+1</f>
        <v>5</v>
      </c>
      <c r="BQ14">
        <v>0</v>
      </c>
      <c r="BR14" s="107">
        <f>$H$30*H39</f>
        <v>4.3241642537094255E-2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146</v>
      </c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06"/>
      <c r="AK15" s="13"/>
      <c r="AM15" s="13">
        <v>0</v>
      </c>
      <c r="BH15">
        <v>1</v>
      </c>
      <c r="BI15">
        <v>3</v>
      </c>
      <c r="BJ15" s="107">
        <f t="shared" si="9"/>
        <v>7.1776823618760271E-4</v>
      </c>
      <c r="BP15">
        <f>BP11+1</f>
        <v>5</v>
      </c>
      <c r="BQ15">
        <v>1</v>
      </c>
      <c r="BR15" s="107">
        <f>$H$30*H40</f>
        <v>7.3143549809172481E-2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154</v>
      </c>
      <c r="G16" s="167"/>
      <c r="H16" s="10"/>
      <c r="I16" s="10"/>
      <c r="J16" s="166" t="s">
        <v>16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06"/>
      <c r="AK16" s="13"/>
      <c r="AM16" s="13">
        <v>0</v>
      </c>
      <c r="BH16">
        <v>1</v>
      </c>
      <c r="BI16">
        <v>4</v>
      </c>
      <c r="BJ16" s="107">
        <f t="shared" si="9"/>
        <v>2.4016091602772034E-4</v>
      </c>
      <c r="BP16">
        <f>BP12+1</f>
        <v>5</v>
      </c>
      <c r="BQ16">
        <v>2</v>
      </c>
      <c r="BR16" s="107">
        <f>$H$30*H41</f>
        <v>5.7510454367665068E-2</v>
      </c>
    </row>
    <row r="17" spans="1:70" x14ac:dyDescent="0.25">
      <c r="A17" s="188" t="s">
        <v>10</v>
      </c>
      <c r="B17" s="172" t="s">
        <v>11</v>
      </c>
      <c r="C17" s="173" t="s">
        <v>155</v>
      </c>
      <c r="E17" s="192" t="s">
        <v>22</v>
      </c>
      <c r="F17" s="167"/>
      <c r="G17" s="167"/>
      <c r="H17" s="10"/>
      <c r="I17" s="10"/>
      <c r="J17" s="166" t="s">
        <v>146</v>
      </c>
      <c r="K17" s="166"/>
      <c r="L17" s="10"/>
      <c r="M17" s="10"/>
      <c r="O17" s="67">
        <f>(AI17*2)*IF(COUNTBLANK(F14:F15)&lt;&gt;0, (2-COUNTBLANK(F14:F15))/2,1)*AG17</f>
        <v>0.17733333333333334</v>
      </c>
      <c r="P17" s="196">
        <f>IF(COUNTIF(F14:F18,"CAB")&gt;0,0.95,P3)</f>
        <v>0.95</v>
      </c>
      <c r="Q17" s="16">
        <f t="shared" si="1"/>
        <v>0.16846666666666668</v>
      </c>
      <c r="R17" s="157">
        <f t="shared" si="8"/>
        <v>0.19423215686274509</v>
      </c>
      <c r="S17" s="176">
        <f t="shared" si="2"/>
        <v>0.80576784313725491</v>
      </c>
      <c r="T17" s="177">
        <f>R17*PRODUCT(S5:S16)*PRODUCT(S18:S19)</f>
        <v>0.10361250052642901</v>
      </c>
      <c r="U17" s="177">
        <f>R17*R18*PRODUCT(S5:S16)*S19+R17*R19*PRODUCT(S5:S16)*S18</f>
        <v>6.0336212479663219E-2</v>
      </c>
      <c r="W17" s="186" t="s">
        <v>60</v>
      </c>
      <c r="X17" s="15" t="s">
        <v>61</v>
      </c>
      <c r="Y17" s="69">
        <f>(AI17*2)*IF(COUNTBLANK(J14:J15)&lt;&gt;0, (2-COUNTBLANK(J14:J15))/2,1)*AK17</f>
        <v>4.4333333333333336E-2</v>
      </c>
      <c r="Z17" s="197" t="str">
        <f>IF(COUNTIF(J14:J18,"CAB")&gt;0,0.95,Z3)</f>
        <v>0,6</v>
      </c>
      <c r="AA17" s="19">
        <f t="shared" si="3"/>
        <v>2.6600000000000002E-2</v>
      </c>
      <c r="AB17" s="157">
        <f t="shared" si="4"/>
        <v>2.2531764705882359E-2</v>
      </c>
      <c r="AC17" s="176">
        <f t="shared" si="5"/>
        <v>0.97746823529411764</v>
      </c>
      <c r="AD17" s="177">
        <f>AB17*PRODUCT(AC5:AC16)*PRODUCT(AC18:AC19)</f>
        <v>1.6383024876420221E-2</v>
      </c>
      <c r="AE17" s="177">
        <f>AB17*AB18*PRODUCT(AC5:AC16)*AC19+AB17*AB19*PRODUCT(AC5:AC16)*AC18</f>
        <v>0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0.66666666666666663</v>
      </c>
      <c r="AI17" s="206">
        <f t="shared" si="6"/>
        <v>0.13300000000000001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0.33333333333333331</v>
      </c>
      <c r="AM17" s="13">
        <v>0.06</v>
      </c>
      <c r="AN17">
        <f t="shared" si="7"/>
        <v>0</v>
      </c>
      <c r="BH17">
        <v>1</v>
      </c>
      <c r="BI17">
        <v>5</v>
      </c>
      <c r="BJ17" s="107">
        <f t="shared" si="9"/>
        <v>5.8650580555076773E-5</v>
      </c>
      <c r="BP17">
        <f>BP13+1</f>
        <v>5</v>
      </c>
      <c r="BQ17">
        <v>3</v>
      </c>
      <c r="BR17" s="107">
        <f>$H$30*H42</f>
        <v>2.7895355921252089E-2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123</v>
      </c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06"/>
      <c r="AK18" s="203"/>
      <c r="AM18" s="13">
        <v>0</v>
      </c>
      <c r="BH18">
        <v>1</v>
      </c>
      <c r="BI18">
        <v>6</v>
      </c>
      <c r="BJ18" s="107">
        <f t="shared" si="9"/>
        <v>1.0771893755854364E-5</v>
      </c>
      <c r="BP18">
        <f>BL8+1</f>
        <v>5</v>
      </c>
      <c r="BQ18">
        <v>4</v>
      </c>
      <c r="BR18" s="107">
        <f>$H$30*H43</f>
        <v>9.333617584626832E-3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0.53200000000000003</v>
      </c>
      <c r="P19" s="196" t="str">
        <f>P3</f>
        <v>0,6</v>
      </c>
      <c r="Q19" s="16">
        <f t="shared" si="1"/>
        <v>0.31919999999999998</v>
      </c>
      <c r="R19" s="157">
        <f t="shared" si="8"/>
        <v>0.36801882352941173</v>
      </c>
      <c r="S19" s="178">
        <f t="shared" si="2"/>
        <v>0.63198117647058827</v>
      </c>
      <c r="T19" s="179">
        <f>R19*PRODUCT(S5:S18)</f>
        <v>0.25030345426872203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1</v>
      </c>
      <c r="AI19" s="206">
        <f t="shared" si="6"/>
        <v>0.13300000000000001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0</v>
      </c>
      <c r="BH19">
        <v>1</v>
      </c>
      <c r="BI19">
        <v>7</v>
      </c>
      <c r="BJ19" s="107">
        <f t="shared" si="9"/>
        <v>1.507947376568874E-6</v>
      </c>
      <c r="BP19">
        <f>BP15+1</f>
        <v>6</v>
      </c>
      <c r="BQ19">
        <v>1</v>
      </c>
      <c r="BR19" s="107">
        <f>$H$31*H40</f>
        <v>7.4655516865021171E-2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0.42983418616020019</v>
      </c>
      <c r="T20" s="181">
        <f>SUM(T5:T19)</f>
        <v>0.42868694271244517</v>
      </c>
      <c r="U20" s="181">
        <f>SUM(U5:U19)</f>
        <v>0.12640981040419971</v>
      </c>
      <c r="V20" s="181">
        <f>1-S20-T20-U20</f>
        <v>1.506906072315492E-2</v>
      </c>
      <c r="W20" s="21"/>
      <c r="X20" s="22"/>
      <c r="Y20" s="22"/>
      <c r="Z20" s="22"/>
      <c r="AA20" s="22"/>
      <c r="AB20" s="23"/>
      <c r="AC20" s="184">
        <f>PRODUCT(AC5:AC19)</f>
        <v>0.71072490875751793</v>
      </c>
      <c r="AD20" s="181">
        <f>SUM(AD5:AD19)</f>
        <v>0.25046834215148417</v>
      </c>
      <c r="AE20" s="181">
        <f>SUM(AE5:AE19)</f>
        <v>3.5968517320930683E-2</v>
      </c>
      <c r="AF20" s="181">
        <f>1-AC20-AD20-AE20</f>
        <v>2.8382317700672219E-3</v>
      </c>
      <c r="BH20">
        <v>1</v>
      </c>
      <c r="BI20">
        <v>8</v>
      </c>
      <c r="BJ20" s="107">
        <f t="shared" si="9"/>
        <v>1.6097898512172231E-7</v>
      </c>
      <c r="BP20">
        <f>BP16+1</f>
        <v>6</v>
      </c>
      <c r="BQ20">
        <v>2</v>
      </c>
      <c r="BR20" s="107">
        <f>$H$31*H41</f>
        <v>5.8699266130255986E-2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1.2946791170612354E-8</v>
      </c>
      <c r="BP21">
        <f>BP17+1</f>
        <v>6</v>
      </c>
      <c r="BQ21">
        <v>3</v>
      </c>
      <c r="BR21" s="107">
        <f>$H$31*H42</f>
        <v>2.8471987206910822E-2</v>
      </c>
    </row>
    <row r="22" spans="1:70" x14ac:dyDescent="0.25">
      <c r="A22" s="26" t="s">
        <v>77</v>
      </c>
      <c r="B22" s="62">
        <f>(B6)/((B6)+(C6))</f>
        <v>0.57647058823529407</v>
      </c>
      <c r="C22" s="63">
        <f>1-B22</f>
        <v>0.42352941176470593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9"/>
        <v>7.6298154094638067E-10</v>
      </c>
      <c r="BP22">
        <f>BP18+1</f>
        <v>6</v>
      </c>
      <c r="BQ22">
        <v>4</v>
      </c>
      <c r="BR22" s="107">
        <f>$H$31*H43</f>
        <v>9.526554929569258E-3</v>
      </c>
    </row>
    <row r="23" spans="1:70" ht="15.75" thickBot="1" x14ac:dyDescent="0.3">
      <c r="A23" s="40" t="s">
        <v>67</v>
      </c>
      <c r="B23" s="56">
        <f>((B22^2.8)/((B22^2.8)+(C22^2.8)))*B21</f>
        <v>3.5166896638368588</v>
      </c>
      <c r="C23" s="57">
        <f>B21-B23</f>
        <v>1.4833103361631412</v>
      </c>
      <c r="D23" s="151">
        <f>SUM(D25:D30)</f>
        <v>1</v>
      </c>
      <c r="E23" s="151">
        <f>SUM(E25:E30)</f>
        <v>1</v>
      </c>
      <c r="H23" s="59">
        <f>SUM(H25:H35)</f>
        <v>0.99779619818318777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0.96975147154848917</v>
      </c>
      <c r="Y23" s="80">
        <f>SUM(Y25:Y35)</f>
        <v>5.2534338454507302E-6</v>
      </c>
      <c r="Z23" s="81"/>
      <c r="AA23" s="80">
        <f>SUM(AA25:AA35)</f>
        <v>1.2457684591603757E-4</v>
      </c>
      <c r="AB23" s="81"/>
      <c r="AC23" s="80">
        <f>SUM(AC25:AC35)</f>
        <v>1.329426511669229E-3</v>
      </c>
      <c r="AD23" s="81"/>
      <c r="AE23" s="80">
        <f>SUM(AE25:AE35)</f>
        <v>8.4076695529037727E-3</v>
      </c>
      <c r="AF23" s="81"/>
      <c r="AG23" s="80">
        <f>SUM(AG25:AG35)</f>
        <v>3.4897662519817234E-2</v>
      </c>
      <c r="AH23" s="81"/>
      <c r="AI23" s="80">
        <f>SUM(AI25:AI35)</f>
        <v>9.9339125934404998E-2</v>
      </c>
      <c r="AJ23" s="81"/>
      <c r="AK23" s="80">
        <f>SUM(AK25:AK35)</f>
        <v>0.19641647171873905</v>
      </c>
      <c r="AL23" s="81"/>
      <c r="AM23" s="80">
        <f>SUM(AM25:AM35)</f>
        <v>0.26640758286623761</v>
      </c>
      <c r="AN23" s="81"/>
      <c r="AO23" s="80">
        <f>SUM(AO25:AO35)</f>
        <v>0.23731202385833128</v>
      </c>
      <c r="AP23" s="81"/>
      <c r="AQ23" s="80">
        <f>SUM(AQ25:AQ35)</f>
        <v>0.12551167830662455</v>
      </c>
      <c r="AR23" s="81"/>
      <c r="AS23" s="80">
        <f>SUM(AS25:AS35)</f>
        <v>3.0248528451510829E-2</v>
      </c>
      <c r="BH23">
        <f t="shared" ref="BH23:BH30" si="10">BH15+1</f>
        <v>2</v>
      </c>
      <c r="BI23">
        <v>3</v>
      </c>
      <c r="BJ23" s="107">
        <f t="shared" ref="BJ23:BJ30" si="11">$H$27*H42</f>
        <v>3.4678029545371913E-3</v>
      </c>
      <c r="BP23">
        <f>BL9+1</f>
        <v>6</v>
      </c>
      <c r="BQ23">
        <v>5</v>
      </c>
      <c r="BR23" s="107">
        <f>$H$31*H44</f>
        <v>2.3265150156429851E-3</v>
      </c>
    </row>
    <row r="24" spans="1:70" ht="15.75" thickBot="1" x14ac:dyDescent="0.3">
      <c r="A24" s="26" t="s">
        <v>76</v>
      </c>
      <c r="B24" s="64">
        <f>B23/B21</f>
        <v>0.70333793276737178</v>
      </c>
      <c r="C24" s="65">
        <f>C23/B21</f>
        <v>0.29666206723262822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1.1603059207368023E-3</v>
      </c>
      <c r="BP24">
        <f>BH49+1</f>
        <v>7</v>
      </c>
      <c r="BQ24">
        <v>0</v>
      </c>
      <c r="BR24" s="107">
        <f t="shared" ref="BR24:BR30" si="12">$H$32*H39</f>
        <v>3.3222920018378219E-2</v>
      </c>
    </row>
    <row r="25" spans="1:70" x14ac:dyDescent="0.25">
      <c r="A25" s="26" t="s">
        <v>69</v>
      </c>
      <c r="B25" s="117">
        <f>1/(1+EXP(-3.1416*4*((B11/(B11+C8))-(3.1416/6))))</f>
        <v>0.46952937856488486</v>
      </c>
      <c r="C25" s="118">
        <f>1/(1+EXP(-3.1416*4*((C11/(C11+B8))-(3.1416/6))))</f>
        <v>0.51381951940005299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0.44</v>
      </c>
      <c r="G25" s="126">
        <v>0</v>
      </c>
      <c r="H25" s="127">
        <f>L25*J25</f>
        <v>5.2080771657591859E-4</v>
      </c>
      <c r="I25" s="97">
        <v>0</v>
      </c>
      <c r="J25" s="98">
        <f t="shared" ref="J25:J35" si="13">Y25+AA25+AC25+AE25+AG25+AI25+AK25+AM25+AO25+AQ25+AS25</f>
        <v>1.2116479641333423E-3</v>
      </c>
      <c r="K25" s="97">
        <v>0</v>
      </c>
      <c r="L25" s="98">
        <f>S20</f>
        <v>0.42983418616020019</v>
      </c>
      <c r="M25" s="84">
        <v>0</v>
      </c>
      <c r="N25" s="71">
        <f>(1-$B$24)^$B$21</f>
        <v>2.2977887219027006E-3</v>
      </c>
      <c r="O25" s="70">
        <v>0</v>
      </c>
      <c r="P25" s="71">
        <f>N25</f>
        <v>2.2977887219027006E-3</v>
      </c>
      <c r="Q25" s="12">
        <v>0</v>
      </c>
      <c r="R25" s="73">
        <f>P25*N25</f>
        <v>5.2798330105032468E-6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5.2534338454507302E-6</v>
      </c>
      <c r="W25" s="136">
        <f>B31</f>
        <v>0.69514246527548307</v>
      </c>
      <c r="X25" s="12">
        <v>0</v>
      </c>
      <c r="Y25" s="79">
        <f>V25</f>
        <v>5.2534338454507302E-6</v>
      </c>
      <c r="Z25" s="12">
        <v>0</v>
      </c>
      <c r="AA25" s="78">
        <f>((1-W25)^Z26)*V26</f>
        <v>3.7978190129719221E-5</v>
      </c>
      <c r="AB25" s="12">
        <v>0</v>
      </c>
      <c r="AC25" s="79">
        <f>(((1-$W$25)^AB27))*V27</f>
        <v>1.2355439599086819E-4</v>
      </c>
      <c r="AD25" s="12">
        <v>0</v>
      </c>
      <c r="AE25" s="79">
        <f>(((1-$W$25)^AB28))*V28</f>
        <v>2.3821353516172039E-4</v>
      </c>
      <c r="AF25" s="12">
        <v>0</v>
      </c>
      <c r="AG25" s="79">
        <f>(((1-$W$25)^AB29))*V29</f>
        <v>3.0142833298943156E-4</v>
      </c>
      <c r="AH25" s="12">
        <v>0</v>
      </c>
      <c r="AI25" s="79">
        <f>(((1-$W$25)^AB30))*V30</f>
        <v>2.6158028041831349E-4</v>
      </c>
      <c r="AJ25" s="12">
        <v>0</v>
      </c>
      <c r="AK25" s="79">
        <f>(((1-$W$25)^AB31))*V31</f>
        <v>1.5767378945121444E-4</v>
      </c>
      <c r="AL25" s="12">
        <v>0</v>
      </c>
      <c r="AM25" s="79">
        <f>(((1-$W$25)^AB32))*V32</f>
        <v>6.5196625151425978E-5</v>
      </c>
      <c r="AN25" s="12">
        <v>0</v>
      </c>
      <c r="AO25" s="79">
        <f>(((1-$W$25)^AB33))*V33</f>
        <v>1.7704970590420184E-5</v>
      </c>
      <c r="AP25" s="12">
        <v>0</v>
      </c>
      <c r="AQ25" s="79">
        <f>(((1-$W$25)^AB34))*V34</f>
        <v>2.8546741131611319E-6</v>
      </c>
      <c r="AR25" s="12">
        <v>0</v>
      </c>
      <c r="AS25" s="79">
        <f>(((1-$W$25)^AB35))*V35</f>
        <v>2.0973629161692235E-7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2.8336257621890246E-4</v>
      </c>
      <c r="BP25">
        <f>BP19+1</f>
        <v>7</v>
      </c>
      <c r="BQ25">
        <v>1</v>
      </c>
      <c r="BR25" s="107">
        <f t="shared" si="12"/>
        <v>5.619680850665703E-2</v>
      </c>
    </row>
    <row r="26" spans="1:70" x14ac:dyDescent="0.25">
      <c r="A26" s="40" t="s">
        <v>24</v>
      </c>
      <c r="B26" s="119">
        <f>1/(1+EXP(-3.1416*4*((B10/(B10+C9))-(3.1416/6))))</f>
        <v>0.85259366322658259</v>
      </c>
      <c r="C26" s="120">
        <f>1/(1+EXP(-3.1416*4*((C10/(C10+B9))-(3.1416/6))))</f>
        <v>0.29784791123106685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0.217</v>
      </c>
      <c r="G26" s="87">
        <v>1</v>
      </c>
      <c r="H26" s="128">
        <f>L25*J26+L26*J25</f>
        <v>5.5034985021548844E-3</v>
      </c>
      <c r="I26" s="93">
        <v>1</v>
      </c>
      <c r="J26" s="86">
        <f t="shared" si="13"/>
        <v>1.1595357003338086E-2</v>
      </c>
      <c r="K26" s="93">
        <v>1</v>
      </c>
      <c r="L26" s="86">
        <f>T20</f>
        <v>0.42868694271244517</v>
      </c>
      <c r="M26" s="85">
        <v>1</v>
      </c>
      <c r="N26" s="71">
        <f>(($B$24)^M26)*((1-($B$24))^($B$21-M26))*HLOOKUP($B$21,$AV$24:$BF$34,M26+1)</f>
        <v>2.7238433020355463E-2</v>
      </c>
      <c r="O26" s="72">
        <v>1</v>
      </c>
      <c r="P26" s="71">
        <f t="shared" ref="P26:P30" si="14">N26</f>
        <v>2.7238433020355463E-2</v>
      </c>
      <c r="Q26" s="28">
        <v>1</v>
      </c>
      <c r="R26" s="37">
        <f>N26*P25+P26*N25</f>
        <v>1.2517632839294981E-4</v>
      </c>
      <c r="S26" s="72">
        <v>1</v>
      </c>
      <c r="T26" s="135">
        <f t="shared" ref="T26:T35" si="15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1.2457684591603757E-4</v>
      </c>
      <c r="W26" s="137"/>
      <c r="X26" s="28">
        <v>1</v>
      </c>
      <c r="Y26" s="73"/>
      <c r="Z26" s="28">
        <v>1</v>
      </c>
      <c r="AA26" s="79">
        <f>(1-((1-W25)^Z26))*V26</f>
        <v>8.6598655786318356E-5</v>
      </c>
      <c r="AB26" s="28">
        <v>1</v>
      </c>
      <c r="AC26" s="79">
        <f>((($W$25)^M26)*((1-($W$25))^($U$27-M26))*HLOOKUP($U$27,$AV$24:$BF$34,M26+1))*V27</f>
        <v>5.6346258590805431E-4</v>
      </c>
      <c r="AD26" s="28">
        <v>1</v>
      </c>
      <c r="AE26" s="79">
        <f>((($W$25)^M26)*((1-($W$25))^($U$28-M26))*HLOOKUP($U$28,$AV$24:$BF$34,M26+1))*V28</f>
        <v>1.6295383111715742E-3</v>
      </c>
      <c r="AF26" s="28">
        <v>1</v>
      </c>
      <c r="AG26" s="79">
        <f>((($W$25)^M26)*((1-($W$25))^($U$29-M26))*HLOOKUP($U$29,$AV$24:$BF$34,M26+1))*V29</f>
        <v>2.7492925137966302E-3</v>
      </c>
      <c r="AH26" s="28">
        <v>1</v>
      </c>
      <c r="AI26" s="79">
        <f>((($W$25)^M26)*((1-($W$25))^($U$30-M26))*HLOOKUP($U$30,$AV$24:$BF$34,M26+1))*V30</f>
        <v>2.9823038679649737E-3</v>
      </c>
      <c r="AJ26" s="28">
        <v>1</v>
      </c>
      <c r="AK26" s="79">
        <f>((($W$25)^M26)*((1-($W$25))^($U$31-M26))*HLOOKUP($U$31,$AV$24:$BF$34,M26+1))*V31</f>
        <v>2.1571862438792477E-3</v>
      </c>
      <c r="AL26" s="28">
        <v>1</v>
      </c>
      <c r="AM26" s="79">
        <f>((($W$25)^Q26)*((1-($W$25))^($U$32-Q26))*HLOOKUP($U$32,$AV$24:$BF$34,Q26+1))*V32</f>
        <v>1.0406388657393858E-3</v>
      </c>
      <c r="AN26" s="28">
        <v>1</v>
      </c>
      <c r="AO26" s="79">
        <f>((($W$25)^Q26)*((1-($W$25))^($U$33-Q26))*HLOOKUP($U$33,$AV$24:$BF$34,Q26+1))*V33</f>
        <v>3.2296992534499647E-4</v>
      </c>
      <c r="AP26" s="28">
        <v>1</v>
      </c>
      <c r="AQ26" s="79">
        <f>((($W$25)^Q26)*((1-($W$25))^($U$34-Q26))*HLOOKUP($U$34,$AV$24:$BF$34,Q26+1))*V34</f>
        <v>5.8583583382208926E-5</v>
      </c>
      <c r="AR26" s="28">
        <v>1</v>
      </c>
      <c r="AS26" s="79">
        <f>((($W$25)^Q26)*((1-($W$25))^($U$35-Q26))*HLOOKUP($U$35,$AV$24:$BF$34,Q26+1))*V35</f>
        <v>4.7824503646948884E-6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5.2042989796986615E-5</v>
      </c>
      <c r="BP26">
        <f>BP20+1</f>
        <v>7</v>
      </c>
      <c r="BQ26">
        <v>2</v>
      </c>
      <c r="BR26" s="107">
        <f t="shared" si="12"/>
        <v>4.418576893878369E-2</v>
      </c>
    </row>
    <row r="27" spans="1:70" x14ac:dyDescent="0.25">
      <c r="A27" s="26" t="s">
        <v>25</v>
      </c>
      <c r="B27" s="119">
        <f>1/(1+EXP(-3.1416*4*((B12/(B12+C7))-(3.1416/6))))</f>
        <v>0.80139940835157331</v>
      </c>
      <c r="C27" s="120">
        <f>1/(1+EXP(-3.1416*4*((C12/(C12+B7))-(3.1416/6))))</f>
        <v>9.7521326618406512E-2</v>
      </c>
      <c r="D27" s="153">
        <f>D26</f>
        <v>0.25700000000000001</v>
      </c>
      <c r="E27" s="153">
        <f>E26</f>
        <v>0.217</v>
      </c>
      <c r="G27" s="87">
        <v>2</v>
      </c>
      <c r="H27" s="128">
        <f>L25*J27+J26*L26+J25*L27</f>
        <v>2.6589430130585307E-2</v>
      </c>
      <c r="I27" s="93">
        <v>2</v>
      </c>
      <c r="J27" s="86">
        <f t="shared" si="13"/>
        <v>4.9938996219677123E-2</v>
      </c>
      <c r="K27" s="93">
        <v>2</v>
      </c>
      <c r="L27" s="86">
        <f>U20</f>
        <v>0.12640981040419971</v>
      </c>
      <c r="M27" s="85">
        <v>2</v>
      </c>
      <c r="N27" s="71">
        <f>(($B$24)^M27)*((1-($B$24))^($B$21-M27))*HLOOKUP($B$21,$AV$24:$BF$34,M27+1)</f>
        <v>0.12915586647845129</v>
      </c>
      <c r="O27" s="72">
        <v>2</v>
      </c>
      <c r="P27" s="71">
        <f t="shared" si="14"/>
        <v>0.12915586647845129</v>
      </c>
      <c r="Q27" s="28">
        <v>2</v>
      </c>
      <c r="R27" s="37">
        <f>P25*N27+P26*N26+P27*N25</f>
        <v>1.3354780201279037E-3</v>
      </c>
      <c r="S27" s="72">
        <v>2</v>
      </c>
      <c r="T27" s="135">
        <f t="shared" si="15"/>
        <v>0</v>
      </c>
      <c r="U27" s="93">
        <v>2</v>
      </c>
      <c r="V27" s="86">
        <f>R27*T25+T26*R26+R25*T27</f>
        <v>1.3294265116692288E-3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6.4240952977030633E-4</v>
      </c>
      <c r="AD27" s="28">
        <v>2</v>
      </c>
      <c r="AE27" s="79">
        <f>((($W$25)^M27)*((1-($W$25))^($U$28-M27))*HLOOKUP($U$28,$AV$24:$BF$34,M27+1))*V28</f>
        <v>3.7157070102015674E-3</v>
      </c>
      <c r="AF27" s="28">
        <v>2</v>
      </c>
      <c r="AG27" s="79">
        <f>((($W$25)^M27)*((1-($W$25))^($U$29-M27))*HLOOKUP($U$29,$AV$24:$BF$34,M27+1))*V29</f>
        <v>9.4034906051986937E-3</v>
      </c>
      <c r="AH27" s="28">
        <v>2</v>
      </c>
      <c r="AI27" s="79">
        <f>((($W$25)^M27)*((1-($W$25))^($U$30-M27))*HLOOKUP($U$30,$AV$24:$BF$34,M27+1))*V30</f>
        <v>1.3600622106002077E-2</v>
      </c>
      <c r="AJ27" s="28">
        <v>2</v>
      </c>
      <c r="AK27" s="79">
        <f>((($W$25)^M27)*((1-($W$25))^($U$31-M27))*HLOOKUP($U$31,$AV$24:$BF$34,M27+1))*V31</f>
        <v>1.2297151889190165E-2</v>
      </c>
      <c r="AL27" s="28">
        <v>2</v>
      </c>
      <c r="AM27" s="79">
        <f>((($W$25)^Q27)*((1-($W$25))^($U$32-Q27))*HLOOKUP($U$32,$AV$24:$BF$34,Q27+1))*V32</f>
        <v>7.1186588900804034E-3</v>
      </c>
      <c r="AN27" s="28">
        <v>2</v>
      </c>
      <c r="AO27" s="79">
        <f>((($W$25)^Q27)*((1-($W$25))^($U$33-Q27))*HLOOKUP($U$33,$AV$24:$BF$34,Q27+1))*V33</f>
        <v>2.5775494973730262E-3</v>
      </c>
      <c r="AP27" s="28">
        <v>2</v>
      </c>
      <c r="AQ27" s="79">
        <f>((($W$25)^Q27)*((1-($W$25))^($U$34-Q27))*HLOOKUP($U$34,$AV$24:$BF$34,Q27+1))*V34</f>
        <v>5.343340011429343E-4</v>
      </c>
      <c r="AR27" s="28">
        <v>2</v>
      </c>
      <c r="AS27" s="79">
        <f>((($W$25)^Q27)*((1-($W$25))^($U$35-Q27))*HLOOKUP($U$35,$AV$24:$BF$34,Q27+1))*V35</f>
        <v>4.9072690717948183E-5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7.2854496815395124E-6</v>
      </c>
      <c r="BP27">
        <f>BP21+1</f>
        <v>7</v>
      </c>
      <c r="BQ27">
        <v>3</v>
      </c>
      <c r="BR27" s="107">
        <f t="shared" si="12"/>
        <v>2.1432238099210466E-2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7.7682277538355909E-2</v>
      </c>
      <c r="I28" s="93">
        <v>3</v>
      </c>
      <c r="J28" s="86">
        <f t="shared" si="13"/>
        <v>0.12746788974408424</v>
      </c>
      <c r="K28" s="93">
        <v>3</v>
      </c>
      <c r="L28" s="86">
        <f>V20</f>
        <v>1.506906072315492E-2</v>
      </c>
      <c r="M28" s="85">
        <v>3</v>
      </c>
      <c r="N28" s="71">
        <f>(($B$24)^M28)*((1-($B$24))^($B$21-M28))*HLOOKUP($B$21,$AV$24:$BF$34,M28+1)</f>
        <v>0.30620773657085065</v>
      </c>
      <c r="O28" s="72">
        <v>3</v>
      </c>
      <c r="P28" s="71">
        <f t="shared" si="14"/>
        <v>0.30620773657085065</v>
      </c>
      <c r="Q28" s="28">
        <v>3</v>
      </c>
      <c r="R28" s="37">
        <f>P25*N28+P26*N27+P27*N26+P28*N25</f>
        <v>8.4432082038222445E-3</v>
      </c>
      <c r="S28" s="72">
        <v>3</v>
      </c>
      <c r="T28" s="135">
        <f t="shared" si="15"/>
        <v>0</v>
      </c>
      <c r="U28" s="93">
        <v>3</v>
      </c>
      <c r="V28" s="86">
        <f>R28*T25+R27*T26+R26*T27+R25*T28</f>
        <v>8.4076695529037727E-3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2.8242106963689111E-3</v>
      </c>
      <c r="AF28" s="28">
        <v>3</v>
      </c>
      <c r="AG28" s="79">
        <f>((($W$25)^M28)*((1-($W$25))^($U$29-M28))*HLOOKUP($U$29,$AV$24:$BF$34,M28+1))*V29</f>
        <v>1.4294689370013618E-2</v>
      </c>
      <c r="AH28" s="28">
        <v>3</v>
      </c>
      <c r="AI28" s="79">
        <f>((($W$25)^M28)*((1-($W$25))^($U$30-M28))*HLOOKUP($U$30,$AV$24:$BF$34,M28+1))*V30</f>
        <v>3.1012420239473218E-2</v>
      </c>
      <c r="AJ28" s="28">
        <v>3</v>
      </c>
      <c r="AK28" s="79">
        <f>((($W$25)^M28)*((1-($W$25))^($U$31-M28))*HLOOKUP($U$31,$AV$24:$BF$34,M28+1))*V31</f>
        <v>3.7386960602622997E-2</v>
      </c>
      <c r="AL28" s="28">
        <v>3</v>
      </c>
      <c r="AM28" s="79">
        <f>((($W$25)^Q28)*((1-($W$25))^($U$32-Q28))*HLOOKUP($U$32,$AV$24:$BF$34,Q28+1))*V32</f>
        <v>2.7053522419783156E-2</v>
      </c>
      <c r="AN28" s="28">
        <v>3</v>
      </c>
      <c r="AO28" s="79">
        <f>((($W$25)^Q28)*((1-($W$25))^($U$33-Q28))*HLOOKUP($U$33,$AV$24:$BF$34,Q28+1))*V33</f>
        <v>1.1754763506780879E-2</v>
      </c>
      <c r="AP28" s="28">
        <v>3</v>
      </c>
      <c r="AQ28" s="79">
        <f>((($W$25)^Q28)*((1-($W$25))^($U$34-Q28))*HLOOKUP($U$34,$AV$24:$BF$34,Q28+1))*V34</f>
        <v>2.8429320668254916E-3</v>
      </c>
      <c r="AR28" s="28">
        <v>3</v>
      </c>
      <c r="AS28" s="79">
        <f>((($W$25)^Q28)*((1-($W$25))^($U$35-Q28))*HLOOKUP($U$35,$AV$24:$BF$34,Q28+1))*V35</f>
        <v>2.9839084221597843E-4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7.7774882208300918E-7</v>
      </c>
      <c r="BP28">
        <f>BP22+1</f>
        <v>7</v>
      </c>
      <c r="BQ28">
        <v>4</v>
      </c>
      <c r="BR28" s="107">
        <f t="shared" si="12"/>
        <v>7.1710974029300396E-3</v>
      </c>
    </row>
    <row r="29" spans="1:70" x14ac:dyDescent="0.25">
      <c r="A29" s="26" t="s">
        <v>27</v>
      </c>
      <c r="B29" s="123">
        <f>1/(1+EXP(-3.1416*4*((B14/(B14+C13))-(3.1416/6))))</f>
        <v>0.61240122866226954</v>
      </c>
      <c r="C29" s="118">
        <f>1/(1+EXP(-3.1416*4*((C14/(C14+B13))-(3.1416/6))))</f>
        <v>0.21481080457929463</v>
      </c>
      <c r="D29" s="153">
        <v>0.04</v>
      </c>
      <c r="E29" s="153">
        <v>0.04</v>
      </c>
      <c r="G29" s="87">
        <v>4</v>
      </c>
      <c r="H29" s="128">
        <f>J29*L25+J28*L26+J27*L27+J26*L28</f>
        <v>0.15292285879760939</v>
      </c>
      <c r="I29" s="93">
        <v>4</v>
      </c>
      <c r="J29" s="86">
        <f t="shared" si="13"/>
        <v>0.21355101949081495</v>
      </c>
      <c r="K29" s="93">
        <v>4</v>
      </c>
      <c r="L29" s="86"/>
      <c r="M29" s="85">
        <v>4</v>
      </c>
      <c r="N29" s="71">
        <f>(($B$24)^M29)*((1-($B$24))^($B$21-M29))*HLOOKUP($B$21,$AV$24:$BF$34,M29+1)</f>
        <v>0.36298458789515065</v>
      </c>
      <c r="O29" s="72">
        <v>4</v>
      </c>
      <c r="P29" s="71">
        <f t="shared" si="14"/>
        <v>0.36298458789515065</v>
      </c>
      <c r="Q29" s="28">
        <v>4</v>
      </c>
      <c r="R29" s="37">
        <f>P25*N29+P26*N28+P27*N27+P28*N26+P29*N25</f>
        <v>3.5030599476179022E-2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3.4897662519817234E-2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8.1487616978188626E-3</v>
      </c>
      <c r="AH29" s="28">
        <v>4</v>
      </c>
      <c r="AI29" s="79">
        <f>((($W$25)^M29)*((1-($W$25))^($U$30-M29))*HLOOKUP($U$30,$AV$24:$BF$34,M29+1))*V30</f>
        <v>3.5357581499351046E-2</v>
      </c>
      <c r="AJ29" s="28">
        <v>4</v>
      </c>
      <c r="AK29" s="79">
        <f>((($W$25)^M29)*((1-($W$25))^($U$31-M29))*HLOOKUP($U$31,$AV$24:$BF$34,M29+1))*V31</f>
        <v>6.3937891479252232E-2</v>
      </c>
      <c r="AL29" s="28">
        <v>4</v>
      </c>
      <c r="AM29" s="79">
        <f>((($W$25)^Q29)*((1-($W$25))^($U$32-Q29))*HLOOKUP($U$32,$AV$24:$BF$34,Q29+1))*V32</f>
        <v>6.1688002188522634E-2</v>
      </c>
      <c r="AN29" s="28">
        <v>4</v>
      </c>
      <c r="AO29" s="79">
        <f>((($W$25)^Q29)*((1-($W$25))^($U$33-Q29))*HLOOKUP($U$33,$AV$24:$BF$34,Q29+1))*V33</f>
        <v>3.3504319034700261E-2</v>
      </c>
      <c r="AP29" s="28">
        <v>4</v>
      </c>
      <c r="AQ29" s="79">
        <f>((($W$25)^Q29)*((1-($W$25))^($U$34-Q29))*HLOOKUP($U$34,$AV$24:$BF$34,Q29+1))*V34</f>
        <v>9.7237688777954221E-3</v>
      </c>
      <c r="AR29" s="28">
        <v>4</v>
      </c>
      <c r="AS29" s="79">
        <f>((($W$25)^Q29)*((1-($W$25))^($U$35-Q29))*HLOOKUP($U$35,$AV$24:$BF$34,Q29+1))*V35</f>
        <v>1.1906947133745321E-3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6.255072098438591E-8</v>
      </c>
      <c r="BP29">
        <f>BP23+1</f>
        <v>7</v>
      </c>
      <c r="BQ29">
        <v>5</v>
      </c>
      <c r="BR29" s="107">
        <f t="shared" si="12"/>
        <v>1.7512800702771472E-3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0.21388805158767471</v>
      </c>
      <c r="I30" s="93">
        <v>5</v>
      </c>
      <c r="J30" s="86">
        <f t="shared" si="13"/>
        <v>0.24538716505917829</v>
      </c>
      <c r="K30" s="93">
        <v>5</v>
      </c>
      <c r="L30" s="86"/>
      <c r="M30" s="85">
        <v>5</v>
      </c>
      <c r="N30" s="71">
        <f>(($B$24)^M30)*((1-($B$24))^($B$21-M30))*HLOOKUP($B$21,$AV$24:$BF$34,M30+1)</f>
        <v>0.1721155873132893</v>
      </c>
      <c r="O30" s="72">
        <v>5</v>
      </c>
      <c r="P30" s="71">
        <f t="shared" si="14"/>
        <v>0.1721155873132893</v>
      </c>
      <c r="Q30" s="28">
        <v>5</v>
      </c>
      <c r="R30" s="37">
        <f>P25*N30+P26*N29+P27*N28+P28*N27+P29*N26+P30*N25</f>
        <v>9.9662284358818187E-2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9.9339125934404998E-2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1.6124617941195383E-2</v>
      </c>
      <c r="AJ30" s="28">
        <v>5</v>
      </c>
      <c r="AK30" s="79">
        <f>((($W$25)^M30)*((1-($W$25))^($U$31-M30))*HLOOKUP($U$31,$AV$24:$BF$34,M30+1))*V31</f>
        <v>5.831700180553788E-2</v>
      </c>
      <c r="AL30" s="28">
        <v>5</v>
      </c>
      <c r="AM30" s="79">
        <f>((($W$25)^Q30)*((1-($W$25))^($U$32-Q30))*HLOOKUP($U$32,$AV$24:$BF$34,Q30+1))*V32</f>
        <v>8.4397356210334298E-2</v>
      </c>
      <c r="AN30" s="28">
        <v>5</v>
      </c>
      <c r="AO30" s="79">
        <f>((($W$25)^Q30)*((1-($W$25))^($U$33-Q30))*HLOOKUP($U$33,$AV$24:$BF$34,Q30+1))*V33</f>
        <v>6.1117793797562471E-2</v>
      </c>
      <c r="AP30" s="28">
        <v>5</v>
      </c>
      <c r="AQ30" s="79">
        <f>((($W$25)^Q30)*((1-($W$25))^($U$34-Q30))*HLOOKUP($U$34,$AV$24:$BF$34,Q30+1))*V34</f>
        <v>2.2172339206206045E-2</v>
      </c>
      <c r="AR30" s="28">
        <v>5</v>
      </c>
      <c r="AS30" s="79">
        <f>((($W$25)^Q30)*((1-($W$25))^($U$35-Q30))*HLOOKUP($U$35,$AV$24:$BF$34,Q30+1))*V35</f>
        <v>3.2580560983422229E-3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3.6862450977276855E-9</v>
      </c>
      <c r="BP30">
        <f>BL10+1</f>
        <v>7</v>
      </c>
      <c r="BQ30">
        <v>6</v>
      </c>
      <c r="BR30" s="107">
        <f t="shared" si="12"/>
        <v>3.2164392364463445E-4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0.69514246527548307</v>
      </c>
      <c r="C31" s="61">
        <f>(C25*E25)+(C26*E26)+(C27*E27)+(C28*E28)+(C29*E29)+(C30*E30)/(C25+C26+C27+C28+C29+C30)</f>
        <v>0.39703714258654765</v>
      </c>
      <c r="G31" s="87">
        <v>6</v>
      </c>
      <c r="H31" s="128">
        <f>J31*L25+J30*L26+J29*L27+J28*L28</f>
        <v>0.21830938044693762</v>
      </c>
      <c r="I31" s="93">
        <v>6</v>
      </c>
      <c r="J31" s="86">
        <f t="shared" si="13"/>
        <v>0.19588795943094101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0.19690267366527128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0.19641647171873902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2.2162605908805314E-2</v>
      </c>
      <c r="AL31" s="28">
        <v>6</v>
      </c>
      <c r="AM31" s="79">
        <f>((($W$25)^Q31)*((1-($W$25))^($U$32-Q31))*HLOOKUP($U$32,$AV$24:$BF$34,Q31+1))*V32</f>
        <v>6.4148199925363067E-2</v>
      </c>
      <c r="AN31" s="28">
        <v>6</v>
      </c>
      <c r="AO31" s="79">
        <f>((($W$25)^Q31)*((1-($W$25))^($U$33-Q31))*HLOOKUP($U$33,$AV$24:$BF$34,Q31+1))*V33</f>
        <v>6.9681029683304516E-2</v>
      </c>
      <c r="AP31" s="28">
        <v>6</v>
      </c>
      <c r="AQ31" s="79">
        <f>((($W$25)^Q31)*((1-($W$25))^($U$34-Q31))*HLOOKUP($U$34,$AV$24:$BF$34,Q31+1))*V34</f>
        <v>3.3705218079769929E-2</v>
      </c>
      <c r="AR31" s="28">
        <v>6</v>
      </c>
      <c r="AS31" s="79">
        <f>((($W$25)^Q31)*((1-($W$25))^($U$35-Q31))*HLOOKUP($U$35,$AV$24:$BF$34,Q31+1))*V35</f>
        <v>6.1909058336981964E-3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3.3898886181991947E-3</v>
      </c>
      <c r="BP31">
        <f t="shared" ref="BP31:BP37" si="19">BP24+1</f>
        <v>8</v>
      </c>
      <c r="BQ31">
        <v>0</v>
      </c>
      <c r="BR31" s="107">
        <f t="shared" ref="BR31:BR38" si="20">$H$33*H39</f>
        <v>1.8408386080176892E-2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0.16433200067939829</v>
      </c>
      <c r="I32" s="93">
        <v>7</v>
      </c>
      <c r="J32" s="86">
        <f t="shared" si="13"/>
        <v>0.10729726352809488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0.26675685376674496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0.26640758286623756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2.0896007741263201E-2</v>
      </c>
      <c r="AN32" s="28">
        <v>7</v>
      </c>
      <c r="AO32" s="79">
        <f>((($W$25)^Q32)*((1-($W$25))^($U$33-Q32))*HLOOKUP($U$33,$AV$24:$BF$34,Q32+1))*V33</f>
        <v>4.5396607773114557E-2</v>
      </c>
      <c r="AP32" s="28">
        <v>7</v>
      </c>
      <c r="AQ32" s="79">
        <f>((($W$25)^Q32)*((1-($W$25))^($U$34-Q32))*HLOOKUP($U$34,$AV$24:$BF$34,Q32+1))*V34</f>
        <v>3.2938001318913113E-2</v>
      </c>
      <c r="AR32" s="28">
        <v>7</v>
      </c>
      <c r="AS32" s="79">
        <f>((($W$25)^Q32)*((1-($W$25))^($U$35-Q32))*HLOOKUP($U$35,$AV$24:$BF$34,Q32+1))*V35</f>
        <v>8.0666466948039958E-3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8.2785716661524264E-4</v>
      </c>
      <c r="BP32">
        <f t="shared" si="19"/>
        <v>8</v>
      </c>
      <c r="BQ32">
        <v>1</v>
      </c>
      <c r="BR32" s="107">
        <f t="shared" si="20"/>
        <v>3.1137917645169419E-2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9.1054215347743078E-2</v>
      </c>
      <c r="I33" s="93">
        <v>8</v>
      </c>
      <c r="J33" s="86">
        <f t="shared" si="13"/>
        <v>3.8613414464889161E-2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0.23716405988894221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0.23731202385833122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1.2939285669560145E-2</v>
      </c>
      <c r="AP33" s="28">
        <v>8</v>
      </c>
      <c r="AQ33" s="79">
        <f>((($W$25)^Q33)*((1-($W$25))^($U$34-Q33))*HLOOKUP($U$34,$AV$24:$BF$34,Q33+1))*V34</f>
        <v>1.8776478215280772E-2</v>
      </c>
      <c r="AR33" s="28">
        <v>8</v>
      </c>
      <c r="AS33" s="79">
        <f>((($W$25)^Q33)*((1-($W$25))^($U$35-Q33))*HLOOKUP($U$35,$AV$24:$BF$34,Q33+1))*V35</f>
        <v>6.8976505800482438E-3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1.5204605580038225E-4</v>
      </c>
      <c r="BP33">
        <f t="shared" si="19"/>
        <v>8</v>
      </c>
      <c r="BQ33">
        <v>2</v>
      </c>
      <c r="BR33" s="107">
        <f t="shared" si="20"/>
        <v>2.4482757488645448E-2</v>
      </c>
    </row>
    <row r="34" spans="1:70" x14ac:dyDescent="0.25">
      <c r="A34" s="40" t="s">
        <v>86</v>
      </c>
      <c r="B34" s="56">
        <f>B23*2</f>
        <v>7.0333793276737175</v>
      </c>
      <c r="C34" s="57">
        <f>C23*2</f>
        <v>2.9666206723262825</v>
      </c>
      <c r="G34" s="87">
        <v>9</v>
      </c>
      <c r="H34" s="128">
        <f>J34*L25+J33*L26+J32*L27+J31*L28</f>
        <v>3.6615468517024352E-2</v>
      </c>
      <c r="I34" s="93">
        <v>9</v>
      </c>
      <c r="J34" s="86">
        <f t="shared" si="13"/>
        <v>8.2523162222020423E-3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0.12495061106249226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0.12551167830662452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4.757168283195461E-3</v>
      </c>
      <c r="AR34" s="28">
        <v>9</v>
      </c>
      <c r="AS34" s="79">
        <f>((($W$25)^Q34)*((1-($W$25))^($U$35-Q34))*HLOOKUP($U$35,$AV$24:$BF$34,Q34+1))*V35</f>
        <v>3.4951479390065809E-3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2.1284785772902947E-5</v>
      </c>
      <c r="BP34">
        <f t="shared" si="19"/>
        <v>8</v>
      </c>
      <c r="BQ34">
        <v>3</v>
      </c>
      <c r="BR34" s="107">
        <f t="shared" si="20"/>
        <v>1.1875323218859013E-2</v>
      </c>
    </row>
    <row r="35" spans="1:70" ht="15.75" thickBot="1" x14ac:dyDescent="0.3">
      <c r="G35" s="88">
        <v>10</v>
      </c>
      <c r="H35" s="129">
        <f>J35*L25+J34*L26+J33*L27+J32*L28</f>
        <v>1.0378208919128277E-2</v>
      </c>
      <c r="I35" s="94">
        <v>10</v>
      </c>
      <c r="J35" s="89">
        <f t="shared" si="13"/>
        <v>7.9697087264681801E-4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2.9623775396198513E-2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3.0248528451510825E-2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7.9697087264681801E-4</v>
      </c>
      <c r="BH35">
        <f t="shared" si="17"/>
        <v>3</v>
      </c>
      <c r="BI35">
        <v>8</v>
      </c>
      <c r="BJ35" s="107">
        <f t="shared" si="18"/>
        <v>2.2722299633900337E-6</v>
      </c>
      <c r="BP35">
        <f t="shared" si="19"/>
        <v>8</v>
      </c>
      <c r="BQ35">
        <v>4</v>
      </c>
      <c r="BR35" s="107">
        <f t="shared" si="20"/>
        <v>3.9734114141281307E-3</v>
      </c>
    </row>
    <row r="36" spans="1:70" x14ac:dyDescent="0.25">
      <c r="A36" s="1"/>
      <c r="B36" s="108">
        <f>SUM(B37:B39)</f>
        <v>0.98741798494613109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7"/>
        <v>3</v>
      </c>
      <c r="BI36">
        <v>9</v>
      </c>
      <c r="BJ36" s="107">
        <f t="shared" si="18"/>
        <v>1.8274488937406823E-7</v>
      </c>
      <c r="BP36">
        <f t="shared" si="19"/>
        <v>8</v>
      </c>
      <c r="BQ36">
        <v>5</v>
      </c>
      <c r="BR36" s="107">
        <f t="shared" si="20"/>
        <v>9.7036141466034674E-4</v>
      </c>
    </row>
    <row r="37" spans="1:70" ht="15.75" thickBot="1" x14ac:dyDescent="0.3">
      <c r="A37" s="109" t="s">
        <v>104</v>
      </c>
      <c r="B37" s="107">
        <f>SUM(BN4:BN14)</f>
        <v>2.8695769153814762E-2</v>
      </c>
      <c r="G37" s="13"/>
      <c r="H37" s="59">
        <f>SUM(H39:H49)</f>
        <v>0.99999999416992724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0.99999343814616337</v>
      </c>
      <c r="W37" s="13"/>
      <c r="X37" s="13"/>
      <c r="Y37" s="80">
        <f>SUM(Y39:Y49)</f>
        <v>2.9328278236621434E-2</v>
      </c>
      <c r="Z37" s="81"/>
      <c r="AA37" s="80">
        <f>SUM(AA39:AA49)</f>
        <v>0.12399898528233608</v>
      </c>
      <c r="AB37" s="81"/>
      <c r="AC37" s="80">
        <f>SUM(AC39:AC49)</f>
        <v>0.2360423475660067</v>
      </c>
      <c r="AD37" s="81"/>
      <c r="AE37" s="80">
        <f>SUM(AE39:AE49)</f>
        <v>0.26645886031159322</v>
      </c>
      <c r="AF37" s="81"/>
      <c r="AG37" s="80">
        <f>SUM(AG39:AG49)</f>
        <v>0.1975987292919365</v>
      </c>
      <c r="AH37" s="81"/>
      <c r="AI37" s="80">
        <f>SUM(AI39:AI49)</f>
        <v>0.10063400359665259</v>
      </c>
      <c r="AJ37" s="81"/>
      <c r="AK37" s="80">
        <f>SUM(AK39:AK49)</f>
        <v>3.5677731542616005E-2</v>
      </c>
      <c r="AL37" s="81"/>
      <c r="AM37" s="80">
        <f>SUM(AM39:AM49)</f>
        <v>8.7100332238860684E-3</v>
      </c>
      <c r="AN37" s="81"/>
      <c r="AO37" s="80">
        <f>SUM(AO39:AO49)</f>
        <v>1.4070423134920633E-3</v>
      </c>
      <c r="AP37" s="81"/>
      <c r="AQ37" s="80">
        <f>SUM(AQ39:AQ49)</f>
        <v>1.3742678102259833E-4</v>
      </c>
      <c r="AR37" s="81"/>
      <c r="AS37" s="80">
        <f>SUM(AS39:AS49)</f>
        <v>6.5618538366285497E-6</v>
      </c>
      <c r="BH37">
        <f t="shared" si="17"/>
        <v>3</v>
      </c>
      <c r="BI37">
        <v>10</v>
      </c>
      <c r="BJ37" s="107">
        <f t="shared" si="18"/>
        <v>1.0769539375223251E-8</v>
      </c>
      <c r="BP37">
        <f t="shared" si="19"/>
        <v>8</v>
      </c>
      <c r="BQ37">
        <v>6</v>
      </c>
      <c r="BR37" s="107">
        <f t="shared" si="20"/>
        <v>1.7821869731853867E-4</v>
      </c>
    </row>
    <row r="38" spans="1:70" ht="15.75" thickBot="1" x14ac:dyDescent="0.3">
      <c r="A38" s="110" t="s">
        <v>105</v>
      </c>
      <c r="B38" s="107">
        <f>SUM(BJ4:BJ59)</f>
        <v>5.895701160746393E-2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1.6296932660397781E-3</v>
      </c>
      <c r="BP38">
        <f>BL11+1</f>
        <v>8</v>
      </c>
      <c r="BQ38">
        <v>7</v>
      </c>
      <c r="BR38" s="107">
        <f t="shared" si="20"/>
        <v>2.4948669488218263E-5</v>
      </c>
    </row>
    <row r="39" spans="1:70" x14ac:dyDescent="0.25">
      <c r="A39" s="111" t="s">
        <v>0</v>
      </c>
      <c r="B39" s="107">
        <f>SUM(BR4:BR47)</f>
        <v>0.8997652041848524</v>
      </c>
      <c r="G39" s="130">
        <v>0</v>
      </c>
      <c r="H39" s="131">
        <f>L39*J39</f>
        <v>0.2021695097791337</v>
      </c>
      <c r="I39" s="97">
        <v>0</v>
      </c>
      <c r="J39" s="98">
        <f t="shared" ref="J39:J49" si="35">Y39+AA39+AC39+AE39+AG39+AI39+AK39+AM39+AO39+AQ39+AS39</f>
        <v>0.28445535999654831</v>
      </c>
      <c r="K39" s="102">
        <v>0</v>
      </c>
      <c r="L39" s="98">
        <f>AC20</f>
        <v>0.71072490875751793</v>
      </c>
      <c r="M39" s="84">
        <v>0</v>
      </c>
      <c r="N39" s="71">
        <f>(1-$C$24)^$B$21</f>
        <v>0.1721155873132893</v>
      </c>
      <c r="O39" s="70">
        <v>0</v>
      </c>
      <c r="P39" s="71">
        <f>N39</f>
        <v>0.1721155873132893</v>
      </c>
      <c r="Q39" s="12">
        <v>0</v>
      </c>
      <c r="R39" s="73">
        <f>P39*N39</f>
        <v>2.9623775396198513E-2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2.9328278236621434E-2</v>
      </c>
      <c r="W39" s="136">
        <f>C31</f>
        <v>0.39703714258654765</v>
      </c>
      <c r="X39" s="12">
        <v>0</v>
      </c>
      <c r="Y39" s="79">
        <f>V39</f>
        <v>2.9328278236621434E-2</v>
      </c>
      <c r="Z39" s="12">
        <v>0</v>
      </c>
      <c r="AA39" s="78">
        <f>((1-W39)^Z40)*V40</f>
        <v>7.4766782482205987E-2</v>
      </c>
      <c r="AB39" s="12">
        <v>0</v>
      </c>
      <c r="AC39" s="79">
        <f>(((1-$W$39)^AB41))*V41</f>
        <v>8.581654901043749E-2</v>
      </c>
      <c r="AD39" s="12">
        <v>0</v>
      </c>
      <c r="AE39" s="79">
        <f>(((1-$W$39)^AB42))*V42</f>
        <v>5.8411969144122097E-2</v>
      </c>
      <c r="AF39" s="12">
        <v>0</v>
      </c>
      <c r="AG39" s="79">
        <f>(((1-$W$39)^AB43))*V43</f>
        <v>2.6118389183578092E-2</v>
      </c>
      <c r="AH39" s="12">
        <v>0</v>
      </c>
      <c r="AI39" s="79">
        <f>(((1-$W$39)^AB44))*V44</f>
        <v>8.020428152613307E-3</v>
      </c>
      <c r="AJ39" s="12">
        <v>0</v>
      </c>
      <c r="AK39" s="79">
        <f>(((1-$W$39)^AB45))*V45</f>
        <v>1.7145122622168334E-3</v>
      </c>
      <c r="AL39" s="12">
        <v>0</v>
      </c>
      <c r="AM39" s="79">
        <f>(((1-$W$39)^AB46))*V46</f>
        <v>2.5237930158931548E-4</v>
      </c>
      <c r="AN39" s="12">
        <v>0</v>
      </c>
      <c r="AO39" s="79">
        <f>(((1-$W$39)^AB47))*V47</f>
        <v>2.458281659254232E-5</v>
      </c>
      <c r="AP39" s="12">
        <v>0</v>
      </c>
      <c r="AQ39" s="79">
        <f>(((1-$W$39)^AB48))*V48</f>
        <v>1.4477261444145823E-6</v>
      </c>
      <c r="AR39" s="12">
        <v>0</v>
      </c>
      <c r="AS39" s="79">
        <f>(((1-$W$39)^AB49))*V49</f>
        <v>4.1680426672155236E-8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2.9931302555354241E-4</v>
      </c>
      <c r="BP39">
        <f t="shared" ref="BP39:BP46" si="36">BP31+1</f>
        <v>9</v>
      </c>
      <c r="BQ39">
        <v>0</v>
      </c>
      <c r="BR39" s="107">
        <f t="shared" ref="BR39:BR47" si="37">$H$34*H39</f>
        <v>7.402531320420117E-3</v>
      </c>
    </row>
    <row r="40" spans="1:70" x14ac:dyDescent="0.25">
      <c r="G40" s="91">
        <v>1</v>
      </c>
      <c r="H40" s="132">
        <f>L39*J40+L40*J39</f>
        <v>0.34197118196287024</v>
      </c>
      <c r="I40" s="93">
        <v>1</v>
      </c>
      <c r="J40" s="86">
        <f t="shared" si="35"/>
        <v>0.3809126656355809</v>
      </c>
      <c r="K40" s="95">
        <v>1</v>
      </c>
      <c r="L40" s="86">
        <f>AD20</f>
        <v>0.25046834215148417</v>
      </c>
      <c r="M40" s="85">
        <v>1</v>
      </c>
      <c r="N40" s="71">
        <f>(($C$24)^M26)*((1-($C$24))^($B$21-M26))*HLOOKUP($B$21,$AV$24:$BF$34,M26+1)</f>
        <v>0.36298458789515065</v>
      </c>
      <c r="O40" s="72">
        <v>1</v>
      </c>
      <c r="P40" s="71">
        <f t="shared" ref="P40:P44" si="38">N40</f>
        <v>0.36298458789515065</v>
      </c>
      <c r="Q40" s="28">
        <v>1</v>
      </c>
      <c r="R40" s="37">
        <f>P40*N39+P39*N40</f>
        <v>0.12495061106249226</v>
      </c>
      <c r="S40" s="72">
        <v>1</v>
      </c>
      <c r="T40" s="135">
        <f t="shared" ref="T40:T49" si="39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0.12399898528233609</v>
      </c>
      <c r="W40" s="137"/>
      <c r="X40" s="28">
        <v>1</v>
      </c>
      <c r="Y40" s="73"/>
      <c r="Z40" s="28">
        <v>1</v>
      </c>
      <c r="AA40" s="79">
        <f>(1-((1-W39)^Z40))*V40</f>
        <v>4.9232202800130097E-2</v>
      </c>
      <c r="AB40" s="28">
        <v>1</v>
      </c>
      <c r="AC40" s="79">
        <f>((($W$39)^M40)*((1-($W$39))^($U$27-M40))*HLOOKUP($U$27,$AV$24:$BF$34,M40+1))*V41</f>
        <v>0.11301643869708236</v>
      </c>
      <c r="AD40" s="28">
        <v>1</v>
      </c>
      <c r="AE40" s="79">
        <f>((($W$39)^M40)*((1-($W$39))^($U$28-M40))*HLOOKUP($U$28,$AV$24:$BF$34,M40+1))*V42</f>
        <v>0.11538880564545242</v>
      </c>
      <c r="AF40" s="28">
        <v>1</v>
      </c>
      <c r="AG40" s="79">
        <f>((($W$39)^M40)*((1-($W$39))^($U$29-M40))*HLOOKUP($U$29,$AV$24:$BF$34,M40+1))*V43</f>
        <v>6.8793428868209952E-2</v>
      </c>
      <c r="AH40" s="28">
        <v>1</v>
      </c>
      <c r="AI40" s="79">
        <f>((($W$39)^M40)*((1-($W$39))^($U$30-M40))*HLOOKUP($U$30,$AV$24:$BF$34,M40+1))*V44</f>
        <v>2.6406335289826471E-2</v>
      </c>
      <c r="AJ40" s="28">
        <v>1</v>
      </c>
      <c r="AK40" s="79">
        <f>((($W$39)^M40)*((1-($W$39))^($U$31-M40))*HLOOKUP($U$31,$AV$24:$BF$34,M40+1))*V45</f>
        <v>6.7738008185807249E-3</v>
      </c>
      <c r="AL40" s="28">
        <v>1</v>
      </c>
      <c r="AM40" s="79">
        <f>((($W$39)^Q40)*((1-($W$39))^($U$32-Q40))*HLOOKUP($U$32,$AV$24:$BF$34,Q40+1))*V46</f>
        <v>1.1633016671474716E-3</v>
      </c>
      <c r="AN40" s="28">
        <v>1</v>
      </c>
      <c r="AO40" s="79">
        <f>((($W$39)^Q40)*((1-($W$39))^($U$33-Q40))*HLOOKUP($U$33,$AV$24:$BF$34,Q40+1))*V47</f>
        <v>1.2949774450122763E-4</v>
      </c>
      <c r="AP40" s="28">
        <v>1</v>
      </c>
      <c r="AQ40" s="79">
        <f>((($W$39)^Q40)*((1-($W$39))^($U$34-Q40))*HLOOKUP($U$34,$AV$24:$BF$34,Q40+1))*V48</f>
        <v>8.579648648388591E-6</v>
      </c>
      <c r="AR40" s="28">
        <v>1</v>
      </c>
      <c r="AS40" s="79">
        <f>((($W$39)^Q40)*((1-($W$39))^($U$35-Q40))*HLOOKUP($U$35,$AV$24:$BF$34,Q40+1))*V49</f>
        <v>2.7445600179569929E-7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4.1900551740129775E-5</v>
      </c>
      <c r="BP40">
        <f t="shared" si="36"/>
        <v>9</v>
      </c>
      <c r="BQ40">
        <v>1</v>
      </c>
      <c r="BR40" s="107">
        <f t="shared" si="37"/>
        <v>1.252143504689108E-2</v>
      </c>
    </row>
    <row r="41" spans="1:70" x14ac:dyDescent="0.25">
      <c r="G41" s="91">
        <v>2</v>
      </c>
      <c r="H41" s="132">
        <f>L39*J41+J40*L40+J39*L41</f>
        <v>0.26888109897102408</v>
      </c>
      <c r="I41" s="93">
        <v>2</v>
      </c>
      <c r="J41" s="86">
        <f t="shared" si="35"/>
        <v>0.22968534738298396</v>
      </c>
      <c r="K41" s="95">
        <v>2</v>
      </c>
      <c r="L41" s="86">
        <f>AE20</f>
        <v>3.5968517320930683E-2</v>
      </c>
      <c r="M41" s="85">
        <v>2</v>
      </c>
      <c r="N41" s="71">
        <f>(($C$24)^M27)*((1-($C$24))^($B$21-M27))*HLOOKUP($B$21,$AV$24:$BF$34,M27+1)</f>
        <v>0.30620773657085065</v>
      </c>
      <c r="O41" s="72">
        <v>2</v>
      </c>
      <c r="P41" s="71">
        <f t="shared" si="38"/>
        <v>0.30620773657085065</v>
      </c>
      <c r="Q41" s="28">
        <v>2</v>
      </c>
      <c r="R41" s="37">
        <f>P41*N39+P40*N40+P39*N41</f>
        <v>0.23716405988894221</v>
      </c>
      <c r="S41" s="72">
        <v>2</v>
      </c>
      <c r="T41" s="135">
        <f t="shared" si="39"/>
        <v>2.5000000000000001E-5</v>
      </c>
      <c r="U41" s="93">
        <v>2</v>
      </c>
      <c r="V41" s="86">
        <f>R41*T39+T40*R40+R39*T41</f>
        <v>0.23604234756600673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3.7209359858486869E-2</v>
      </c>
      <c r="AD41" s="28">
        <v>2</v>
      </c>
      <c r="AE41" s="79">
        <f>((($W$39)^M41)*((1-($W$39))^($U$28-M41))*HLOOKUP($U$28,$AV$24:$BF$34,M41+1))*V42</f>
        <v>7.598086866655944E-2</v>
      </c>
      <c r="AF41" s="28">
        <v>2</v>
      </c>
      <c r="AG41" s="79">
        <f>((($W$39)^M41)*((1-($W$39))^($U$29-M41))*HLOOKUP($U$29,$AV$24:$BF$34,M41+1))*V43</f>
        <v>6.7948330707465296E-2</v>
      </c>
      <c r="AH41" s="28">
        <v>2</v>
      </c>
      <c r="AI41" s="79">
        <f>((($W$39)^M41)*((1-($W$39))^($U$30-M41))*HLOOKUP($U$30,$AV$24:$BF$34,M41+1))*V44</f>
        <v>3.477592618102486E-2</v>
      </c>
      <c r="AJ41" s="28">
        <v>2</v>
      </c>
      <c r="AK41" s="79">
        <f>((($W$39)^M41)*((1-($W$39))^($U$31-M41))*HLOOKUP($U$31,$AV$24:$BF$34,M41+1))*V45</f>
        <v>1.1150979236916532E-2</v>
      </c>
      <c r="AL41" s="28">
        <v>2</v>
      </c>
      <c r="AM41" s="79">
        <f>((($W$39)^Q41)*((1-($W$39))^($U$32-Q41))*HLOOKUP($U$32,$AV$24:$BF$34,Q41+1))*V46</f>
        <v>2.2980219969355024E-3</v>
      </c>
      <c r="AN41" s="28">
        <v>2</v>
      </c>
      <c r="AO41" s="79">
        <f>((($W$39)^Q41)*((1-($W$39))^($U$33-Q41))*HLOOKUP($U$33,$AV$24:$BF$34,Q41+1))*V47</f>
        <v>2.9844947886267754E-4</v>
      </c>
      <c r="AP41" s="28">
        <v>2</v>
      </c>
      <c r="AQ41" s="79">
        <f>((($W$39)^Q41)*((1-($W$39))^($U$34-Q41))*HLOOKUP($U$34,$AV$24:$BF$34,Q41+1))*V48</f>
        <v>2.2598003454908945E-5</v>
      </c>
      <c r="AR41" s="28">
        <v>2</v>
      </c>
      <c r="AS41" s="79">
        <f>((($W$39)^Q41)*((1-($W$39))^($U$35-Q41))*HLOOKUP($U$35,$AV$24:$BF$34,Q41+1))*V49</f>
        <v>8.1325327788453854E-7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4.4730395768278525E-6</v>
      </c>
      <c r="BP41">
        <f t="shared" si="36"/>
        <v>9</v>
      </c>
      <c r="BQ41">
        <v>2</v>
      </c>
      <c r="BR41" s="107">
        <f t="shared" si="37"/>
        <v>9.845207414196441E-3</v>
      </c>
    </row>
    <row r="42" spans="1:70" ht="15" customHeight="1" x14ac:dyDescent="0.25">
      <c r="G42" s="91">
        <v>3</v>
      </c>
      <c r="H42" s="132">
        <f>J42*L39+J41*L40+L42*J39+L41*J40</f>
        <v>0.13042035641629809</v>
      </c>
      <c r="I42" s="93">
        <v>3</v>
      </c>
      <c r="J42" s="86">
        <f t="shared" si="35"/>
        <v>8.2146036349388635E-2</v>
      </c>
      <c r="K42" s="95">
        <v>3</v>
      </c>
      <c r="L42" s="86">
        <f>AF20</f>
        <v>2.8382317700672219E-3</v>
      </c>
      <c r="M42" s="85">
        <v>3</v>
      </c>
      <c r="N42" s="71">
        <f>(($C$24)^M28)*((1-($C$24))^($B$21-M28))*HLOOKUP($B$21,$AV$24:$BF$34,M28+1)</f>
        <v>0.12915586647845129</v>
      </c>
      <c r="O42" s="72">
        <v>3</v>
      </c>
      <c r="P42" s="71">
        <f t="shared" si="38"/>
        <v>0.12915586647845129</v>
      </c>
      <c r="Q42" s="28">
        <v>3</v>
      </c>
      <c r="R42" s="37">
        <f>P42*N39+P41*N40+P40*N41+P39*N42</f>
        <v>0.26675685376674496</v>
      </c>
      <c r="S42" s="72">
        <v>3</v>
      </c>
      <c r="T42" s="135">
        <f t="shared" si="39"/>
        <v>0</v>
      </c>
      <c r="U42" s="93">
        <v>3</v>
      </c>
      <c r="V42" s="86">
        <f>R42*T39+R41*T40+R40*T41+R39*T42</f>
        <v>0.26645886031159322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1.6677216855459254E-2</v>
      </c>
      <c r="AF42" s="28">
        <v>3</v>
      </c>
      <c r="AG42" s="79">
        <f>((($W$39)^M42)*((1-($W$39))^($U$29-M42))*HLOOKUP($U$29,$AV$24:$BF$34,M42+1))*V43</f>
        <v>2.9828272986660308E-2</v>
      </c>
      <c r="AH42" s="28">
        <v>3</v>
      </c>
      <c r="AI42" s="79">
        <f>((($W$39)^M42)*((1-($W$39))^($U$30-M42))*HLOOKUP($U$30,$AV$24:$BF$34,M42+1))*V44</f>
        <v>2.2899145763214262E-2</v>
      </c>
      <c r="AJ42" s="28">
        <v>3</v>
      </c>
      <c r="AK42" s="79">
        <f>((($W$39)^M42)*((1-($W$39))^($U$31-M42))*HLOOKUP($U$31,$AV$24:$BF$34,M42+1))*V45</f>
        <v>9.790217045340421E-3</v>
      </c>
      <c r="AL42" s="28">
        <v>3</v>
      </c>
      <c r="AM42" s="79">
        <f>((($W$39)^Q42)*((1-($W$39))^($U$32-Q42))*HLOOKUP($U$32,$AV$24:$BF$34,Q42+1))*V46</f>
        <v>2.5219908546778862E-3</v>
      </c>
      <c r="AN42" s="28">
        <v>3</v>
      </c>
      <c r="AO42" s="79">
        <f>((($W$39)^Q42)*((1-($W$39))^($U$33-Q42))*HLOOKUP($U$33,$AV$24:$BF$34,Q42+1))*V47</f>
        <v>3.930442044221282E-4</v>
      </c>
      <c r="AP42" s="28">
        <v>3</v>
      </c>
      <c r="AQ42" s="79">
        <f>((($W$39)^Q42)*((1-($W$39))^($U$34-Q42))*HLOOKUP($U$34,$AV$24:$BF$34,Q42+1))*V48</f>
        <v>3.4720616848996557E-5</v>
      </c>
      <c r="AR42" s="28">
        <v>3</v>
      </c>
      <c r="AS42" s="79">
        <f>((($W$39)^Q42)*((1-($W$39))^($U$35-Q42))*HLOOKUP($U$35,$AV$24:$BF$34,Q42+1))*V49</f>
        <v>1.4280227653846502E-6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3.5974577212848848E-7</v>
      </c>
      <c r="BP42">
        <f t="shared" si="36"/>
        <v>9</v>
      </c>
      <c r="BQ42">
        <v>3</v>
      </c>
      <c r="BR42" s="107">
        <f t="shared" si="37"/>
        <v>4.7754024543400575E-3</v>
      </c>
    </row>
    <row r="43" spans="1:70" ht="15" customHeight="1" x14ac:dyDescent="0.25">
      <c r="G43" s="91">
        <v>4</v>
      </c>
      <c r="H43" s="132">
        <f>J43*L39+J42*L40+J41*L41+J40*L42</f>
        <v>4.3637863430631585E-2</v>
      </c>
      <c r="I43" s="93">
        <v>4</v>
      </c>
      <c r="J43" s="86">
        <f t="shared" si="35"/>
        <v>1.9304687225516887E-2</v>
      </c>
      <c r="K43" s="95">
        <v>4</v>
      </c>
      <c r="L43" s="86"/>
      <c r="M43" s="85">
        <v>4</v>
      </c>
      <c r="N43" s="71">
        <f>(($C$24)^M29)*((1-($C$24))^($B$21-M29))*HLOOKUP($B$21,$AV$24:$BF$34,M29+1)</f>
        <v>2.7238433020355463E-2</v>
      </c>
      <c r="O43" s="72">
        <v>4</v>
      </c>
      <c r="P43" s="71">
        <f t="shared" si="38"/>
        <v>2.7238433020355463E-2</v>
      </c>
      <c r="Q43" s="28">
        <v>4</v>
      </c>
      <c r="R43" s="37">
        <f>P43*N39+P42*N40+P41*N41+P40*N42+P39*N43</f>
        <v>0.19690267366527128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0.19759872929193653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4.9103075460228589E-3</v>
      </c>
      <c r="AH43" s="28">
        <v>4</v>
      </c>
      <c r="AI43" s="79">
        <f>((($W$39)^M43)*((1-($W$39))^($U$30-M43))*HLOOKUP($U$30,$AV$24:$BF$34,M43+1))*V44</f>
        <v>7.5392798160908731E-3</v>
      </c>
      <c r="AJ43" s="28">
        <v>4</v>
      </c>
      <c r="AK43" s="79">
        <f>((($W$39)^M43)*((1-($W$39))^($U$31-M43))*HLOOKUP($U$31,$AV$24:$BF$34,M43+1))*V45</f>
        <v>4.8349741860451365E-3</v>
      </c>
      <c r="AL43" s="28">
        <v>4</v>
      </c>
      <c r="AM43" s="79">
        <f>((($W$39)^Q43)*((1-($W$39))^($U$32-Q43))*HLOOKUP($U$32,$AV$24:$BF$34,Q43+1))*V46</f>
        <v>1.6606728428781214E-3</v>
      </c>
      <c r="AN43" s="28">
        <v>4</v>
      </c>
      <c r="AO43" s="79">
        <f>((($W$39)^Q43)*((1-($W$39))^($U$33-Q43))*HLOOKUP($U$33,$AV$24:$BF$34,Q43+1))*V47</f>
        <v>3.2351318558698316E-4</v>
      </c>
      <c r="AP43" s="28">
        <v>4</v>
      </c>
      <c r="AQ43" s="79">
        <f>((($W$39)^Q43)*((1-($W$39))^($U$34-Q43))*HLOOKUP($U$34,$AV$24:$BF$34,Q43+1))*V48</f>
        <v>3.4294088764530537E-5</v>
      </c>
      <c r="AR43" s="28">
        <v>4</v>
      </c>
      <c r="AS43" s="79">
        <f>((($W$39)^Q43)*((1-($W$39))^($U$35-Q43))*HLOOKUP($U$35,$AV$24:$BF$34,Q43+1))*V49</f>
        <v>1.6455601283814187E-6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2.1200572400563209E-8</v>
      </c>
      <c r="BP43">
        <f t="shared" si="36"/>
        <v>9</v>
      </c>
      <c r="BQ43">
        <v>4</v>
      </c>
      <c r="BR43" s="107">
        <f t="shared" si="37"/>
        <v>1.5978208145944991E-3</v>
      </c>
    </row>
    <row r="44" spans="1:70" ht="15" customHeight="1" thickBot="1" x14ac:dyDescent="0.3">
      <c r="G44" s="91">
        <v>5</v>
      </c>
      <c r="H44" s="132">
        <f>J44*L39+J43*L40+J42*L41+J41*L42</f>
        <v>1.0656963117571895E-2</v>
      </c>
      <c r="I44" s="93">
        <v>5</v>
      </c>
      <c r="J44" s="86">
        <f t="shared" si="35"/>
        <v>3.116787808909359E-3</v>
      </c>
      <c r="K44" s="95">
        <v>5</v>
      </c>
      <c r="L44" s="86"/>
      <c r="M44" s="85">
        <v>5</v>
      </c>
      <c r="N44" s="71">
        <f>(($C$24)^M30)*((1-($C$24))^($B$21-M30))*HLOOKUP($B$21,$AV$24:$BF$34,M30+1)</f>
        <v>2.2977887219027006E-3</v>
      </c>
      <c r="O44" s="72">
        <v>5</v>
      </c>
      <c r="P44" s="71">
        <f t="shared" si="38"/>
        <v>2.2977887219027006E-3</v>
      </c>
      <c r="Q44" s="28">
        <v>5</v>
      </c>
      <c r="R44" s="37">
        <f>P44*N39+P43*N40+P42*N41+P41*N42+P40*N43+P39*N44</f>
        <v>9.9662284358818187E-2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0.10063400359665259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9.9288839388280694E-4</v>
      </c>
      <c r="AJ44" s="28">
        <v>5</v>
      </c>
      <c r="AK44" s="79">
        <f>((($W$39)^M44)*((1-($W$39))^($U$31-M44))*HLOOKUP($U$31,$AV$24:$BF$34,M44+1))*V45</f>
        <v>1.2734876198125513E-3</v>
      </c>
      <c r="AL44" s="28">
        <v>5</v>
      </c>
      <c r="AM44" s="79">
        <f>((($W$39)^Q44)*((1-($W$39))^($U$32-Q44))*HLOOKUP($U$32,$AV$24:$BF$34,Q44+1))*V46</f>
        <v>6.5610887191543078E-4</v>
      </c>
      <c r="AN44" s="28">
        <v>5</v>
      </c>
      <c r="AO44" s="79">
        <f>((($W$39)^Q44)*((1-($W$39))^($U$33-Q44))*HLOOKUP($U$33,$AV$24:$BF$34,Q44+1))*V47</f>
        <v>1.704207802723095E-4</v>
      </c>
      <c r="AP44" s="28">
        <v>5</v>
      </c>
      <c r="AQ44" s="79">
        <f>((($W$39)^Q44)*((1-($W$39))^($U$34-Q44))*HLOOKUP($U$34,$AV$24:$BF$34,Q44+1))*V48</f>
        <v>2.258186693138564E-5</v>
      </c>
      <c r="AR44" s="28">
        <v>5</v>
      </c>
      <c r="AS44" s="79">
        <f>((($W$39)^Q44)*((1-($W$39))^($U$35-Q44))*HLOOKUP($U$35,$AV$24:$BF$34,Q44+1))*V49</f>
        <v>1.3002760948750962E-6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4.1863904686210247E-4</v>
      </c>
      <c r="BP44">
        <f t="shared" si="36"/>
        <v>9</v>
      </c>
      <c r="BQ44">
        <v>5</v>
      </c>
      <c r="BR44" s="107">
        <f t="shared" si="37"/>
        <v>3.9020969751854339E-4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1.957281127929198E-3</v>
      </c>
      <c r="I45" s="93">
        <v>6</v>
      </c>
      <c r="J45" s="86">
        <f t="shared" si="35"/>
        <v>3.5050690151148292E-4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3.5030599476179022E-2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3.5677731542616012E-2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1.3976037370380776E-4</v>
      </c>
      <c r="AL45" s="28">
        <v>6</v>
      </c>
      <c r="AM45" s="79">
        <f>((($W$39)^Q45)*((1-($W$39))^($U$32-Q45))*HLOOKUP($U$32,$AV$24:$BF$34,Q45+1))*V46</f>
        <v>1.4401085601881497E-4</v>
      </c>
      <c r="AN45" s="28">
        <v>6</v>
      </c>
      <c r="AO45" s="79">
        <f>((($W$39)^Q45)*((1-($W$39))^($U$33-Q45))*HLOOKUP($U$33,$AV$24:$BF$34,Q45+1))*V47</f>
        <v>5.6109077702518256E-5</v>
      </c>
      <c r="AP45" s="28">
        <v>6</v>
      </c>
      <c r="AQ45" s="79">
        <f>((($W$39)^Q45)*((1-($W$39))^($U$34-Q45))*HLOOKUP($U$34,$AV$24:$BF$34,Q45+1))*V48</f>
        <v>9.9130925567212491E-6</v>
      </c>
      <c r="AR45" s="28">
        <v>6</v>
      </c>
      <c r="AS45" s="79">
        <f>((($W$39)^Q45)*((1-($W$39))^($U$35-Q45))*HLOOKUP($U$35,$AV$24:$BF$34,Q45+1))*V49</f>
        <v>7.1350152962076002E-7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5.8604890351977986E-5</v>
      </c>
      <c r="BP45">
        <f t="shared" si="36"/>
        <v>9</v>
      </c>
      <c r="BQ45">
        <v>6</v>
      </c>
      <c r="BR45" s="107">
        <f t="shared" si="37"/>
        <v>7.1666765518657458E-5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2.739979625648013E-4</v>
      </c>
      <c r="I46" s="93">
        <v>7</v>
      </c>
      <c r="J46" s="86">
        <f t="shared" si="35"/>
        <v>2.7168974813657334E-5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8.4432082038222445E-3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8.7100332238860701E-3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1.3546832723525509E-5</v>
      </c>
      <c r="AN46" s="28">
        <v>7</v>
      </c>
      <c r="AO46" s="79">
        <f>((($W$39)^Q46)*((1-($W$39))^($U$33-Q46))*HLOOKUP($U$33,$AV$24:$BF$34,Q46+1))*V47</f>
        <v>1.0556152652936151E-5</v>
      </c>
      <c r="AP46" s="28">
        <v>7</v>
      </c>
      <c r="AQ46" s="79">
        <f>((($W$39)^Q46)*((1-($W$39))^($U$34-Q46))*HLOOKUP($U$34,$AV$24:$BF$34,Q46+1))*V48</f>
        <v>2.7975184028039558E-6</v>
      </c>
      <c r="AR46" s="28">
        <v>7</v>
      </c>
      <c r="AS46" s="79">
        <f>((($W$39)^Q46)*((1-($W$39))^($U$35-Q46))*HLOOKUP($U$35,$AV$24:$BF$34,Q46+1))*V49</f>
        <v>2.6847103439171834E-7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6.2562897874442739E-6</v>
      </c>
      <c r="BP46">
        <f t="shared" si="36"/>
        <v>9</v>
      </c>
      <c r="BQ46">
        <v>7</v>
      </c>
      <c r="BR46" s="107">
        <f t="shared" si="37"/>
        <v>1.0032563772020299E-5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2.9250300524055978E-5</v>
      </c>
      <c r="I47" s="93">
        <v>8</v>
      </c>
      <c r="J47" s="86">
        <f t="shared" si="35"/>
        <v>1.3956914895970777E-6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1.3354780201279037E-3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1.4070423134920635E-3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8.6887289874044306E-7</v>
      </c>
      <c r="AP47" s="28">
        <v>8</v>
      </c>
      <c r="AQ47" s="79">
        <f>((($W$39)^Q47)*((1-($W$39))^($U$34-Q47))*HLOOKUP($U$34,$AV$24:$BF$34,Q47+1))*V48</f>
        <v>4.605253455193113E-7</v>
      </c>
      <c r="AR47" s="28">
        <v>8</v>
      </c>
      <c r="AS47" s="79">
        <f>((($W$39)^Q47)*((1-($W$39))^($U$35-Q47))*HLOOKUP($U$35,$AV$24:$BF$34,Q47+1))*V49</f>
        <v>6.62932453373233E-8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5.0316429389606003E-7</v>
      </c>
      <c r="BP47">
        <f>BL12+1</f>
        <v>9</v>
      </c>
      <c r="BQ47">
        <v>8</v>
      </c>
      <c r="BR47" s="107">
        <f t="shared" si="37"/>
        <v>1.0710134579520727E-6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2.3524656480860423E-6</v>
      </c>
      <c r="I48" s="93">
        <v>9</v>
      </c>
      <c r="J48" s="86">
        <f t="shared" si="35"/>
        <v>4.33944969101574E-8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1.2517632839294981E-4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1.3742678102259833E-4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3.3693924928943283E-8</v>
      </c>
      <c r="AR48" s="28">
        <v>9</v>
      </c>
      <c r="AS48" s="79">
        <f>((($W$39)^Q48)*((1-($W$39))^($U$35-Q48))*HLOOKUP($U$35,$AV$24:$BF$34,Q48+1))*V49</f>
        <v>9.7005719812141157E-9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2.9652526502275826E-8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1.3863573155287254E-7</v>
      </c>
      <c r="I49" s="94">
        <v>10</v>
      </c>
      <c r="J49" s="89">
        <f t="shared" si="35"/>
        <v>6.3876030397597252E-10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5.2798330105032468E-6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6.5618538366285506E-6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6.3876030397597252E-10</v>
      </c>
      <c r="BH49">
        <f>BP14+1</f>
        <v>6</v>
      </c>
      <c r="BI49">
        <v>0</v>
      </c>
      <c r="BJ49" s="107">
        <f>$H$31*H39</f>
        <v>4.4135500425143775E-2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5.9816325451244978E-5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6.3856149852933952E-6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5.1356531815636749E-7</v>
      </c>
    </row>
    <row r="53" spans="1:62" x14ac:dyDescent="0.25">
      <c r="BH53">
        <f>BH48+1</f>
        <v>6</v>
      </c>
      <c r="BI53">
        <v>10</v>
      </c>
      <c r="BJ53" s="107">
        <f>$H$31*H49</f>
        <v>3.0265480663115566E-8</v>
      </c>
    </row>
    <row r="54" spans="1:62" x14ac:dyDescent="0.25">
      <c r="BH54">
        <f>BH51+1</f>
        <v>7</v>
      </c>
      <c r="BI54">
        <v>8</v>
      </c>
      <c r="BJ54" s="107">
        <f>$H$32*H47</f>
        <v>4.8067604055917708E-6</v>
      </c>
    </row>
    <row r="55" spans="1:62" x14ac:dyDescent="0.25">
      <c r="BH55">
        <f>BH52+1</f>
        <v>7</v>
      </c>
      <c r="BI55">
        <v>9</v>
      </c>
      <c r="BJ55" s="107">
        <f>$H$32*H48</f>
        <v>3.8658538647953665E-7</v>
      </c>
    </row>
    <row r="56" spans="1:62" x14ac:dyDescent="0.25">
      <c r="BH56">
        <f>BH53+1</f>
        <v>7</v>
      </c>
      <c r="BI56">
        <v>10</v>
      </c>
      <c r="BJ56" s="107">
        <f>$H$32*H49</f>
        <v>2.2782287131735531E-8</v>
      </c>
    </row>
    <row r="57" spans="1:62" x14ac:dyDescent="0.25">
      <c r="BH57">
        <f>BH55+1</f>
        <v>8</v>
      </c>
      <c r="BI57">
        <v>9</v>
      </c>
      <c r="BJ57" s="107">
        <f>$H$33*H48</f>
        <v>2.1420191371899447E-7</v>
      </c>
    </row>
    <row r="58" spans="1:62" x14ac:dyDescent="0.25">
      <c r="BH58">
        <f>BH56+1</f>
        <v>8</v>
      </c>
      <c r="BI58">
        <v>10</v>
      </c>
      <c r="BJ58" s="107">
        <f>$H$33*H49</f>
        <v>1.2623367755707156E-8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5.0762122640088439E-9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07"/>
      <c r="Q1" s="207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08" t="s">
        <v>116</v>
      </c>
      <c r="C3" s="20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0.04</v>
      </c>
      <c r="AN5">
        <f>IF(AK5+AG5=0,AM5*2/10,0)</f>
        <v>8.0000000000000002E-3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0.04</v>
      </c>
      <c r="AN6">
        <f t="shared" ref="AN6:AN19" si="7">IF(AK6+AG6=0,AM6*2/10,0)</f>
        <v>8.0000000000000002E-3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0.04</v>
      </c>
      <c r="AN8">
        <f t="shared" si="7"/>
        <v>8.0000000000000002E-3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0.06</v>
      </c>
      <c r="AN10">
        <f t="shared" si="7"/>
        <v>1.2E-2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0.06</v>
      </c>
      <c r="AN11">
        <f t="shared" si="7"/>
        <v>1.2E-2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0.22700000000000001</v>
      </c>
      <c r="AK13" s="13"/>
      <c r="AM13" s="13">
        <v>0.125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0.06</v>
      </c>
      <c r="AN17">
        <f t="shared" si="7"/>
        <v>1.2E-2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07"/>
      <c r="Q1" s="207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09" t="s">
        <v>116</v>
      </c>
      <c r="C3" s="209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7" t="s">
        <v>135</v>
      </c>
      <c r="Q1" s="207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09" t="s">
        <v>23</v>
      </c>
      <c r="C3" s="20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7" t="s">
        <v>135</v>
      </c>
      <c r="Q1" s="207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0" t="s">
        <v>130</v>
      </c>
      <c r="C3" s="21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5</vt:i4>
      </vt:variant>
    </vt:vector>
  </HeadingPairs>
  <TitlesOfParts>
    <vt:vector size="5" baseType="lpstr">
      <vt:lpstr>OBIWAN-Texas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2018-01-05T14:46:24Z</dcterms:modified>
</cp:coreProperties>
</file>