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11" activeTab="18"/>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V.59" sheetId="45" r:id="rId20"/>
    <sheet name="VI.192" sheetId="33" r:id="rId21"/>
    <sheet name="IV.13" sheetId="80" r:id="rId22"/>
    <sheet name="III.15" sheetId="87" r:id="rId23"/>
    <sheet name="EconomiaT40" sheetId="9" r:id="rId24"/>
    <sheet name="A-P_T40" sheetId="10" r:id="rId25"/>
    <sheet name="EconomiaT41" sheetId="39" r:id="rId26"/>
    <sheet name="A-P_T41" sheetId="40" r:id="rId27"/>
    <sheet name="EconomiaT42" sheetId="42" r:id="rId28"/>
    <sheet name="A-P_T42" sheetId="43" r:id="rId29"/>
    <sheet name="EconomiaT43" sheetId="46" r:id="rId30"/>
    <sheet name="A-P_T43" sheetId="47" r:id="rId31"/>
    <sheet name="EconomiaT44" sheetId="69" r:id="rId32"/>
    <sheet name="A-P_T44" sheetId="70" r:id="rId33"/>
    <sheet name="EconomiaT45" sheetId="78" r:id="rId34"/>
    <sheet name="A-P_T45" sheetId="79" r:id="rId35"/>
    <sheet name="EconomiaT46" sheetId="81" r:id="rId36"/>
    <sheet name="A-P_T46" sheetId="82" r:id="rId37"/>
    <sheet name="EconomiaT47" sheetId="88" r:id="rId38"/>
    <sheet name="A-P_T47" sheetId="89" r:id="rId39"/>
    <sheet name="EconomiaT48" sheetId="91" r:id="rId40"/>
    <sheet name="A-P_T48" sheetId="92" r:id="rId41"/>
    <sheet name="EconomiaT49" sheetId="100" r:id="rId42"/>
    <sheet name="A-P_T49" sheetId="101" r:id="rId43"/>
    <sheet name="EconomiaT50" sheetId="103" r:id="rId44"/>
    <sheet name="A-P_T50" sheetId="104" r:id="rId45"/>
    <sheet name="TablasEntreno" sheetId="99" r:id="rId46"/>
    <sheet name="TSI-Sueldos" sheetId="38" r:id="rId47"/>
    <sheet name="Entrenamientos" sheetId="12" r:id="rId48"/>
    <sheet name="NUEVOENTRENADOR" sheetId="41" r:id="rId49"/>
    <sheet name="RiscLesió" sheetId="48" r:id="rId50"/>
    <sheet name="EMPLEADOS" sheetId="93" r:id="rId51"/>
  </sheets>
  <externalReferences>
    <externalReference r:id="rId52"/>
  </externalReferences>
  <definedNames>
    <definedName name="_xlnm._FilterDatabase" localSheetId="24" hidden="1">'A-P_T40'!$I$3:$T$49</definedName>
    <definedName name="_xlnm._FilterDatabase" localSheetId="26" hidden="1">'A-P_T41'!$I$3:$T$49</definedName>
    <definedName name="_xlnm._FilterDatabase" localSheetId="28" hidden="1">'A-P_T42'!$I$3:$T$48</definedName>
    <definedName name="_xlnm._FilterDatabase" localSheetId="30" hidden="1">'A-P_T43'!$I$3:$T$4</definedName>
    <definedName name="_xlnm._FilterDatabase" localSheetId="32" hidden="1">'A-P_T44'!$I$3:$T$4</definedName>
    <definedName name="_xlnm._FilterDatabase" localSheetId="34" hidden="1">'A-P_T45'!$I$3:$T$4</definedName>
    <definedName name="_xlnm._FilterDatabase" localSheetId="36" hidden="1">'A-P_T46'!$I$3:$T$3</definedName>
    <definedName name="_xlnm._FilterDatabase" localSheetId="38" hidden="1">'A-P_T47'!$I$3:$T$3</definedName>
    <definedName name="_xlnm._FilterDatabase" localSheetId="9" hidden="1">ENTRENAMIENTO_Rendimiento!$S$3:$Z$24</definedName>
    <definedName name="_xlnm._FilterDatabase" localSheetId="6"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C18" i="3" l="1"/>
  <c r="D18" i="3"/>
  <c r="E18" i="3"/>
  <c r="F18" i="3"/>
  <c r="G18" i="3"/>
  <c r="H18" i="3"/>
  <c r="I18" i="3"/>
  <c r="J18" i="3"/>
  <c r="K18" i="3"/>
  <c r="L18" i="3"/>
  <c r="M18" i="3"/>
  <c r="N18" i="3"/>
  <c r="O18" i="3"/>
  <c r="P18" i="3"/>
  <c r="Q18" i="3"/>
  <c r="R18" i="3"/>
  <c r="S18" i="3"/>
  <c r="T18" i="3"/>
  <c r="U18" i="3"/>
  <c r="V18" i="3"/>
  <c r="W18" i="3"/>
  <c r="X18" i="3"/>
  <c r="Y18" i="3"/>
  <c r="Z18" i="3"/>
  <c r="AA18" i="3"/>
  <c r="AB18" i="3"/>
  <c r="AC18" i="3"/>
  <c r="AD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C21" i="3"/>
  <c r="D21" i="3"/>
  <c r="E21" i="3"/>
  <c r="F21" i="3"/>
  <c r="G21" i="3"/>
  <c r="H21" i="3"/>
  <c r="I21" i="3"/>
  <c r="J21" i="3"/>
  <c r="K21" i="3"/>
  <c r="L21" i="3"/>
  <c r="M21" i="3"/>
  <c r="N21" i="3"/>
  <c r="O21" i="3"/>
  <c r="P21" i="3"/>
  <c r="Q21" i="3"/>
  <c r="R21" i="3"/>
  <c r="S21" i="3"/>
  <c r="T21" i="3"/>
  <c r="U21" i="3"/>
  <c r="V21" i="3"/>
  <c r="W21" i="3"/>
  <c r="X21" i="3"/>
  <c r="Y21" i="3"/>
  <c r="Z21" i="3"/>
  <c r="AA21" i="3"/>
  <c r="AB21" i="3"/>
  <c r="AC21" i="3"/>
  <c r="AD21" i="3"/>
  <c r="B21" i="3"/>
  <c r="B20" i="3"/>
  <c r="B19" i="3"/>
  <c r="B18" i="3"/>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Z20" i="32" l="1"/>
  <c r="Z21" i="32"/>
  <c r="Z23" i="32"/>
  <c r="Z24" i="32"/>
  <c r="Z22" i="32"/>
  <c r="Z19" i="32"/>
  <c r="Z15" i="32"/>
  <c r="Z18" i="32"/>
  <c r="Z16" i="32"/>
  <c r="Z13" i="32"/>
  <c r="Z14" i="32"/>
  <c r="Z12" i="32"/>
  <c r="Z11" i="32"/>
  <c r="Z17" i="32"/>
  <c r="Z8" i="32"/>
  <c r="Z7" i="32"/>
  <c r="Z10" i="32"/>
  <c r="Z9" i="32"/>
  <c r="Z6" i="32"/>
  <c r="Z5" i="32"/>
  <c r="AA20" i="32" l="1"/>
  <c r="AA21" i="32"/>
  <c r="AA23" i="32"/>
  <c r="AA22" i="32"/>
  <c r="AA24" i="32"/>
  <c r="AA19" i="32"/>
  <c r="AA15" i="32"/>
  <c r="AA18"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6" i="32"/>
  <c r="AL8" i="32"/>
  <c r="AL11" i="32"/>
  <c r="AL15" i="32"/>
  <c r="AL16" i="32"/>
  <c r="AL19" i="32"/>
  <c r="AL20" i="32"/>
  <c r="AL22" i="32"/>
  <c r="AL24" i="32"/>
  <c r="AK6" i="32"/>
  <c r="AK8" i="32"/>
  <c r="AK11" i="32"/>
  <c r="AK15" i="32"/>
  <c r="AK16" i="32"/>
  <c r="AK19" i="32"/>
  <c r="AK20" i="32"/>
  <c r="AK22" i="32"/>
  <c r="AK24" i="32"/>
  <c r="AJ6" i="32"/>
  <c r="AJ8" i="32"/>
  <c r="AJ11" i="32"/>
  <c r="AJ15" i="32"/>
  <c r="AJ16" i="32"/>
  <c r="AJ19" i="32"/>
  <c r="AJ20" i="32"/>
  <c r="AJ22" i="32"/>
  <c r="AJ24" i="32"/>
  <c r="AH6" i="32"/>
  <c r="AI6" i="32"/>
  <c r="AH8" i="32"/>
  <c r="AI8" i="32"/>
  <c r="AH11" i="32"/>
  <c r="AI11" i="32"/>
  <c r="AH15" i="32"/>
  <c r="AI15" i="32"/>
  <c r="AH16" i="32"/>
  <c r="AI16" i="32"/>
  <c r="AH19" i="32"/>
  <c r="AI19" i="32"/>
  <c r="AH20" i="32"/>
  <c r="AI20" i="32"/>
  <c r="AH22" i="32"/>
  <c r="AI22" i="32"/>
  <c r="AH24" i="32"/>
  <c r="AI24" i="32"/>
  <c r="AF6" i="32"/>
  <c r="AG6" i="32"/>
  <c r="AF8" i="32"/>
  <c r="AG8" i="32"/>
  <c r="AF11" i="32"/>
  <c r="AG11" i="32"/>
  <c r="AF15" i="32"/>
  <c r="AG15" i="32"/>
  <c r="AF16" i="32"/>
  <c r="AG16" i="32"/>
  <c r="AF19" i="32"/>
  <c r="AG19" i="32"/>
  <c r="AF20" i="32"/>
  <c r="AG20" i="32"/>
  <c r="AF22" i="32"/>
  <c r="AG22" i="32"/>
  <c r="AF24" i="32"/>
  <c r="AG24" i="32"/>
  <c r="P23" i="32"/>
  <c r="P21" i="32"/>
  <c r="AF21" i="32" s="1"/>
  <c r="P7" i="32"/>
  <c r="P5" i="32"/>
  <c r="AN23" i="32" l="1"/>
  <c r="AN7" i="32"/>
  <c r="AM23" i="32"/>
  <c r="AM21" i="32"/>
  <c r="AM7" i="32"/>
  <c r="AN21" i="32"/>
  <c r="AN5" i="32"/>
  <c r="AL21" i="32"/>
  <c r="AM5" i="32"/>
  <c r="AK21" i="32"/>
  <c r="AJ21" i="32"/>
  <c r="AI21" i="32"/>
  <c r="AH21" i="32"/>
  <c r="AG21" i="32"/>
  <c r="R32" i="49" l="1"/>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Y17" i="32"/>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5" i="32"/>
  <c r="Y14" i="111"/>
  <c r="L14" i="111"/>
  <c r="L5" i="110"/>
  <c r="L5" i="107"/>
  <c r="Z12" i="108"/>
  <c r="L12" i="108"/>
  <c r="L10" i="111"/>
  <c r="L8" i="110"/>
  <c r="L9" i="107"/>
  <c r="L16" i="108"/>
  <c r="L5" i="111"/>
  <c r="Z19" i="110"/>
  <c r="L19" i="110"/>
  <c r="L13" i="107"/>
  <c r="L7" i="111"/>
  <c r="Z17" i="110"/>
  <c r="Y17" i="110"/>
  <c r="L17" i="110"/>
  <c r="L14" i="107"/>
  <c r="L11" i="108"/>
  <c r="Y5" i="32"/>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O26" i="49" s="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Y14" i="32"/>
  <c r="Y13" i="32"/>
  <c r="Y9" i="32"/>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C13" i="102"/>
  <c r="U15" i="49"/>
  <c r="V4" i="49" l="1"/>
  <c r="V8" i="49"/>
  <c r="V13" i="49"/>
  <c r="V16" i="49"/>
  <c r="V22" i="49"/>
  <c r="V11" i="49"/>
  <c r="V20" i="49"/>
  <c r="V15" i="49"/>
  <c r="V5" i="49"/>
  <c r="V9" i="49"/>
  <c r="V12" i="49"/>
  <c r="V19" i="49"/>
  <c r="V3" i="49"/>
  <c r="V6" i="49"/>
  <c r="V14" i="49"/>
  <c r="V7" i="49"/>
  <c r="V10" i="49"/>
  <c r="V21" i="49"/>
  <c r="AB11" i="32" l="1"/>
  <c r="AB6" i="32"/>
  <c r="I20" i="107" l="1"/>
  <c r="I20" i="110"/>
  <c r="I20" i="111"/>
  <c r="I21" i="111"/>
  <c r="I21" i="110"/>
  <c r="I21" i="107"/>
  <c r="Y20" i="32"/>
  <c r="Y22" i="32"/>
  <c r="Y19" i="32"/>
  <c r="Y18" i="32"/>
  <c r="Y16" i="32"/>
  <c r="Y11" i="32"/>
  <c r="Y7" i="32"/>
  <c r="Y10" i="32"/>
  <c r="Y6" i="32"/>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F9" i="102"/>
  <c r="C9" i="102"/>
  <c r="M9" i="102" s="1"/>
  <c r="J9" i="111"/>
  <c r="J9" i="110"/>
  <c r="J8" i="107"/>
  <c r="C8" i="102"/>
  <c r="M8" i="102" s="1"/>
  <c r="J16" i="111"/>
  <c r="J4" i="110"/>
  <c r="J6" i="107"/>
  <c r="F2" i="102"/>
  <c r="C2" i="102"/>
  <c r="M2" i="102" s="1"/>
  <c r="J18" i="111"/>
  <c r="J14" i="110"/>
  <c r="J19" i="107"/>
  <c r="J5" i="107"/>
  <c r="J5" i="110"/>
  <c r="J14" i="111"/>
  <c r="C5" i="102"/>
  <c r="M5" i="102" s="1"/>
  <c r="J6" i="111"/>
  <c r="J10" i="107"/>
  <c r="J10" i="110"/>
  <c r="C7" i="102"/>
  <c r="M7" i="102" s="1"/>
  <c r="J15" i="110"/>
  <c r="J17" i="107"/>
  <c r="J15" i="111"/>
  <c r="C20" i="102"/>
  <c r="J4" i="111"/>
  <c r="J16" i="110"/>
  <c r="J12" i="107"/>
  <c r="F14" i="102"/>
  <c r="C14" i="102"/>
  <c r="J10" i="111"/>
  <c r="J9" i="107"/>
  <c r="J8" i="110"/>
  <c r="F10" i="102"/>
  <c r="C10" i="102"/>
  <c r="M10" i="102" s="1"/>
  <c r="J13" i="110"/>
  <c r="J18" i="107"/>
  <c r="J17" i="111"/>
  <c r="F6" i="102"/>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H22" i="111" l="1"/>
  <c r="H22" i="110"/>
  <c r="H22" i="107"/>
  <c r="J6" i="32"/>
  <c r="J7" i="32"/>
  <c r="J8" i="32"/>
  <c r="J9" i="32"/>
  <c r="J10" i="32"/>
  <c r="J11" i="32"/>
  <c r="J12" i="32"/>
  <c r="J13" i="32"/>
  <c r="J14" i="32"/>
  <c r="J15" i="32"/>
  <c r="J16" i="32"/>
  <c r="J17" i="32"/>
  <c r="J18" i="32"/>
  <c r="J19" i="32"/>
  <c r="J20" i="32"/>
  <c r="J22" i="32"/>
  <c r="J23" i="32"/>
  <c r="J24" i="32"/>
  <c r="J5" i="32"/>
  <c r="AF23" i="32" l="1"/>
  <c r="AK23" i="32"/>
  <c r="AI23" i="32"/>
  <c r="AL23" i="32"/>
  <c r="AH23" i="32"/>
  <c r="AJ23" i="32"/>
  <c r="F4" i="102" s="1"/>
  <c r="AG23"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E11" i="102"/>
  <c r="C12" i="83"/>
  <c r="B12" i="83"/>
  <c r="B11" i="102"/>
  <c r="L11" i="102" s="1"/>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B20" i="102"/>
  <c r="B2" i="83"/>
  <c r="C2" i="83"/>
  <c r="C7" i="83"/>
  <c r="B7" i="83"/>
  <c r="B13" i="102"/>
  <c r="B20" i="83"/>
  <c r="C20" i="83"/>
  <c r="D19" i="83" l="1"/>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Q1" i="32"/>
  <c r="O4" i="49" l="1"/>
  <c r="O20" i="49"/>
  <c r="O25" i="49"/>
  <c r="O22" i="49"/>
  <c r="O10" i="49"/>
  <c r="O3" i="49"/>
  <c r="O17" i="49"/>
  <c r="O6" i="49"/>
  <c r="O16" i="49"/>
  <c r="O18" i="49"/>
  <c r="O11" i="49"/>
  <c r="O8" i="49"/>
  <c r="O5" i="49"/>
  <c r="O14" i="49"/>
  <c r="O7" i="49"/>
  <c r="O13" i="49"/>
  <c r="O12"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22" i="49" l="1"/>
  <c r="U21" i="49"/>
  <c r="U19"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0" i="32"/>
  <c r="AQ22" i="32"/>
  <c r="AQ23" i="32"/>
  <c r="AQ24" i="32"/>
  <c r="AQ6" i="32"/>
  <c r="AQ5" i="32"/>
  <c r="K4" i="104" l="1"/>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R15" i="103" l="1"/>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R17" i="103" l="1"/>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J23" i="103" l="1"/>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K23" i="103" l="1"/>
  <c r="K27" i="103"/>
  <c r="K28" i="103" s="1"/>
  <c r="K30" i="103"/>
  <c r="K31" i="103" s="1"/>
  <c r="L16" i="103"/>
  <c r="L17" i="87"/>
  <c r="I17" i="87"/>
  <c r="S11" i="100"/>
  <c r="L27" i="103" l="1"/>
  <c r="L28" i="103" s="1"/>
  <c r="L23" i="103"/>
  <c r="L30" i="103"/>
  <c r="L31" i="103" s="1"/>
  <c r="M16" i="103"/>
  <c r="M23" i="103" l="1"/>
  <c r="M27" i="103"/>
  <c r="M28" i="103" s="1"/>
  <c r="N16" i="103"/>
  <c r="M30" i="103"/>
  <c r="M31" i="103" s="1"/>
  <c r="C15" i="103"/>
  <c r="F29" i="104" s="1"/>
  <c r="P6" i="100"/>
  <c r="O16" i="103" l="1"/>
  <c r="N30" i="103"/>
  <c r="N31" i="103" s="1"/>
  <c r="N27" i="103"/>
  <c r="N28" i="103" s="1"/>
  <c r="N23" i="103"/>
  <c r="O23" i="103" l="1"/>
  <c r="O27" i="103"/>
  <c r="O28" i="103" s="1"/>
  <c r="O30" i="103"/>
  <c r="O31" i="103" s="1"/>
  <c r="P16" i="103"/>
  <c r="P30" i="103" l="1"/>
  <c r="P31" i="103" s="1"/>
  <c r="Q16" i="103"/>
  <c r="R16" i="103" s="1"/>
  <c r="P23" i="103"/>
  <c r="P27" i="103"/>
  <c r="P28" i="103" s="1"/>
  <c r="R30" i="103" l="1"/>
  <c r="R31" i="103" s="1"/>
  <c r="R23" i="103"/>
  <c r="Q27" i="103"/>
  <c r="Q28" i="103" s="1"/>
  <c r="Q23" i="103"/>
  <c r="Q30" i="103"/>
  <c r="Q31" i="103" s="1"/>
  <c r="S16" i="103" l="1"/>
  <c r="S23" i="103" l="1"/>
  <c r="C23" i="103" s="1"/>
  <c r="S27" i="103"/>
  <c r="S28" i="103" s="1"/>
  <c r="C14" i="103"/>
  <c r="F28" i="104" s="1"/>
  <c r="F27" i="104" s="1"/>
  <c r="S30" i="103"/>
  <c r="S31" i="103" s="1"/>
  <c r="C16" i="103"/>
  <c r="L14" i="100"/>
  <c r="J23" i="108" l="1"/>
  <c r="C7" i="104"/>
  <c r="C6" i="104" s="1"/>
  <c r="F24" i="104"/>
  <c r="F23" i="104" s="1"/>
  <c r="F37" i="104"/>
  <c r="F17" i="104"/>
  <c r="F11" i="104" s="1"/>
  <c r="C27" i="103"/>
  <c r="C28" i="103" s="1"/>
  <c r="Z23" i="103"/>
  <c r="C30" i="103"/>
  <c r="C31" i="103" s="1"/>
  <c r="Z25" i="103"/>
  <c r="Z31" i="103"/>
  <c r="Z29" i="103"/>
  <c r="Z27" i="103"/>
  <c r="Z30" i="103"/>
  <c r="Z26" i="103"/>
  <c r="Z28" i="103"/>
  <c r="Z24" i="103"/>
  <c r="Y34" i="103"/>
  <c r="Z32" i="103" l="1"/>
  <c r="A18" i="102"/>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1"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0" i="49"/>
  <c r="U20" i="49"/>
  <c r="U14" i="49"/>
  <c r="U12" i="49"/>
  <c r="U13" i="49"/>
  <c r="U6" i="49"/>
  <c r="U8"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0"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5" i="32" l="1"/>
  <c r="F24" i="32"/>
  <c r="F9" i="32"/>
  <c r="F6" i="32"/>
  <c r="F21" i="32"/>
  <c r="D12" i="111" s="1"/>
  <c r="F7" i="32"/>
  <c r="D15" i="111" s="1"/>
  <c r="F13" i="32"/>
  <c r="F11" i="32"/>
  <c r="F23" i="32"/>
  <c r="F15" i="32"/>
  <c r="F14" i="32"/>
  <c r="F18" i="32"/>
  <c r="F17" i="32"/>
  <c r="F8" i="32"/>
  <c r="F22" i="32"/>
  <c r="F16" i="32"/>
  <c r="F12" i="32"/>
  <c r="F19" i="32"/>
  <c r="F10"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<sst xmlns="http://schemas.openxmlformats.org/spreadsheetml/2006/main" count="4570" uniqueCount="1044">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</sst>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68">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2"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5" fillId="0" borderId="0" xfId="0" applyFont="1" applyAlignment="1">
      <alignment horizontal="center"/>
    </xf>
    <xf numFmtId="0" fontId="85" fillId="0" borderId="0" xfId="0" applyFont="1"/>
    <xf numFmtId="14" fontId="85" fillId="0" borderId="0" xfId="0" applyNumberFormat="1" applyFont="1"/>
    <xf numFmtId="0" fontId="86" fillId="0" borderId="0" xfId="0" applyFont="1" applyAlignment="1">
      <alignment horizontal="center"/>
    </xf>
    <xf numFmtId="164" fontId="85"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5" fillId="29" borderId="1" xfId="0" applyNumberFormat="1" applyFont="1" applyFill="1" applyBorder="1" applyAlignment="1">
      <alignment horizontal="center" vertical="center"/>
    </xf>
    <xf numFmtId="2" fontId="55" fillId="29" borderId="1" xfId="0" applyNumberFormat="1" applyFont="1" applyFill="1" applyBorder="1" applyAlignment="1">
      <alignment horizontal="center" vertical="center"/>
    </xf>
    <xf numFmtId="0" fontId="0" fillId="0" borderId="0" xfId="0" applyAlignment="1">
      <alignment horizontal="center"/>
    </xf>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88698176"/>
        <c:axId val="288695432"/>
      </c:barChart>
      <c:catAx>
        <c:axId val="288698176"/>
        <c:scaling>
          <c:orientation val="minMax"/>
        </c:scaling>
        <c:delete val="0"/>
        <c:axPos val="b"/>
        <c:numFmt formatCode="General" sourceLinked="1"/>
        <c:majorTickMark val="out"/>
        <c:minorTickMark val="none"/>
        <c:tickLblPos val="nextTo"/>
        <c:crossAx val="288695432"/>
        <c:crosses val="autoZero"/>
        <c:auto val="1"/>
        <c:lblAlgn val="ctr"/>
        <c:lblOffset val="100"/>
        <c:noMultiLvlLbl val="0"/>
      </c:catAx>
      <c:valAx>
        <c:axId val="288695432"/>
        <c:scaling>
          <c:orientation val="minMax"/>
        </c:scaling>
        <c:delete val="0"/>
        <c:axPos val="l"/>
        <c:majorGridlines/>
        <c:numFmt formatCode="_-* #,##0\ [$€-C0A]_-;\-* #,##0\ [$€-C0A]_-;_-* &quot;-&quot;??\ [$€-C0A]_-;_-@_-" sourceLinked="1"/>
        <c:majorTickMark val="out"/>
        <c:minorTickMark val="none"/>
        <c:tickLblPos val="nextTo"/>
        <c:crossAx val="2886981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44167352"/>
        <c:axId val="144168528"/>
      </c:barChart>
      <c:catAx>
        <c:axId val="144167352"/>
        <c:scaling>
          <c:orientation val="minMax"/>
        </c:scaling>
        <c:delete val="0"/>
        <c:axPos val="b"/>
        <c:numFmt formatCode="General" sourceLinked="1"/>
        <c:majorTickMark val="out"/>
        <c:minorTickMark val="none"/>
        <c:tickLblPos val="nextTo"/>
        <c:crossAx val="144168528"/>
        <c:crosses val="autoZero"/>
        <c:auto val="1"/>
        <c:lblAlgn val="ctr"/>
        <c:lblOffset val="100"/>
        <c:noMultiLvlLbl val="0"/>
      </c:catAx>
      <c:valAx>
        <c:axId val="144168528"/>
        <c:scaling>
          <c:orientation val="minMax"/>
        </c:scaling>
        <c:delete val="0"/>
        <c:axPos val="l"/>
        <c:majorGridlines/>
        <c:numFmt formatCode="_-* #,##0\ [$€-C0A]_-;\-* #,##0\ [$€-C0A]_-;_-* &quot;-&quot;??\ [$€-C0A]_-;_-@_-" sourceLinked="1"/>
        <c:majorTickMark val="out"/>
        <c:minorTickMark val="none"/>
        <c:tickLblPos val="nextTo"/>
        <c:crossAx val="1441673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144172448"/>
        <c:axId val="144173232"/>
      </c:barChart>
      <c:catAx>
        <c:axId val="144172448"/>
        <c:scaling>
          <c:orientation val="minMax"/>
        </c:scaling>
        <c:delete val="0"/>
        <c:axPos val="b"/>
        <c:numFmt formatCode="General" sourceLinked="1"/>
        <c:majorTickMark val="out"/>
        <c:minorTickMark val="none"/>
        <c:tickLblPos val="nextTo"/>
        <c:crossAx val="144173232"/>
        <c:crosses val="autoZero"/>
        <c:auto val="1"/>
        <c:lblAlgn val="ctr"/>
        <c:lblOffset val="100"/>
        <c:noMultiLvlLbl val="0"/>
      </c:catAx>
      <c:valAx>
        <c:axId val="144173232"/>
        <c:scaling>
          <c:orientation val="minMax"/>
        </c:scaling>
        <c:delete val="0"/>
        <c:axPos val="l"/>
        <c:majorGridlines/>
        <c:numFmt formatCode="_-* #,##0\ [$€-C0A]_-;\-* #,##0\ [$€-C0A]_-;_-* &quot;-&quot;??\ [$€-C0A]_-;_-@_-" sourceLinked="1"/>
        <c:majorTickMark val="out"/>
        <c:minorTickMark val="none"/>
        <c:tickLblPos val="nextTo"/>
        <c:crossAx val="1441724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44170880"/>
        <c:axId val="144171272"/>
      </c:barChart>
      <c:catAx>
        <c:axId val="144170880"/>
        <c:scaling>
          <c:orientation val="minMax"/>
        </c:scaling>
        <c:delete val="0"/>
        <c:axPos val="b"/>
        <c:numFmt formatCode="General" sourceLinked="1"/>
        <c:majorTickMark val="out"/>
        <c:minorTickMark val="none"/>
        <c:tickLblPos val="nextTo"/>
        <c:crossAx val="144171272"/>
        <c:crosses val="autoZero"/>
        <c:auto val="1"/>
        <c:lblAlgn val="ctr"/>
        <c:lblOffset val="100"/>
        <c:noMultiLvlLbl val="0"/>
      </c:catAx>
      <c:valAx>
        <c:axId val="144171272"/>
        <c:scaling>
          <c:orientation val="minMax"/>
        </c:scaling>
        <c:delete val="0"/>
        <c:axPos val="l"/>
        <c:majorGridlines/>
        <c:numFmt formatCode="_-* #,##0\ [$€-C0A]_-;\-* #,##0\ [$€-C0A]_-;_-* &quot;-&quot;??\ [$€-C0A]_-;_-@_-" sourceLinked="1"/>
        <c:majorTickMark val="out"/>
        <c:minorTickMark val="none"/>
        <c:tickLblPos val="nextTo"/>
        <c:crossAx val="1441708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144170488"/>
        <c:axId val="144168920"/>
      </c:barChart>
      <c:catAx>
        <c:axId val="144170488"/>
        <c:scaling>
          <c:orientation val="minMax"/>
        </c:scaling>
        <c:delete val="0"/>
        <c:axPos val="b"/>
        <c:numFmt formatCode="General" sourceLinked="1"/>
        <c:majorTickMark val="out"/>
        <c:minorTickMark val="none"/>
        <c:tickLblPos val="nextTo"/>
        <c:crossAx val="144168920"/>
        <c:crosses val="autoZero"/>
        <c:auto val="1"/>
        <c:lblAlgn val="ctr"/>
        <c:lblOffset val="100"/>
        <c:noMultiLvlLbl val="0"/>
      </c:catAx>
      <c:valAx>
        <c:axId val="144168920"/>
        <c:scaling>
          <c:orientation val="minMax"/>
        </c:scaling>
        <c:delete val="0"/>
        <c:axPos val="l"/>
        <c:majorGridlines/>
        <c:numFmt formatCode="_-* #,##0\ [$€-C0A]_-;\-* #,##0\ [$€-C0A]_-;_-* &quot;-&quot;??\ [$€-C0A]_-;_-@_-" sourceLinked="1"/>
        <c:majorTickMark val="out"/>
        <c:minorTickMark val="none"/>
        <c:tickLblPos val="nextTo"/>
        <c:crossAx val="1441704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144170096"/>
        <c:axId val="144171664"/>
      </c:barChart>
      <c:catAx>
        <c:axId val="144170096"/>
        <c:scaling>
          <c:orientation val="minMax"/>
        </c:scaling>
        <c:delete val="0"/>
        <c:axPos val="b"/>
        <c:numFmt formatCode="General" sourceLinked="1"/>
        <c:majorTickMark val="out"/>
        <c:minorTickMark val="none"/>
        <c:tickLblPos val="nextTo"/>
        <c:crossAx val="144171664"/>
        <c:crosses val="autoZero"/>
        <c:auto val="1"/>
        <c:lblAlgn val="ctr"/>
        <c:lblOffset val="100"/>
        <c:noMultiLvlLbl val="0"/>
      </c:catAx>
      <c:valAx>
        <c:axId val="144171664"/>
        <c:scaling>
          <c:orientation val="minMax"/>
        </c:scaling>
        <c:delete val="0"/>
        <c:axPos val="l"/>
        <c:majorGridlines/>
        <c:numFmt formatCode="_-* #,##0\ [$€-C0A]_-;\-* #,##0\ [$€-C0A]_-;_-* &quot;-&quot;??\ [$€-C0A]_-;_-@_-" sourceLinked="1"/>
        <c:majorTickMark val="out"/>
        <c:minorTickMark val="none"/>
        <c:tickLblPos val="nextTo"/>
        <c:crossAx val="1441700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143247072"/>
        <c:axId val="143245112"/>
      </c:barChart>
      <c:catAx>
        <c:axId val="143247072"/>
        <c:scaling>
          <c:orientation val="minMax"/>
        </c:scaling>
        <c:delete val="0"/>
        <c:axPos val="b"/>
        <c:numFmt formatCode="General" sourceLinked="1"/>
        <c:majorTickMark val="out"/>
        <c:minorTickMark val="none"/>
        <c:tickLblPos val="nextTo"/>
        <c:crossAx val="143245112"/>
        <c:crosses val="autoZero"/>
        <c:auto val="1"/>
        <c:lblAlgn val="ctr"/>
        <c:lblOffset val="100"/>
        <c:noMultiLvlLbl val="0"/>
      </c:catAx>
      <c:valAx>
        <c:axId val="143245112"/>
        <c:scaling>
          <c:orientation val="minMax"/>
        </c:scaling>
        <c:delete val="0"/>
        <c:axPos val="l"/>
        <c:majorGridlines/>
        <c:numFmt formatCode="_-* #,##0\ [$€-C0A]_-;\-* #,##0\ [$€-C0A]_-;_-* &quot;-&quot;??\ [$€-C0A]_-;_-@_-" sourceLinked="1"/>
        <c:majorTickMark val="out"/>
        <c:minorTickMark val="none"/>
        <c:tickLblPos val="nextTo"/>
        <c:crossAx val="1432470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43245896"/>
        <c:axId val="143248248"/>
      </c:barChart>
      <c:catAx>
        <c:axId val="143245896"/>
        <c:scaling>
          <c:orientation val="minMax"/>
        </c:scaling>
        <c:delete val="0"/>
        <c:axPos val="b"/>
        <c:numFmt formatCode="General" sourceLinked="1"/>
        <c:majorTickMark val="out"/>
        <c:minorTickMark val="none"/>
        <c:tickLblPos val="nextTo"/>
        <c:crossAx val="143248248"/>
        <c:crosses val="autoZero"/>
        <c:auto val="1"/>
        <c:lblAlgn val="ctr"/>
        <c:lblOffset val="100"/>
        <c:noMultiLvlLbl val="0"/>
      </c:catAx>
      <c:valAx>
        <c:axId val="143248248"/>
        <c:scaling>
          <c:orientation val="minMax"/>
        </c:scaling>
        <c:delete val="0"/>
        <c:axPos val="l"/>
        <c:majorGridlines/>
        <c:numFmt formatCode="_-* #,##0\ [$€-C0A]_-;\-* #,##0\ [$€-C0A]_-;_-* &quot;-&quot;??\ [$€-C0A]_-;_-@_-" sourceLinked="1"/>
        <c:majorTickMark val="out"/>
        <c:minorTickMark val="none"/>
        <c:tickLblPos val="nextTo"/>
        <c:crossAx val="1432458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46355640"/>
        <c:axId val="146356816"/>
      </c:barChart>
      <c:catAx>
        <c:axId val="146355640"/>
        <c:scaling>
          <c:orientation val="minMax"/>
        </c:scaling>
        <c:delete val="0"/>
        <c:axPos val="b"/>
        <c:numFmt formatCode="General" sourceLinked="1"/>
        <c:majorTickMark val="out"/>
        <c:minorTickMark val="none"/>
        <c:tickLblPos val="nextTo"/>
        <c:crossAx val="146356816"/>
        <c:crosses val="autoZero"/>
        <c:auto val="1"/>
        <c:lblAlgn val="ctr"/>
        <c:lblOffset val="100"/>
        <c:noMultiLvlLbl val="0"/>
      </c:catAx>
      <c:valAx>
        <c:axId val="146356816"/>
        <c:scaling>
          <c:orientation val="minMax"/>
        </c:scaling>
        <c:delete val="0"/>
        <c:axPos val="l"/>
        <c:majorGridlines/>
        <c:numFmt formatCode="_-* #,##0\ [$€-C0A]_-;\-* #,##0\ [$€-C0A]_-;_-* &quot;-&quot;??\ [$€-C0A]_-;_-@_-" sourceLinked="1"/>
        <c:majorTickMark val="out"/>
        <c:minorTickMark val="none"/>
        <c:tickLblPos val="nextTo"/>
        <c:crossAx val="1463556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46350152"/>
        <c:axId val="146351720"/>
      </c:barChart>
      <c:catAx>
        <c:axId val="146350152"/>
        <c:scaling>
          <c:orientation val="minMax"/>
        </c:scaling>
        <c:delete val="0"/>
        <c:axPos val="b"/>
        <c:numFmt formatCode="General" sourceLinked="1"/>
        <c:majorTickMark val="out"/>
        <c:minorTickMark val="none"/>
        <c:tickLblPos val="nextTo"/>
        <c:crossAx val="146351720"/>
        <c:crosses val="autoZero"/>
        <c:auto val="1"/>
        <c:lblAlgn val="ctr"/>
        <c:lblOffset val="100"/>
        <c:noMultiLvlLbl val="0"/>
      </c:catAx>
      <c:valAx>
        <c:axId val="146351720"/>
        <c:scaling>
          <c:orientation val="minMax"/>
        </c:scaling>
        <c:delete val="0"/>
        <c:axPos val="l"/>
        <c:majorGridlines/>
        <c:numFmt formatCode="_-* #,##0\ [$€-C0A]_-;\-* #,##0\ [$€-C0A]_-;_-* &quot;-&quot;??\ [$€-C0A]_-;_-@_-" sourceLinked="1"/>
        <c:majorTickMark val="out"/>
        <c:minorTickMark val="none"/>
        <c:tickLblPos val="nextTo"/>
        <c:crossAx val="1463501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146350936"/>
        <c:axId val="146351328"/>
      </c:barChart>
      <c:catAx>
        <c:axId val="146350936"/>
        <c:scaling>
          <c:orientation val="minMax"/>
        </c:scaling>
        <c:delete val="0"/>
        <c:axPos val="b"/>
        <c:numFmt formatCode="General" sourceLinked="1"/>
        <c:majorTickMark val="out"/>
        <c:minorTickMark val="none"/>
        <c:tickLblPos val="nextTo"/>
        <c:crossAx val="146351328"/>
        <c:crosses val="autoZero"/>
        <c:auto val="1"/>
        <c:lblAlgn val="ctr"/>
        <c:lblOffset val="100"/>
        <c:noMultiLvlLbl val="0"/>
      </c:catAx>
      <c:valAx>
        <c:axId val="146351328"/>
        <c:scaling>
          <c:orientation val="minMax"/>
        </c:scaling>
        <c:delete val="0"/>
        <c:axPos val="l"/>
        <c:majorGridlines/>
        <c:numFmt formatCode="_-* #,##0\ [$€-C0A]_-;\-* #,##0\ [$€-C0A]_-;_-* &quot;-&quot;??\ [$€-C0A]_-;_-@_-" sourceLinked="1"/>
        <c:majorTickMark val="out"/>
        <c:minorTickMark val="none"/>
        <c:tickLblPos val="nextTo"/>
        <c:crossAx val="1463509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8697000"/>
        <c:axId val="288698568"/>
      </c:barChart>
      <c:catAx>
        <c:axId val="288697000"/>
        <c:scaling>
          <c:orientation val="minMax"/>
        </c:scaling>
        <c:delete val="0"/>
        <c:axPos val="b"/>
        <c:numFmt formatCode="General" sourceLinked="1"/>
        <c:majorTickMark val="out"/>
        <c:minorTickMark val="none"/>
        <c:tickLblPos val="nextTo"/>
        <c:crossAx val="288698568"/>
        <c:crosses val="autoZero"/>
        <c:auto val="1"/>
        <c:lblAlgn val="ctr"/>
        <c:lblOffset val="100"/>
        <c:noMultiLvlLbl val="0"/>
      </c:catAx>
      <c:valAx>
        <c:axId val="288698568"/>
        <c:scaling>
          <c:orientation val="minMax"/>
        </c:scaling>
        <c:delete val="0"/>
        <c:axPos val="l"/>
        <c:majorGridlines/>
        <c:numFmt formatCode="_-* #,##0\ [$€-C0A]_-;\-* #,##0\ [$€-C0A]_-;_-* &quot;-&quot;??\ [$€-C0A]_-;_-@_-" sourceLinked="1"/>
        <c:majorTickMark val="out"/>
        <c:minorTickMark val="none"/>
        <c:tickLblPos val="nextTo"/>
        <c:crossAx val="2886970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46355248"/>
        <c:axId val="146356424"/>
      </c:barChart>
      <c:catAx>
        <c:axId val="146355248"/>
        <c:scaling>
          <c:orientation val="minMax"/>
        </c:scaling>
        <c:delete val="0"/>
        <c:axPos val="b"/>
        <c:numFmt formatCode="General" sourceLinked="1"/>
        <c:majorTickMark val="out"/>
        <c:minorTickMark val="none"/>
        <c:tickLblPos val="nextTo"/>
        <c:crossAx val="146356424"/>
        <c:crosses val="autoZero"/>
        <c:auto val="1"/>
        <c:lblAlgn val="ctr"/>
        <c:lblOffset val="100"/>
        <c:noMultiLvlLbl val="0"/>
      </c:catAx>
      <c:valAx>
        <c:axId val="146356424"/>
        <c:scaling>
          <c:orientation val="minMax"/>
        </c:scaling>
        <c:delete val="0"/>
        <c:axPos val="l"/>
        <c:majorGridlines/>
        <c:numFmt formatCode="_-* #,##0\ [$€-C0A]_-;\-* #,##0\ [$€-C0A]_-;_-* &quot;-&quot;??\ [$€-C0A]_-;_-@_-" sourceLinked="1"/>
        <c:majorTickMark val="out"/>
        <c:minorTickMark val="none"/>
        <c:tickLblPos val="nextTo"/>
        <c:crossAx val="1463552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146357208"/>
        <c:axId val="146356032"/>
      </c:barChart>
      <c:catAx>
        <c:axId val="146357208"/>
        <c:scaling>
          <c:orientation val="minMax"/>
        </c:scaling>
        <c:delete val="0"/>
        <c:axPos val="b"/>
        <c:numFmt formatCode="General" sourceLinked="1"/>
        <c:majorTickMark val="out"/>
        <c:minorTickMark val="none"/>
        <c:tickLblPos val="nextTo"/>
        <c:crossAx val="146356032"/>
        <c:crosses val="autoZero"/>
        <c:auto val="1"/>
        <c:lblAlgn val="ctr"/>
        <c:lblOffset val="100"/>
        <c:noMultiLvlLbl val="0"/>
      </c:catAx>
      <c:valAx>
        <c:axId val="146356032"/>
        <c:scaling>
          <c:orientation val="minMax"/>
        </c:scaling>
        <c:delete val="0"/>
        <c:axPos val="l"/>
        <c:majorGridlines/>
        <c:numFmt formatCode="_-* #,##0\ [$€-C0A]_-;\-* #,##0\ [$€-C0A]_-;_-* &quot;-&quot;??\ [$€-C0A]_-;_-@_-" sourceLinked="1"/>
        <c:majorTickMark val="out"/>
        <c:minorTickMark val="none"/>
        <c:tickLblPos val="nextTo"/>
        <c:crossAx val="1463572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46353288"/>
        <c:axId val="146353680"/>
      </c:barChart>
      <c:catAx>
        <c:axId val="146353288"/>
        <c:scaling>
          <c:orientation val="minMax"/>
        </c:scaling>
        <c:delete val="0"/>
        <c:axPos val="b"/>
        <c:numFmt formatCode="General" sourceLinked="1"/>
        <c:majorTickMark val="out"/>
        <c:minorTickMark val="none"/>
        <c:tickLblPos val="nextTo"/>
        <c:crossAx val="146353680"/>
        <c:crosses val="autoZero"/>
        <c:auto val="1"/>
        <c:lblAlgn val="ctr"/>
        <c:lblOffset val="100"/>
        <c:noMultiLvlLbl val="0"/>
      </c:catAx>
      <c:valAx>
        <c:axId val="146353680"/>
        <c:scaling>
          <c:orientation val="minMax"/>
        </c:scaling>
        <c:delete val="0"/>
        <c:axPos val="l"/>
        <c:majorGridlines/>
        <c:numFmt formatCode="_-* #,##0\ [$€-C0A]_-;\-* #,##0\ [$€-C0A]_-;_-* &quot;-&quot;??\ [$€-C0A]_-;_-@_-" sourceLinked="1"/>
        <c:majorTickMark val="out"/>
        <c:minorTickMark val="none"/>
        <c:tickLblPos val="nextTo"/>
        <c:crossAx val="1463532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146354856"/>
        <c:axId val="147398552"/>
      </c:lineChart>
      <c:catAx>
        <c:axId val="146354856"/>
        <c:scaling>
          <c:orientation val="minMax"/>
        </c:scaling>
        <c:delete val="0"/>
        <c:axPos val="b"/>
        <c:numFmt formatCode="General" sourceLinked="0"/>
        <c:majorTickMark val="out"/>
        <c:minorTickMark val="none"/>
        <c:tickLblPos val="nextTo"/>
        <c:crossAx val="147398552"/>
        <c:crosses val="autoZero"/>
        <c:auto val="1"/>
        <c:lblAlgn val="ctr"/>
        <c:lblOffset val="100"/>
        <c:noMultiLvlLbl val="0"/>
      </c:catAx>
      <c:valAx>
        <c:axId val="147398552"/>
        <c:scaling>
          <c:orientation val="minMax"/>
          <c:min val="0"/>
        </c:scaling>
        <c:delete val="0"/>
        <c:axPos val="l"/>
        <c:majorGridlines/>
        <c:numFmt formatCode="General" sourceLinked="1"/>
        <c:majorTickMark val="out"/>
        <c:minorTickMark val="none"/>
        <c:tickLblPos val="nextTo"/>
        <c:crossAx val="146354856"/>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8692296"/>
        <c:axId val="143247856"/>
      </c:barChart>
      <c:catAx>
        <c:axId val="288692296"/>
        <c:scaling>
          <c:orientation val="minMax"/>
        </c:scaling>
        <c:delete val="0"/>
        <c:axPos val="b"/>
        <c:numFmt formatCode="General" sourceLinked="1"/>
        <c:majorTickMark val="out"/>
        <c:minorTickMark val="none"/>
        <c:tickLblPos val="nextTo"/>
        <c:crossAx val="143247856"/>
        <c:crosses val="autoZero"/>
        <c:auto val="1"/>
        <c:lblAlgn val="ctr"/>
        <c:lblOffset val="100"/>
        <c:noMultiLvlLbl val="0"/>
      </c:catAx>
      <c:valAx>
        <c:axId val="143247856"/>
        <c:scaling>
          <c:orientation val="minMax"/>
        </c:scaling>
        <c:delete val="0"/>
        <c:axPos val="l"/>
        <c:majorGridlines/>
        <c:numFmt formatCode="_-* #,##0\ [$€-C0A]_-;\-* #,##0\ [$€-C0A]_-;_-* &quot;-&quot;??\ [$€-C0A]_-;_-@_-" sourceLinked="1"/>
        <c:majorTickMark val="out"/>
        <c:minorTickMark val="none"/>
        <c:tickLblPos val="nextTo"/>
        <c:crossAx val="2886922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43245504"/>
        <c:axId val="143242760"/>
      </c:barChart>
      <c:catAx>
        <c:axId val="143245504"/>
        <c:scaling>
          <c:orientation val="minMax"/>
        </c:scaling>
        <c:delete val="0"/>
        <c:axPos val="b"/>
        <c:numFmt formatCode="General" sourceLinked="1"/>
        <c:majorTickMark val="out"/>
        <c:minorTickMark val="none"/>
        <c:tickLblPos val="nextTo"/>
        <c:crossAx val="143242760"/>
        <c:crosses val="autoZero"/>
        <c:auto val="1"/>
        <c:lblAlgn val="ctr"/>
        <c:lblOffset val="100"/>
        <c:noMultiLvlLbl val="0"/>
      </c:catAx>
      <c:valAx>
        <c:axId val="143242760"/>
        <c:scaling>
          <c:orientation val="minMax"/>
        </c:scaling>
        <c:delete val="0"/>
        <c:axPos val="l"/>
        <c:majorGridlines/>
        <c:numFmt formatCode="_-* #,##0\ [$€-C0A]_-;\-* #,##0\ [$€-C0A]_-;_-* &quot;-&quot;??\ [$€-C0A]_-;_-@_-" sourceLinked="1"/>
        <c:majorTickMark val="out"/>
        <c:minorTickMark val="none"/>
        <c:tickLblPos val="nextTo"/>
        <c:crossAx val="1432455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143244328"/>
        <c:axId val="143243544"/>
      </c:barChart>
      <c:catAx>
        <c:axId val="143244328"/>
        <c:scaling>
          <c:orientation val="minMax"/>
        </c:scaling>
        <c:delete val="0"/>
        <c:axPos val="b"/>
        <c:numFmt formatCode="General" sourceLinked="1"/>
        <c:majorTickMark val="out"/>
        <c:minorTickMark val="none"/>
        <c:tickLblPos val="nextTo"/>
        <c:crossAx val="143243544"/>
        <c:crosses val="autoZero"/>
        <c:auto val="1"/>
        <c:lblAlgn val="ctr"/>
        <c:lblOffset val="100"/>
        <c:noMultiLvlLbl val="0"/>
      </c:catAx>
      <c:valAx>
        <c:axId val="143243544"/>
        <c:scaling>
          <c:orientation val="minMax"/>
        </c:scaling>
        <c:delete val="0"/>
        <c:axPos val="l"/>
        <c:majorGridlines/>
        <c:numFmt formatCode="_-* #,##0\ [$€-C0A]_-;\-* #,##0\ [$€-C0A]_-;_-* &quot;-&quot;??\ [$€-C0A]_-;_-@_-" sourceLinked="1"/>
        <c:majorTickMark val="out"/>
        <c:minorTickMark val="none"/>
        <c:tickLblPos val="nextTo"/>
        <c:crossAx val="1432443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43247464"/>
        <c:axId val="143250208"/>
      </c:barChart>
      <c:catAx>
        <c:axId val="143247464"/>
        <c:scaling>
          <c:orientation val="minMax"/>
        </c:scaling>
        <c:delete val="0"/>
        <c:axPos val="b"/>
        <c:numFmt formatCode="General" sourceLinked="1"/>
        <c:majorTickMark val="out"/>
        <c:minorTickMark val="none"/>
        <c:tickLblPos val="nextTo"/>
        <c:crossAx val="143250208"/>
        <c:crosses val="autoZero"/>
        <c:auto val="1"/>
        <c:lblAlgn val="ctr"/>
        <c:lblOffset val="100"/>
        <c:noMultiLvlLbl val="0"/>
      </c:catAx>
      <c:valAx>
        <c:axId val="143250208"/>
        <c:scaling>
          <c:orientation val="minMax"/>
        </c:scaling>
        <c:delete val="0"/>
        <c:axPos val="l"/>
        <c:majorGridlines/>
        <c:numFmt formatCode="_-* #,##0\ [$€-C0A]_-;\-* #,##0\ [$€-C0A]_-;_-* &quot;-&quot;??\ [$€-C0A]_-;_-@_-" sourceLinked="1"/>
        <c:majorTickMark val="out"/>
        <c:minorTickMark val="none"/>
        <c:tickLblPos val="nextTo"/>
        <c:crossAx val="1432474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143249816"/>
        <c:axId val="143249032"/>
      </c:barChart>
      <c:catAx>
        <c:axId val="143249816"/>
        <c:scaling>
          <c:orientation val="minMax"/>
        </c:scaling>
        <c:delete val="0"/>
        <c:axPos val="b"/>
        <c:numFmt formatCode="General" sourceLinked="1"/>
        <c:majorTickMark val="out"/>
        <c:minorTickMark val="none"/>
        <c:tickLblPos val="nextTo"/>
        <c:crossAx val="143249032"/>
        <c:crosses val="autoZero"/>
        <c:auto val="1"/>
        <c:lblAlgn val="ctr"/>
        <c:lblOffset val="100"/>
        <c:noMultiLvlLbl val="0"/>
      </c:catAx>
      <c:valAx>
        <c:axId val="143249032"/>
        <c:scaling>
          <c:orientation val="minMax"/>
        </c:scaling>
        <c:delete val="0"/>
        <c:axPos val="l"/>
        <c:majorGridlines/>
        <c:numFmt formatCode="_-* #,##0\ [$€-C0A]_-;\-* #,##0\ [$€-C0A]_-;_-* &quot;-&quot;??\ [$€-C0A]_-;_-@_-" sourceLinked="1"/>
        <c:majorTickMark val="out"/>
        <c:minorTickMark val="none"/>
        <c:tickLblPos val="nextTo"/>
        <c:crossAx val="1432498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144172840"/>
        <c:axId val="144167744"/>
      </c:barChart>
      <c:catAx>
        <c:axId val="144172840"/>
        <c:scaling>
          <c:orientation val="minMax"/>
        </c:scaling>
        <c:delete val="0"/>
        <c:axPos val="b"/>
        <c:numFmt formatCode="General" sourceLinked="1"/>
        <c:majorTickMark val="out"/>
        <c:minorTickMark val="none"/>
        <c:tickLblPos val="nextTo"/>
        <c:crossAx val="144167744"/>
        <c:crosses val="autoZero"/>
        <c:auto val="1"/>
        <c:lblAlgn val="ctr"/>
        <c:lblOffset val="100"/>
        <c:noMultiLvlLbl val="0"/>
      </c:catAx>
      <c:valAx>
        <c:axId val="144167744"/>
        <c:scaling>
          <c:orientation val="minMax"/>
        </c:scaling>
        <c:delete val="0"/>
        <c:axPos val="l"/>
        <c:majorGridlines/>
        <c:numFmt formatCode="_-* #,##0\ [$€-C0A]_-;\-* #,##0\ [$€-C0A]_-;_-* &quot;-&quot;??\ [$€-C0A]_-;_-@_-" sourceLinked="1"/>
        <c:majorTickMark val="out"/>
        <c:minorTickMark val="none"/>
        <c:tickLblPos val="nextTo"/>
        <c:crossAx val="1441728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144168136"/>
        <c:axId val="144174016"/>
      </c:barChart>
      <c:catAx>
        <c:axId val="144168136"/>
        <c:scaling>
          <c:orientation val="minMax"/>
        </c:scaling>
        <c:delete val="0"/>
        <c:axPos val="b"/>
        <c:numFmt formatCode="General" sourceLinked="1"/>
        <c:majorTickMark val="out"/>
        <c:minorTickMark val="none"/>
        <c:tickLblPos val="nextTo"/>
        <c:crossAx val="144174016"/>
        <c:crosses val="autoZero"/>
        <c:auto val="1"/>
        <c:lblAlgn val="ctr"/>
        <c:lblOffset val="100"/>
        <c:noMultiLvlLbl val="0"/>
      </c:catAx>
      <c:valAx>
        <c:axId val="144174016"/>
        <c:scaling>
          <c:orientation val="minMax"/>
        </c:scaling>
        <c:delete val="0"/>
        <c:axPos val="l"/>
        <c:majorGridlines/>
        <c:numFmt formatCode="_-* #,##0\ [$€-C0A]_-;\-* #,##0\ [$€-C0A]_-;_-* &quot;-&quot;??\ [$€-C0A]_-;_-@_-" sourceLinked="1"/>
        <c:majorTickMark val="out"/>
        <c:minorTickMark val="none"/>
        <c:tickLblPos val="nextTo"/>
        <c:crossAx val="1441681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8.bin"/><Relationship Id="rId4" Type="http://schemas.openxmlformats.org/officeDocument/2006/relationships/comments" Target="../comments5.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0.bin"/><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1" bestFit="1" customWidth="1"/>
    <col min="7" max="7" width="4.5703125" bestFit="1" customWidth="1"/>
    <col min="8" max="8" width="5.5703125" style="541" bestFit="1" customWidth="1"/>
    <col min="9" max="9" width="5" bestFit="1" customWidth="1"/>
    <col min="10" max="10" width="4.5703125" bestFit="1" customWidth="1"/>
    <col min="11" max="11" width="10.7109375" bestFit="1" customWidth="1"/>
    <col min="12" max="12" width="8.42578125" style="541"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0">
        <f ca="1">TODAY()</f>
        <v>43080</v>
      </c>
      <c r="D1" s="714">
        <v>41471</v>
      </c>
      <c r="E1" s="714"/>
      <c r="F1" s="714"/>
      <c r="H1" s="310"/>
    </row>
    <row r="2" spans="1:17" s="3" customFormat="1" x14ac:dyDescent="0.25">
      <c r="A2" s="3">
        <v>16</v>
      </c>
      <c r="B2" s="310"/>
      <c r="C2" s="341"/>
      <c r="D2" s="324"/>
      <c r="E2" s="324"/>
    </row>
    <row r="3" spans="1:17" s="271" customFormat="1" x14ac:dyDescent="0.25">
      <c r="A3" s="325"/>
      <c r="B3" s="325" t="s">
        <v>502</v>
      </c>
      <c r="C3" s="321" t="s">
        <v>635</v>
      </c>
      <c r="D3" s="287" t="s">
        <v>595</v>
      </c>
      <c r="F3" s="542"/>
      <c r="J3" s="554" t="s">
        <v>595</v>
      </c>
    </row>
    <row r="4" spans="1:17" x14ac:dyDescent="0.25">
      <c r="A4" s="326" t="s">
        <v>453</v>
      </c>
      <c r="B4" s="326" t="s">
        <v>316</v>
      </c>
      <c r="C4" s="328" t="s">
        <v>182</v>
      </c>
      <c r="D4" s="326" t="s">
        <v>185</v>
      </c>
      <c r="E4" s="451" t="s">
        <v>856</v>
      </c>
      <c r="F4" s="451" t="s">
        <v>855</v>
      </c>
      <c r="G4" s="451" t="s">
        <v>857</v>
      </c>
      <c r="H4" s="451" t="s">
        <v>829</v>
      </c>
      <c r="I4" s="451" t="s">
        <v>63</v>
      </c>
      <c r="J4" s="326" t="s">
        <v>185</v>
      </c>
      <c r="K4" s="555" t="s">
        <v>1</v>
      </c>
      <c r="L4" s="555" t="s">
        <v>2</v>
      </c>
      <c r="M4" s="555" t="s">
        <v>837</v>
      </c>
      <c r="N4" s="555" t="s">
        <v>703</v>
      </c>
      <c r="O4" s="555" t="s">
        <v>838</v>
      </c>
      <c r="P4" s="555" t="s">
        <v>712</v>
      </c>
      <c r="Q4" s="555" t="s">
        <v>0</v>
      </c>
    </row>
    <row r="5" spans="1:17" s="266" customFormat="1" x14ac:dyDescent="0.25">
      <c r="A5" s="416" t="s">
        <v>577</v>
      </c>
      <c r="B5" s="416" t="s">
        <v>1</v>
      </c>
      <c r="C5" s="480" t="s">
        <v>306</v>
      </c>
      <c r="D5" s="420" t="s">
        <v>175</v>
      </c>
      <c r="E5" s="546">
        <v>41400</v>
      </c>
      <c r="F5" s="625">
        <f ca="1">TODAY()-E5</f>
        <v>1680</v>
      </c>
      <c r="G5" s="626">
        <f ca="1">F5/112</f>
        <v>15</v>
      </c>
      <c r="H5" s="543">
        <v>19</v>
      </c>
      <c r="I5" s="543">
        <v>11</v>
      </c>
      <c r="J5" s="420" t="s">
        <v>175</v>
      </c>
      <c r="K5" s="556" t="s">
        <v>858</v>
      </c>
      <c r="L5" s="595" t="s">
        <v>471</v>
      </c>
      <c r="M5" s="556"/>
      <c r="N5" s="556"/>
      <c r="O5" s="556"/>
      <c r="P5" s="556"/>
      <c r="Q5" s="556"/>
    </row>
    <row r="6" spans="1:17" s="288" customFormat="1" x14ac:dyDescent="0.25">
      <c r="A6" s="416" t="s">
        <v>443</v>
      </c>
      <c r="B6" s="416" t="s">
        <v>1</v>
      </c>
      <c r="C6" s="480" t="s">
        <v>307</v>
      </c>
      <c r="D6" s="420" t="s">
        <v>595</v>
      </c>
      <c r="E6" s="546">
        <v>41400</v>
      </c>
      <c r="F6" s="625">
        <f t="shared" ref="F6:F20" ca="1" si="0">TODAY()-E6</f>
        <v>1680</v>
      </c>
      <c r="G6" s="626">
        <f t="shared" ref="G6:G20" ca="1" si="1">F6/112</f>
        <v>15</v>
      </c>
      <c r="H6" s="348">
        <v>20</v>
      </c>
      <c r="I6" s="348">
        <v>2</v>
      </c>
      <c r="J6" s="420" t="s">
        <v>595</v>
      </c>
      <c r="K6" s="556" t="s">
        <v>858</v>
      </c>
      <c r="L6" s="388" t="s">
        <v>471</v>
      </c>
      <c r="M6" s="557"/>
      <c r="N6" s="557"/>
      <c r="O6" s="557"/>
      <c r="P6" s="557"/>
      <c r="Q6" s="557"/>
    </row>
    <row r="7" spans="1:17" s="272" customFormat="1" x14ac:dyDescent="0.25">
      <c r="A7" s="332" t="s">
        <v>452</v>
      </c>
      <c r="B7" s="285" t="s">
        <v>2</v>
      </c>
      <c r="C7" s="481" t="s">
        <v>315</v>
      </c>
      <c r="D7" s="287" t="s">
        <v>595</v>
      </c>
      <c r="E7" s="547">
        <v>41519</v>
      </c>
      <c r="F7" s="625">
        <f t="shared" ca="1" si="0"/>
        <v>1561</v>
      </c>
      <c r="G7" s="626">
        <f t="shared" ca="1" si="1"/>
        <v>13.9375</v>
      </c>
      <c r="H7" s="544">
        <f>24-7</f>
        <v>17</v>
      </c>
      <c r="I7" s="544">
        <f>102-(5*7+1)</f>
        <v>66</v>
      </c>
      <c r="J7" s="287" t="s">
        <v>595</v>
      </c>
      <c r="K7" s="556"/>
      <c r="L7" s="556" t="s">
        <v>470</v>
      </c>
      <c r="M7" s="556" t="s">
        <v>465</v>
      </c>
      <c r="N7" s="556"/>
      <c r="O7" s="556" t="s">
        <v>470</v>
      </c>
      <c r="P7" s="556" t="s">
        <v>465</v>
      </c>
      <c r="Q7" s="556"/>
    </row>
    <row r="8" spans="1:17" s="264" customFormat="1" x14ac:dyDescent="0.25">
      <c r="A8" s="416" t="s">
        <v>445</v>
      </c>
      <c r="B8" s="285" t="s">
        <v>2</v>
      </c>
      <c r="C8" s="481" t="s">
        <v>313</v>
      </c>
      <c r="D8" s="287"/>
      <c r="E8" s="547">
        <v>41527</v>
      </c>
      <c r="F8" s="625">
        <f t="shared" ca="1" si="0"/>
        <v>1553</v>
      </c>
      <c r="G8" s="626">
        <f t="shared" ca="1" si="1"/>
        <v>13.866071428571429</v>
      </c>
      <c r="H8" s="544">
        <f>24-7</f>
        <v>17</v>
      </c>
      <c r="I8" s="544">
        <f>41-(4*7)</f>
        <v>13</v>
      </c>
      <c r="J8" s="287"/>
      <c r="K8" s="556"/>
      <c r="L8" s="556" t="s">
        <v>464</v>
      </c>
      <c r="M8" s="556"/>
      <c r="N8" s="556" t="s">
        <v>858</v>
      </c>
      <c r="O8" s="556" t="s">
        <v>464</v>
      </c>
      <c r="P8" s="556" t="s">
        <v>573</v>
      </c>
      <c r="Q8" s="556"/>
    </row>
    <row r="9" spans="1:17" s="265" customFormat="1" x14ac:dyDescent="0.25">
      <c r="A9" s="416" t="s">
        <v>597</v>
      </c>
      <c r="B9" s="416" t="s">
        <v>2</v>
      </c>
      <c r="C9" s="480" t="s">
        <v>309</v>
      </c>
      <c r="D9" s="420"/>
      <c r="E9" s="548">
        <v>41539</v>
      </c>
      <c r="F9" s="625">
        <f t="shared" ca="1" si="0"/>
        <v>1541</v>
      </c>
      <c r="G9" s="626">
        <f t="shared" ca="1" si="1"/>
        <v>13.758928571428571</v>
      </c>
      <c r="H9" s="476">
        <f>24-7</f>
        <v>17</v>
      </c>
      <c r="I9" s="476">
        <v>40</v>
      </c>
      <c r="J9" s="420"/>
      <c r="K9" s="556"/>
      <c r="L9" s="598" t="s">
        <v>271</v>
      </c>
      <c r="M9" s="556" t="s">
        <v>464</v>
      </c>
      <c r="N9" s="556" t="s">
        <v>470</v>
      </c>
      <c r="O9" s="556" t="s">
        <v>470</v>
      </c>
      <c r="P9" s="556" t="s">
        <v>465</v>
      </c>
      <c r="Q9" s="556"/>
    </row>
    <row r="10" spans="1:17" s="289" customFormat="1" x14ac:dyDescent="0.25">
      <c r="A10" s="416" t="s">
        <v>444</v>
      </c>
      <c r="B10" s="416" t="s">
        <v>65</v>
      </c>
      <c r="C10" s="480" t="s">
        <v>312</v>
      </c>
      <c r="D10" s="420"/>
      <c r="E10" s="550">
        <v>41552</v>
      </c>
      <c r="F10" s="625">
        <f t="shared" ca="1" si="0"/>
        <v>1528</v>
      </c>
      <c r="G10" s="626">
        <f t="shared" ca="1" si="1"/>
        <v>13.642857142857142</v>
      </c>
      <c r="H10" s="348">
        <f>24-7</f>
        <v>17</v>
      </c>
      <c r="I10" s="348">
        <v>2</v>
      </c>
      <c r="J10" s="420"/>
      <c r="K10" s="556"/>
      <c r="L10" s="556" t="s">
        <v>573</v>
      </c>
      <c r="M10" s="596" t="s">
        <v>471</v>
      </c>
      <c r="N10" s="556" t="s">
        <v>465</v>
      </c>
      <c r="O10" s="556" t="s">
        <v>465</v>
      </c>
      <c r="P10" s="556" t="s">
        <v>465</v>
      </c>
      <c r="Q10" s="556"/>
    </row>
    <row r="11" spans="1:17" s="289" customFormat="1" ht="15.75" x14ac:dyDescent="0.25">
      <c r="A11" s="416" t="s">
        <v>448</v>
      </c>
      <c r="B11" s="416" t="s">
        <v>66</v>
      </c>
      <c r="C11" s="480" t="s">
        <v>310</v>
      </c>
      <c r="D11" s="420" t="s">
        <v>311</v>
      </c>
      <c r="E11" s="549">
        <v>41583</v>
      </c>
      <c r="F11" s="625">
        <f t="shared" ca="1" si="0"/>
        <v>1497</v>
      </c>
      <c r="G11" s="626">
        <f t="shared" ca="1" si="1"/>
        <v>13.366071428571429</v>
      </c>
      <c r="H11" s="545">
        <f>23-6</f>
        <v>17</v>
      </c>
      <c r="I11" s="545">
        <v>46</v>
      </c>
      <c r="J11" s="420" t="s">
        <v>311</v>
      </c>
      <c r="K11" s="559"/>
      <c r="L11" s="597" t="s">
        <v>471</v>
      </c>
      <c r="M11" s="559" t="s">
        <v>465</v>
      </c>
      <c r="N11" s="559" t="s">
        <v>464</v>
      </c>
      <c r="O11" s="597" t="s">
        <v>471</v>
      </c>
      <c r="P11" s="597" t="s">
        <v>471</v>
      </c>
      <c r="Q11" s="559" t="s">
        <v>465</v>
      </c>
    </row>
    <row r="12" spans="1:17" s="272" customFormat="1" ht="15.75" x14ac:dyDescent="0.25">
      <c r="A12" s="332" t="s">
        <v>447</v>
      </c>
      <c r="B12" s="416" t="s">
        <v>65</v>
      </c>
      <c r="C12" s="480" t="s">
        <v>325</v>
      </c>
      <c r="D12" s="420" t="s">
        <v>308</v>
      </c>
      <c r="E12" s="550">
        <v>41653</v>
      </c>
      <c r="F12" s="625">
        <f t="shared" ca="1" si="0"/>
        <v>1427</v>
      </c>
      <c r="G12" s="626">
        <f t="shared" ca="1" si="1"/>
        <v>12.741071428571429</v>
      </c>
      <c r="H12" s="348">
        <v>18</v>
      </c>
      <c r="I12" s="348">
        <v>109</v>
      </c>
      <c r="J12" s="420" t="s">
        <v>308</v>
      </c>
      <c r="K12" s="559"/>
      <c r="L12" s="559" t="s">
        <v>465</v>
      </c>
      <c r="M12" s="600" t="s">
        <v>272</v>
      </c>
      <c r="N12" s="559" t="s">
        <v>464</v>
      </c>
      <c r="O12" s="559"/>
      <c r="P12" s="559" t="s">
        <v>470</v>
      </c>
      <c r="Q12" s="559" t="s">
        <v>464</v>
      </c>
    </row>
    <row r="13" spans="1:17" s="288" customFormat="1" ht="15.75" x14ac:dyDescent="0.25">
      <c r="A13" s="416" t="s">
        <v>599</v>
      </c>
      <c r="B13" s="416" t="s">
        <v>67</v>
      </c>
      <c r="C13" s="480" t="s">
        <v>327</v>
      </c>
      <c r="D13" s="420" t="s">
        <v>336</v>
      </c>
      <c r="E13" s="547">
        <v>41664</v>
      </c>
      <c r="F13" s="625">
        <f t="shared" ca="1" si="0"/>
        <v>1416</v>
      </c>
      <c r="G13" s="626">
        <f t="shared" ca="1" si="1"/>
        <v>12.642857142857142</v>
      </c>
      <c r="H13" s="544">
        <f>23-6</f>
        <v>17</v>
      </c>
      <c r="I13" s="544">
        <v>14</v>
      </c>
      <c r="J13" s="420" t="s">
        <v>336</v>
      </c>
      <c r="K13" s="559"/>
      <c r="L13" s="597" t="s">
        <v>471</v>
      </c>
      <c r="M13" s="559" t="s">
        <v>465</v>
      </c>
      <c r="N13" s="559" t="s">
        <v>465</v>
      </c>
      <c r="O13" s="599" t="s">
        <v>271</v>
      </c>
      <c r="P13" s="559" t="s">
        <v>465</v>
      </c>
      <c r="Q13" s="559" t="s">
        <v>272</v>
      </c>
    </row>
    <row r="14" spans="1:17" s="289" customFormat="1" ht="15.75" x14ac:dyDescent="0.25">
      <c r="A14" s="332" t="s">
        <v>451</v>
      </c>
      <c r="B14" s="285" t="s">
        <v>65</v>
      </c>
      <c r="C14" s="481" t="s">
        <v>440</v>
      </c>
      <c r="D14" s="287"/>
      <c r="E14" s="550">
        <v>41686</v>
      </c>
      <c r="F14" s="625">
        <f t="shared" ca="1" si="0"/>
        <v>1394</v>
      </c>
      <c r="G14" s="626">
        <f t="shared" ca="1" si="1"/>
        <v>12.446428571428571</v>
      </c>
      <c r="H14" s="348">
        <v>17</v>
      </c>
      <c r="I14" s="348">
        <v>111</v>
      </c>
      <c r="J14" s="287"/>
      <c r="K14" s="559"/>
      <c r="L14" s="559" t="s">
        <v>573</v>
      </c>
      <c r="M14" s="599" t="s">
        <v>271</v>
      </c>
      <c r="N14" s="560" t="s">
        <v>465</v>
      </c>
      <c r="O14" s="599" t="s">
        <v>271</v>
      </c>
      <c r="P14" s="559" t="s">
        <v>573</v>
      </c>
      <c r="Q14" s="560" t="s">
        <v>465</v>
      </c>
    </row>
    <row r="15" spans="1:17" ht="15.75" x14ac:dyDescent="0.25">
      <c r="A15" s="416" t="s">
        <v>450</v>
      </c>
      <c r="B15" s="416" t="s">
        <v>66</v>
      </c>
      <c r="C15" s="480" t="s">
        <v>338</v>
      </c>
      <c r="D15" s="420" t="s">
        <v>308</v>
      </c>
      <c r="E15" s="547">
        <v>41722</v>
      </c>
      <c r="F15" s="625">
        <f t="shared" ca="1" si="0"/>
        <v>1358</v>
      </c>
      <c r="G15" s="626">
        <f t="shared" ca="1" si="1"/>
        <v>12.125</v>
      </c>
      <c r="H15" s="544">
        <f>23-5</f>
        <v>18</v>
      </c>
      <c r="I15" s="544">
        <v>20</v>
      </c>
      <c r="J15" s="420" t="s">
        <v>308</v>
      </c>
      <c r="K15" s="559"/>
      <c r="L15" s="559" t="s">
        <v>470</v>
      </c>
      <c r="M15" s="559" t="s">
        <v>470</v>
      </c>
      <c r="N15" s="597" t="s">
        <v>471</v>
      </c>
      <c r="O15" s="559" t="s">
        <v>465</v>
      </c>
      <c r="P15" s="559" t="s">
        <v>464</v>
      </c>
      <c r="Q15" s="559" t="s">
        <v>464</v>
      </c>
    </row>
    <row r="16" spans="1:17" s="4" customFormat="1" ht="15.75" x14ac:dyDescent="0.25">
      <c r="A16" s="332" t="s">
        <v>598</v>
      </c>
      <c r="B16" s="285" t="s">
        <v>65</v>
      </c>
      <c r="C16" s="481" t="s">
        <v>454</v>
      </c>
      <c r="D16" s="287"/>
      <c r="E16" s="549">
        <v>41737</v>
      </c>
      <c r="F16" s="625">
        <f t="shared" ca="1" si="0"/>
        <v>1343</v>
      </c>
      <c r="G16" s="626">
        <f t="shared" ca="1" si="1"/>
        <v>11.991071428571429</v>
      </c>
      <c r="H16" s="545">
        <f>22-5</f>
        <v>17</v>
      </c>
      <c r="I16" s="545">
        <f>42-(7*6)</f>
        <v>0</v>
      </c>
      <c r="J16" s="287"/>
      <c r="K16" s="560"/>
      <c r="L16" s="559" t="s">
        <v>464</v>
      </c>
      <c r="M16" s="597" t="s">
        <v>471</v>
      </c>
      <c r="N16" s="559" t="s">
        <v>464</v>
      </c>
      <c r="O16" s="560"/>
      <c r="P16" s="559" t="s">
        <v>465</v>
      </c>
      <c r="Q16" s="559" t="s">
        <v>573</v>
      </c>
    </row>
    <row r="17" spans="1:17" s="288" customFormat="1" ht="15.75" x14ac:dyDescent="0.25">
      <c r="A17" s="416" t="s">
        <v>446</v>
      </c>
      <c r="B17" s="285" t="s">
        <v>65</v>
      </c>
      <c r="C17" s="481" t="s">
        <v>752</v>
      </c>
      <c r="D17" s="420" t="s">
        <v>308</v>
      </c>
      <c r="E17" s="549">
        <v>41747</v>
      </c>
      <c r="F17" s="625">
        <f t="shared" ca="1" si="0"/>
        <v>1333</v>
      </c>
      <c r="G17" s="626">
        <f t="shared" ca="1" si="1"/>
        <v>11.901785714285714</v>
      </c>
      <c r="H17" s="545">
        <f>22-5</f>
        <v>17</v>
      </c>
      <c r="I17" s="545">
        <v>57</v>
      </c>
      <c r="J17" s="420" t="s">
        <v>308</v>
      </c>
      <c r="K17" s="559"/>
      <c r="L17" s="559" t="s">
        <v>464</v>
      </c>
      <c r="M17" s="597" t="s">
        <v>471</v>
      </c>
      <c r="N17" s="559" t="s">
        <v>464</v>
      </c>
      <c r="O17" s="559"/>
      <c r="P17" s="559" t="s">
        <v>465</v>
      </c>
      <c r="Q17" s="559" t="s">
        <v>470</v>
      </c>
    </row>
    <row r="18" spans="1:17" s="289" customFormat="1" ht="14.25" customHeight="1" x14ac:dyDescent="0.25">
      <c r="A18" s="416" t="s">
        <v>449</v>
      </c>
      <c r="B18" s="416" t="s">
        <v>66</v>
      </c>
      <c r="C18" s="480" t="s">
        <v>600</v>
      </c>
      <c r="D18" s="420" t="s">
        <v>595</v>
      </c>
      <c r="E18" s="550">
        <v>41911</v>
      </c>
      <c r="F18" s="625">
        <f t="shared" ca="1" si="0"/>
        <v>1169</v>
      </c>
      <c r="G18" s="626">
        <f t="shared" ca="1" si="1"/>
        <v>10.4375</v>
      </c>
      <c r="H18" s="348">
        <f>20-3</f>
        <v>17</v>
      </c>
      <c r="I18" s="348">
        <v>0</v>
      </c>
      <c r="J18" s="420" t="s">
        <v>595</v>
      </c>
      <c r="K18" s="560"/>
      <c r="L18" s="559" t="s">
        <v>465</v>
      </c>
      <c r="M18" s="599" t="s">
        <v>271</v>
      </c>
      <c r="N18" s="559" t="s">
        <v>464</v>
      </c>
      <c r="O18" s="559" t="s">
        <v>464</v>
      </c>
      <c r="P18" s="597" t="s">
        <v>471</v>
      </c>
      <c r="Q18" s="560"/>
    </row>
    <row r="19" spans="1:17" s="272" customFormat="1" ht="15.75" x14ac:dyDescent="0.25">
      <c r="A19" s="416" t="s">
        <v>633</v>
      </c>
      <c r="B19" s="416" t="s">
        <v>67</v>
      </c>
      <c r="C19" s="481" t="s">
        <v>634</v>
      </c>
      <c r="D19" s="287"/>
      <c r="E19" s="549">
        <v>41973</v>
      </c>
      <c r="F19" s="625">
        <f t="shared" ca="1" si="0"/>
        <v>1107</v>
      </c>
      <c r="G19" s="626">
        <f t="shared" ca="1" si="1"/>
        <v>9.8839285714285712</v>
      </c>
      <c r="H19" s="545">
        <f>20-3</f>
        <v>17</v>
      </c>
      <c r="I19" s="545">
        <v>0</v>
      </c>
      <c r="J19" s="287"/>
      <c r="K19" s="559"/>
      <c r="L19" s="559" t="s">
        <v>465</v>
      </c>
      <c r="M19" s="559" t="s">
        <v>470</v>
      </c>
      <c r="N19" s="559" t="s">
        <v>470</v>
      </c>
      <c r="O19" s="599" t="s">
        <v>271</v>
      </c>
      <c r="P19" s="559" t="s">
        <v>271</v>
      </c>
      <c r="Q19" s="558"/>
    </row>
    <row r="20" spans="1:17" s="289" customFormat="1" ht="15.75" x14ac:dyDescent="0.25">
      <c r="A20" s="331" t="s">
        <v>588</v>
      </c>
      <c r="B20" s="285" t="s">
        <v>2</v>
      </c>
      <c r="C20" s="481" t="s">
        <v>701</v>
      </c>
      <c r="D20" s="287"/>
      <c r="E20" s="549">
        <v>42106</v>
      </c>
      <c r="F20" s="625">
        <f t="shared" ca="1" si="0"/>
        <v>974</v>
      </c>
      <c r="G20" s="626">
        <f t="shared" ca="1" si="1"/>
        <v>8.6964285714285712</v>
      </c>
      <c r="H20" s="545">
        <v>18</v>
      </c>
      <c r="I20" s="545">
        <v>55</v>
      </c>
      <c r="J20" s="287"/>
      <c r="K20" s="558"/>
      <c r="L20" s="599" t="s">
        <v>271</v>
      </c>
      <c r="M20" s="600" t="s">
        <v>272</v>
      </c>
      <c r="N20" s="597" t="s">
        <v>471</v>
      </c>
      <c r="O20" s="559" t="s">
        <v>465</v>
      </c>
      <c r="P20" s="559" t="s">
        <v>470</v>
      </c>
      <c r="Q20" s="558" t="s">
        <v>465</v>
      </c>
    </row>
    <row r="21" spans="1:17" x14ac:dyDescent="0.25">
      <c r="D21" s="4"/>
      <c r="H21"/>
      <c r="J21" s="4"/>
      <c r="L21"/>
    </row>
    <row r="22" spans="1:17" x14ac:dyDescent="0.25">
      <c r="D22" s="541"/>
      <c r="H22"/>
      <c r="J22" s="541"/>
      <c r="L22"/>
    </row>
    <row r="23" spans="1:17" x14ac:dyDescent="0.25">
      <c r="D23" s="541"/>
      <c r="H23"/>
      <c r="J23" s="541"/>
      <c r="L23"/>
    </row>
    <row r="24" spans="1:17" s="284" customFormat="1" ht="15.75" x14ac:dyDescent="0.25">
      <c r="A24" s="416" t="s">
        <v>923</v>
      </c>
      <c r="B24" s="416" t="s">
        <v>67</v>
      </c>
      <c r="C24" s="418" t="s">
        <v>924</v>
      </c>
      <c r="D24" s="420" t="s">
        <v>595</v>
      </c>
      <c r="H24" s="545">
        <v>19</v>
      </c>
      <c r="I24" s="545">
        <v>0</v>
      </c>
      <c r="J24" s="420" t="s">
        <v>595</v>
      </c>
      <c r="K24" s="558"/>
      <c r="L24" s="559" t="s">
        <v>464</v>
      </c>
      <c r="M24" s="559" t="s">
        <v>470</v>
      </c>
      <c r="N24" s="599" t="s">
        <v>271</v>
      </c>
      <c r="O24" s="559" t="s">
        <v>464</v>
      </c>
      <c r="P24" s="599" t="s">
        <v>926</v>
      </c>
      <c r="Q24" s="558" t="s">
        <v>573</v>
      </c>
    </row>
    <row r="25" spans="1:17" s="272" customFormat="1" x14ac:dyDescent="0.25">
      <c r="A25" s="416" t="s">
        <v>772</v>
      </c>
      <c r="B25" s="285" t="s">
        <v>2</v>
      </c>
      <c r="C25" s="321" t="s">
        <v>314</v>
      </c>
      <c r="D25" s="287"/>
      <c r="E25" s="547"/>
      <c r="F25" s="544"/>
      <c r="G25" s="543"/>
      <c r="H25" s="544"/>
      <c r="I25" s="544"/>
      <c r="J25" s="287"/>
      <c r="K25" s="552"/>
      <c r="L25" s="552"/>
      <c r="M25" s="552"/>
      <c r="N25" s="552"/>
      <c r="O25" s="552"/>
      <c r="P25" s="552"/>
      <c r="Q25" s="552"/>
    </row>
    <row r="26" spans="1:17" s="265" customFormat="1" x14ac:dyDescent="0.25">
      <c r="A26" s="416" t="s">
        <v>717</v>
      </c>
      <c r="B26" s="416" t="s">
        <v>2</v>
      </c>
      <c r="C26" s="321" t="s">
        <v>710</v>
      </c>
      <c r="D26" s="287"/>
      <c r="E26" s="544"/>
      <c r="F26" s="544"/>
      <c r="G26" s="544"/>
      <c r="H26" s="544"/>
      <c r="I26" s="544"/>
      <c r="J26" s="287"/>
      <c r="K26" s="553"/>
      <c r="L26" s="553"/>
      <c r="M26" s="553"/>
      <c r="N26" s="553"/>
      <c r="O26" s="553"/>
      <c r="P26" s="553"/>
      <c r="Q26" s="553"/>
    </row>
    <row r="27" spans="1:17" s="284" customFormat="1" x14ac:dyDescent="0.25">
      <c r="A27" s="332" t="s">
        <v>771</v>
      </c>
      <c r="B27" s="285" t="s">
        <v>65</v>
      </c>
      <c r="C27" s="321" t="s">
        <v>763</v>
      </c>
      <c r="D27" s="420" t="s">
        <v>595</v>
      </c>
      <c r="E27" s="545"/>
      <c r="F27" s="545"/>
      <c r="G27" s="545"/>
      <c r="H27" s="545"/>
      <c r="I27" s="545"/>
      <c r="J27" s="420" t="s">
        <v>595</v>
      </c>
      <c r="K27" s="552"/>
      <c r="L27" s="552"/>
      <c r="M27" s="552"/>
      <c r="N27" s="552"/>
      <c r="O27" s="552"/>
      <c r="P27" s="552"/>
      <c r="Q27" s="552"/>
    </row>
    <row r="28" spans="1:17" s="288" customFormat="1" x14ac:dyDescent="0.25">
      <c r="A28" s="331" t="s">
        <v>718</v>
      </c>
      <c r="B28" s="285" t="s">
        <v>65</v>
      </c>
      <c r="C28" s="321" t="s">
        <v>441</v>
      </c>
      <c r="D28" s="287" t="s">
        <v>311</v>
      </c>
      <c r="E28" s="348"/>
      <c r="F28" s="348"/>
      <c r="G28" s="348"/>
      <c r="H28" s="348"/>
      <c r="I28" s="348"/>
      <c r="J28" s="287" t="s">
        <v>311</v>
      </c>
      <c r="K28" s="551"/>
      <c r="L28" s="551"/>
      <c r="M28" s="551"/>
      <c r="N28" s="551"/>
      <c r="O28" s="551"/>
      <c r="P28" s="551"/>
      <c r="Q28" s="551"/>
    </row>
    <row r="29" spans="1:17" s="284" customFormat="1" x14ac:dyDescent="0.25">
      <c r="A29" s="416" t="s">
        <v>851</v>
      </c>
      <c r="B29" s="416" t="s">
        <v>67</v>
      </c>
      <c r="C29" s="418" t="s">
        <v>850</v>
      </c>
      <c r="D29" s="420" t="s">
        <v>336</v>
      </c>
      <c r="E29" s="545"/>
      <c r="F29" s="545"/>
      <c r="G29" s="545"/>
      <c r="H29" s="545"/>
      <c r="I29" s="545"/>
      <c r="J29" s="420" t="s">
        <v>336</v>
      </c>
      <c r="K29" s="552"/>
      <c r="L29" s="552"/>
      <c r="M29" s="552"/>
      <c r="N29" s="552"/>
      <c r="O29" s="552"/>
      <c r="P29" s="552"/>
      <c r="Q29" s="552"/>
    </row>
    <row r="30" spans="1:17" x14ac:dyDescent="0.25">
      <c r="D30" s="541"/>
      <c r="H30"/>
      <c r="J30" s="541"/>
      <c r="L30"/>
    </row>
    <row r="31" spans="1:17" x14ac:dyDescent="0.25">
      <c r="C31" s="178"/>
      <c r="D31" s="541"/>
      <c r="H31"/>
      <c r="J31" s="541"/>
      <c r="L31"/>
    </row>
    <row r="32" spans="1:17" x14ac:dyDescent="0.25">
      <c r="C32" s="178"/>
      <c r="D32" s="541"/>
      <c r="H32"/>
      <c r="J32" s="541"/>
      <c r="L32"/>
    </row>
    <row r="33" spans="3:17" x14ac:dyDescent="0.25">
      <c r="C33" s="537"/>
      <c r="D33" s="541"/>
      <c r="H33"/>
      <c r="J33" s="541"/>
      <c r="K33" s="519">
        <v>0</v>
      </c>
      <c r="L33" s="520">
        <v>4</v>
      </c>
      <c r="M33" s="519">
        <v>3</v>
      </c>
      <c r="N33" s="520">
        <v>6</v>
      </c>
      <c r="O33" s="519">
        <v>4</v>
      </c>
      <c r="P33" s="520">
        <v>6.8</v>
      </c>
      <c r="Q33" s="519">
        <v>1</v>
      </c>
    </row>
    <row r="34" spans="3:17" x14ac:dyDescent="0.25">
      <c r="C34" s="538"/>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4"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5" customWidth="1"/>
    <col min="18" max="18" width="5" style="485" customWidth="1"/>
    <col min="19" max="24" width="6.7109375" style="454" customWidth="1"/>
    <col min="25" max="25" width="6.7109375" style="561" customWidth="1"/>
    <col min="26" max="26" width="6.7109375" style="454" customWidth="1"/>
    <col min="27" max="27" width="4.42578125" style="454" bestFit="1" customWidth="1"/>
    <col min="28" max="31" width="6.140625" style="454" bestFit="1" customWidth="1"/>
    <col min="32" max="32" width="5.5703125" style="454" bestFit="1" customWidth="1"/>
    <col min="33" max="33" width="5" style="454" bestFit="1" customWidth="1"/>
    <col min="34" max="34" width="6.140625" style="454"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24"/>
      <c r="T1" s="724"/>
      <c r="U1" s="724"/>
      <c r="V1" s="179"/>
      <c r="W1" s="724" t="s">
        <v>623</v>
      </c>
      <c r="X1" s="724"/>
      <c r="Z1" s="446">
        <f>S2+T2+U2+V2+W2+X2+Z2</f>
        <v>1</v>
      </c>
      <c r="AQ1" s="724" t="s">
        <v>737</v>
      </c>
      <c r="AR1" s="724"/>
      <c r="AS1" s="724"/>
      <c r="AT1" s="724"/>
      <c r="AU1" s="724"/>
      <c r="AV1" s="724"/>
      <c r="AW1" s="724"/>
      <c r="AX1" s="724"/>
      <c r="AY1" s="724"/>
      <c r="AZ1" s="724"/>
      <c r="BA1" s="724"/>
      <c r="BB1" s="724"/>
      <c r="BC1" s="724"/>
      <c r="BS1" s="471" t="s">
        <v>739</v>
      </c>
      <c r="BT1" s="471" t="s">
        <v>178</v>
      </c>
      <c r="BU1" s="471" t="s">
        <v>740</v>
      </c>
      <c r="BV1" s="472" t="s">
        <v>741</v>
      </c>
      <c r="BW1" s="470" t="s">
        <v>742</v>
      </c>
      <c r="BX1" s="470" t="s">
        <v>743</v>
      </c>
    </row>
    <row r="2" spans="1:76" s="267" customFormat="1" ht="18.75" x14ac:dyDescent="0.3">
      <c r="C2" s="268"/>
      <c r="D2" s="453">
        <f ca="1">TODAY()</f>
        <v>43080</v>
      </c>
      <c r="E2" s="714">
        <v>41471</v>
      </c>
      <c r="F2" s="714"/>
      <c r="G2" s="714"/>
      <c r="H2" s="269"/>
      <c r="I2" s="269"/>
      <c r="J2" s="337"/>
      <c r="K2" s="269"/>
      <c r="L2" s="269"/>
      <c r="M2" s="269"/>
      <c r="N2" s="269"/>
      <c r="O2" s="269"/>
      <c r="P2" s="269"/>
      <c r="Q2" s="440"/>
      <c r="R2" s="310"/>
      <c r="S2" s="447">
        <v>0</v>
      </c>
      <c r="T2" s="487">
        <v>0</v>
      </c>
      <c r="U2" s="487">
        <v>0</v>
      </c>
      <c r="V2" s="447">
        <v>0</v>
      </c>
      <c r="W2" s="445">
        <v>0</v>
      </c>
      <c r="X2" s="445">
        <v>0</v>
      </c>
      <c r="Y2" s="445">
        <v>0</v>
      </c>
      <c r="Z2" s="445">
        <v>1</v>
      </c>
      <c r="AA2" s="310">
        <v>0</v>
      </c>
      <c r="AB2" s="310"/>
      <c r="AC2" s="310"/>
      <c r="AD2" s="310"/>
      <c r="AE2" s="310"/>
      <c r="AF2" s="310"/>
      <c r="AG2" s="310"/>
      <c r="AH2" s="310"/>
      <c r="AS2" s="468">
        <f>SUM(AS4:AS14)*$BV$3</f>
        <v>0</v>
      </c>
      <c r="AT2" s="468">
        <f>SUM(AT4:AT14)*$BV$3</f>
        <v>0</v>
      </c>
      <c r="AU2" s="468">
        <f>SUM(AU4:AU14)*$BV$2</f>
        <v>0</v>
      </c>
      <c r="AV2" s="468">
        <f>SUM(AV4:AV14)*$BV$4</f>
        <v>0</v>
      </c>
      <c r="AW2" s="468">
        <f>SUM(AW4:AW14)*$BV$5</f>
        <v>0</v>
      </c>
      <c r="AX2" s="468">
        <f>SUM(AX4:AX14)*$BV$5</f>
        <v>0</v>
      </c>
      <c r="AY2" s="468">
        <f>SUM(AY4:AY14)*$BV$6</f>
        <v>0</v>
      </c>
      <c r="AZ2" s="469">
        <f>SUM(AZ4:AZ14)</f>
        <v>0.2099999999999998</v>
      </c>
      <c r="BA2" s="469">
        <f>SUM(BA4:BA14)</f>
        <v>0.2149999999999998</v>
      </c>
      <c r="BB2" s="469">
        <f t="shared" ref="BB2:BC2" si="0">SUM(BB4:BB14)</f>
        <v>12.766250000000001</v>
      </c>
      <c r="BC2" s="469">
        <f t="shared" si="0"/>
        <v>0</v>
      </c>
      <c r="BG2" s="468">
        <f>SUM(BG4:BG14)*$BV$3</f>
        <v>0</v>
      </c>
      <c r="BH2" s="468">
        <f>SUM(BH4:BH14)*$BV$3</f>
        <v>0</v>
      </c>
      <c r="BI2" s="468">
        <f>SUM(BI4:BI14)*$BV$2</f>
        <v>0</v>
      </c>
      <c r="BJ2" s="468">
        <f>SUM(BJ4:BJ14)*$BV$4</f>
        <v>0</v>
      </c>
      <c r="BK2" s="468">
        <f>SUM(BK4:BK14)*$BV$5</f>
        <v>0</v>
      </c>
      <c r="BL2" s="468">
        <f>SUM(BL4:BL14)*$BV$5</f>
        <v>0</v>
      </c>
      <c r="BM2" s="468">
        <f>SUM(BM4:BM14)*$BV$6</f>
        <v>0</v>
      </c>
      <c r="BN2" s="469">
        <f>SUM(BN4:BN14)</f>
        <v>0.21799999999999986</v>
      </c>
      <c r="BO2" s="469">
        <f>SUM(BO4:BO14)</f>
        <v>0.22299999999999989</v>
      </c>
      <c r="BP2" s="469">
        <f t="shared" ref="BP2:BQ2" si="1">SUM(BP4:BP14)</f>
        <v>17.064444444444444</v>
      </c>
      <c r="BQ2" s="469">
        <f t="shared" si="1"/>
        <v>0</v>
      </c>
      <c r="BS2" s="275" t="s">
        <v>744</v>
      </c>
      <c r="BT2" s="473">
        <v>1</v>
      </c>
      <c r="BU2" s="474">
        <v>0.624</v>
      </c>
      <c r="BV2" s="475">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2" t="s">
        <v>183</v>
      </c>
      <c r="R3" s="442" t="s">
        <v>63</v>
      </c>
      <c r="S3" s="441" t="s">
        <v>337</v>
      </c>
      <c r="T3" s="441" t="s">
        <v>188</v>
      </c>
      <c r="U3" s="441" t="s">
        <v>189</v>
      </c>
      <c r="V3" s="441" t="s">
        <v>190</v>
      </c>
      <c r="W3" s="441" t="s">
        <v>191</v>
      </c>
      <c r="X3" s="441" t="s">
        <v>192</v>
      </c>
      <c r="Y3" s="441" t="s">
        <v>863</v>
      </c>
      <c r="Z3" s="441" t="s">
        <v>185</v>
      </c>
      <c r="AA3" s="441" t="s">
        <v>176</v>
      </c>
      <c r="AB3" s="441" t="s">
        <v>337</v>
      </c>
      <c r="AC3" s="441" t="s">
        <v>188</v>
      </c>
      <c r="AD3" s="441" t="s">
        <v>189</v>
      </c>
      <c r="AE3" s="441" t="s">
        <v>190</v>
      </c>
      <c r="AF3" s="441" t="s">
        <v>191</v>
      </c>
      <c r="AG3" s="441" t="s">
        <v>192</v>
      </c>
      <c r="AH3" s="441" t="s">
        <v>185</v>
      </c>
      <c r="AI3" s="441" t="s">
        <v>337</v>
      </c>
      <c r="AJ3" s="441" t="s">
        <v>188</v>
      </c>
      <c r="AK3" s="441" t="s">
        <v>189</v>
      </c>
      <c r="AL3" s="441" t="s">
        <v>190</v>
      </c>
      <c r="AM3" s="441" t="s">
        <v>191</v>
      </c>
      <c r="AN3" s="441" t="s">
        <v>192</v>
      </c>
      <c r="AO3" s="441" t="s">
        <v>185</v>
      </c>
      <c r="AQ3" s="725" t="s">
        <v>859</v>
      </c>
      <c r="AR3" s="726"/>
      <c r="AS3" s="361" t="s">
        <v>541</v>
      </c>
      <c r="AT3" s="361" t="s">
        <v>542</v>
      </c>
      <c r="AU3" s="361" t="s">
        <v>582</v>
      </c>
      <c r="AV3" s="361" t="s">
        <v>543</v>
      </c>
      <c r="AW3" s="361" t="s">
        <v>544</v>
      </c>
      <c r="AX3" s="361" t="s">
        <v>545</v>
      </c>
      <c r="AY3" s="361" t="s">
        <v>546</v>
      </c>
      <c r="AZ3" s="361" t="s">
        <v>874</v>
      </c>
      <c r="BA3" s="361" t="s">
        <v>875</v>
      </c>
      <c r="BB3" s="361" t="s">
        <v>699</v>
      </c>
      <c r="BC3" s="361" t="s">
        <v>738</v>
      </c>
      <c r="BE3" s="725" t="s">
        <v>861</v>
      </c>
      <c r="BF3" s="726"/>
      <c r="BG3" s="361" t="s">
        <v>541</v>
      </c>
      <c r="BH3" s="361" t="s">
        <v>542</v>
      </c>
      <c r="BI3" s="361" t="s">
        <v>582</v>
      </c>
      <c r="BJ3" s="361" t="s">
        <v>543</v>
      </c>
      <c r="BK3" s="361" t="s">
        <v>544</v>
      </c>
      <c r="BL3" s="361" t="s">
        <v>545</v>
      </c>
      <c r="BM3" s="361" t="s">
        <v>546</v>
      </c>
      <c r="BN3" s="361" t="s">
        <v>874</v>
      </c>
      <c r="BO3" s="361" t="s">
        <v>875</v>
      </c>
      <c r="BP3" s="361" t="s">
        <v>699</v>
      </c>
      <c r="BQ3" s="361" t="s">
        <v>738</v>
      </c>
      <c r="BS3" s="275" t="s">
        <v>745</v>
      </c>
      <c r="BT3" s="473">
        <v>1</v>
      </c>
      <c r="BU3" s="474">
        <v>1.002</v>
      </c>
      <c r="BV3" s="475">
        <v>0.34</v>
      </c>
      <c r="BW3" s="363">
        <f t="shared" ref="BW3:BW6" si="2">BV3*10</f>
        <v>3.4000000000000004</v>
      </c>
      <c r="BX3" s="363">
        <f t="shared" ref="BX3:BX6" si="3">BV3*15</f>
        <v>5.1000000000000005</v>
      </c>
    </row>
    <row r="4" spans="1:76" s="284" customFormat="1" ht="18.75" x14ac:dyDescent="0.3">
      <c r="A4" s="416" t="s">
        <v>443</v>
      </c>
      <c r="B4" s="416" t="s">
        <v>1</v>
      </c>
      <c r="C4" s="286">
        <f ca="1">((33*112)-(E4*112)-(F4))/112</f>
        <v>2.9821428571428572</v>
      </c>
      <c r="D4" s="321" t="str">
        <f>PLANTILLA!D5</f>
        <v>D. Gehmacher</v>
      </c>
      <c r="E4" s="419">
        <f>PLANTILLA!E5</f>
        <v>30</v>
      </c>
      <c r="F4" s="427">
        <f ca="1">PLANTILLA!F5</f>
        <v>2</v>
      </c>
      <c r="G4" s="420"/>
      <c r="H4" s="435">
        <v>7</v>
      </c>
      <c r="I4" s="335">
        <f>PLANTILLA!I5</f>
        <v>18.100000000000001</v>
      </c>
      <c r="J4" s="519">
        <f>PLANTILLA!X5</f>
        <v>16.666666666666668</v>
      </c>
      <c r="K4" s="519">
        <f>PLANTILLA!Y5</f>
        <v>11.832727272727276</v>
      </c>
      <c r="L4" s="519">
        <f>PLANTILLA!Z5</f>
        <v>2.0399999999999991</v>
      </c>
      <c r="M4" s="519">
        <f>PLANTILLA!AA5</f>
        <v>2.1399999999999992</v>
      </c>
      <c r="N4" s="519">
        <f>PLANTILLA!AB5</f>
        <v>1.0400000000000003</v>
      </c>
      <c r="O4" s="519">
        <f>PLANTILLA!AC5</f>
        <v>0.14055555555555557</v>
      </c>
      <c r="P4" s="519">
        <f>PLANTILLA!AD5</f>
        <v>17.849999999999998</v>
      </c>
      <c r="Q4" s="443">
        <f t="shared" ref="Q4:Q23" si="4">E4</f>
        <v>30</v>
      </c>
      <c r="R4" s="444">
        <f t="shared" ref="R4:R23" ca="1" si="5">F4+7</f>
        <v>9</v>
      </c>
      <c r="S4" s="193"/>
      <c r="T4" s="193"/>
      <c r="U4" s="193"/>
      <c r="V4" s="193"/>
      <c r="W4" s="193"/>
      <c r="X4" s="193"/>
      <c r="Y4" s="193"/>
      <c r="Z4" s="193"/>
      <c r="AA4" s="323">
        <f t="shared" ref="AA4:AA23" si="6">I4+$AA$2</f>
        <v>18.100000000000001</v>
      </c>
      <c r="AB4" s="539">
        <f>J4+(S4*S$2/15)</f>
        <v>16.666666666666668</v>
      </c>
      <c r="AC4" s="539">
        <f>K4+(T$2/11)</f>
        <v>11.832727272727276</v>
      </c>
      <c r="AD4" s="539">
        <f>L4+(U$2/18)</f>
        <v>2.0399999999999991</v>
      </c>
      <c r="AE4" s="539">
        <f>M4+(V$2/12)</f>
        <v>2.1399999999999992</v>
      </c>
      <c r="AF4" s="539">
        <f>N4+(W$2/11)</f>
        <v>1.0400000000000003</v>
      </c>
      <c r="AG4" s="539">
        <f>O4+(X$2/12)+(Y$2/5)</f>
        <v>0.14055555555555557</v>
      </c>
      <c r="AH4" s="539">
        <f>P4+(Z$2/2)+(Y$2/10)</f>
        <v>18.349999999999998</v>
      </c>
      <c r="AI4" s="456">
        <f t="shared" ref="AI4:AO4" si="7">AB4-J4</f>
        <v>0</v>
      </c>
      <c r="AJ4" s="456">
        <f t="shared" si="7"/>
        <v>0</v>
      </c>
      <c r="AK4" s="456">
        <f t="shared" si="7"/>
        <v>0</v>
      </c>
      <c r="AL4" s="456">
        <f t="shared" si="7"/>
        <v>0</v>
      </c>
      <c r="AM4" s="456">
        <f t="shared" si="7"/>
        <v>0</v>
      </c>
      <c r="AN4" s="456">
        <f t="shared" si="7"/>
        <v>0</v>
      </c>
      <c r="AO4" s="456">
        <f t="shared" si="7"/>
        <v>0.5</v>
      </c>
      <c r="AQ4" s="457" t="s">
        <v>1</v>
      </c>
      <c r="AR4" s="331" t="str">
        <f>D4</f>
        <v>D. Gehmacher</v>
      </c>
      <c r="AS4" s="462">
        <f>(AI4*0.597)+(AJ4*0.276)</f>
        <v>0</v>
      </c>
      <c r="AT4" s="462">
        <f>AS4</f>
        <v>0</v>
      </c>
      <c r="AU4" s="462">
        <f>(AI4*0.866)+(AJ4*0.425)</f>
        <v>0</v>
      </c>
      <c r="AV4" s="462">
        <v>0</v>
      </c>
      <c r="AW4" s="462">
        <v>0</v>
      </c>
      <c r="AX4" s="462">
        <v>0</v>
      </c>
      <c r="AY4" s="462">
        <v>0</v>
      </c>
      <c r="AZ4" s="587">
        <v>0</v>
      </c>
      <c r="BA4" s="587">
        <f>0.08*AI4+0.1*AO4</f>
        <v>0.05</v>
      </c>
      <c r="BB4" s="465">
        <v>0</v>
      </c>
      <c r="BC4" s="465">
        <v>0</v>
      </c>
      <c r="BE4" s="457" t="s">
        <v>1</v>
      </c>
      <c r="BF4" s="331" t="str">
        <f>D4</f>
        <v>D. Gehmacher</v>
      </c>
      <c r="BG4" s="462">
        <f t="shared" ref="BG4:BM4" si="8">AS4</f>
        <v>0</v>
      </c>
      <c r="BH4" s="462">
        <f t="shared" si="8"/>
        <v>0</v>
      </c>
      <c r="BI4" s="462">
        <f t="shared" si="8"/>
        <v>0</v>
      </c>
      <c r="BJ4" s="462">
        <f t="shared" si="8"/>
        <v>0</v>
      </c>
      <c r="BK4" s="462">
        <f t="shared" si="8"/>
        <v>0</v>
      </c>
      <c r="BL4" s="462">
        <f t="shared" si="8"/>
        <v>0</v>
      </c>
      <c r="BM4" s="462">
        <f t="shared" si="8"/>
        <v>0</v>
      </c>
      <c r="BN4" s="587">
        <f t="shared" ref="BN4" si="9">AZ4</f>
        <v>0</v>
      </c>
      <c r="BO4" s="587">
        <f t="shared" ref="BO4:BQ4" si="10">BA4</f>
        <v>0.05</v>
      </c>
      <c r="BP4" s="465">
        <f t="shared" si="10"/>
        <v>0</v>
      </c>
      <c r="BQ4" s="465">
        <f t="shared" si="10"/>
        <v>0</v>
      </c>
      <c r="BS4" s="275" t="s">
        <v>746</v>
      </c>
      <c r="BT4" s="473">
        <v>1</v>
      </c>
      <c r="BU4" s="474">
        <v>0.46800000000000003</v>
      </c>
      <c r="BV4" s="475">
        <v>0.125</v>
      </c>
      <c r="BW4" s="363">
        <f t="shared" si="2"/>
        <v>1.25</v>
      </c>
      <c r="BX4" s="363">
        <f t="shared" si="3"/>
        <v>1.875</v>
      </c>
    </row>
    <row r="5" spans="1:76" s="272" customFormat="1" ht="18.75" x14ac:dyDescent="0.3">
      <c r="A5" s="416" t="s">
        <v>577</v>
      </c>
      <c r="B5" s="416" t="s">
        <v>1</v>
      </c>
      <c r="C5" s="417">
        <f t="shared" ref="C5:C23" ca="1" si="11">((33*112)-(E5*112)-(F5))/112</f>
        <v>-1.0982142857142858</v>
      </c>
      <c r="D5" s="418" t="s">
        <v>307</v>
      </c>
      <c r="E5" s="419">
        <f>PLANTILLA!E6</f>
        <v>34</v>
      </c>
      <c r="F5" s="419">
        <f ca="1">PLANTILLA!F6</f>
        <v>11</v>
      </c>
      <c r="G5" s="420" t="s">
        <v>595</v>
      </c>
      <c r="H5" s="401">
        <v>4</v>
      </c>
      <c r="I5" s="335">
        <f>PLANTILLA!I6</f>
        <v>7.8</v>
      </c>
      <c r="J5" s="519">
        <f>PLANTILLA!X6</f>
        <v>10.3</v>
      </c>
      <c r="K5" s="519">
        <f>PLANTILLA!Y6</f>
        <v>10.794999999999998</v>
      </c>
      <c r="L5" s="519">
        <f>PLANTILLA!Z6</f>
        <v>4.6300000000000008</v>
      </c>
      <c r="M5" s="519">
        <f>PLANTILLA!AA6</f>
        <v>4.95</v>
      </c>
      <c r="N5" s="519">
        <f>PLANTILLA!AB6</f>
        <v>6.5444444444444434</v>
      </c>
      <c r="O5" s="519">
        <f>PLANTILLA!AC6</f>
        <v>3.99</v>
      </c>
      <c r="P5" s="519">
        <f>PLANTILLA!AD6</f>
        <v>15.778888888888888</v>
      </c>
      <c r="Q5" s="443">
        <f t="shared" si="4"/>
        <v>34</v>
      </c>
      <c r="R5" s="444">
        <f t="shared" ca="1" si="5"/>
        <v>18</v>
      </c>
      <c r="S5" s="193"/>
      <c r="T5" s="193"/>
      <c r="U5" s="193"/>
      <c r="V5" s="193"/>
      <c r="W5" s="193"/>
      <c r="X5" s="193"/>
      <c r="Y5" s="193"/>
      <c r="Z5" s="193"/>
      <c r="AA5" s="323">
        <f t="shared" si="6"/>
        <v>7.8</v>
      </c>
      <c r="AB5" s="539">
        <f>J5+(S5*S$2/6)</f>
        <v>10.3</v>
      </c>
      <c r="AC5" s="539">
        <f>K5+(T$2/45)</f>
        <v>10.794999999999998</v>
      </c>
      <c r="AD5" s="539">
        <f>L5+(U$2/34)</f>
        <v>4.6300000000000008</v>
      </c>
      <c r="AE5" s="539">
        <f>M5+(V$2/22)</f>
        <v>4.95</v>
      </c>
      <c r="AF5" s="539">
        <f>N5+(W$2/28)</f>
        <v>6.5444444444444434</v>
      </c>
      <c r="AG5" s="539">
        <f>O5+(X$2/24)+(Y$2/7)</f>
        <v>3.99</v>
      </c>
      <c r="AH5" s="539">
        <f>P5+(Z$2/2.5)+(Y$2/10)</f>
        <v>16.178888888888888</v>
      </c>
      <c r="AI5" s="456">
        <f t="shared" ref="AI5:AI23" si="12">AB5-J5</f>
        <v>0</v>
      </c>
      <c r="AJ5" s="456">
        <f t="shared" ref="AJ5:AJ23" si="13">AC5-K5</f>
        <v>0</v>
      </c>
      <c r="AK5" s="456">
        <f t="shared" ref="AK5:AK23" si="14">AD5-L5</f>
        <v>0</v>
      </c>
      <c r="AL5" s="456">
        <f t="shared" ref="AL5:AL23" si="15">AE5-M5</f>
        <v>0</v>
      </c>
      <c r="AM5" s="456">
        <f t="shared" ref="AM5:AM23" si="16">AF5-N5</f>
        <v>0</v>
      </c>
      <c r="AN5" s="456">
        <f t="shared" ref="AN5:AN23" si="17">AG5-O5</f>
        <v>0</v>
      </c>
      <c r="AO5" s="456">
        <f t="shared" ref="AO5:AO23" si="18">AH5-P5</f>
        <v>0.40000000000000036</v>
      </c>
      <c r="AQ5" s="458" t="s">
        <v>703</v>
      </c>
      <c r="AR5" s="332" t="str">
        <f>D20</f>
        <v>B. Pinczehelyi</v>
      </c>
      <c r="AS5" s="463">
        <f>(AJ20*0.919)</f>
        <v>0</v>
      </c>
      <c r="AT5" s="463">
        <v>0</v>
      </c>
      <c r="AU5" s="463">
        <f>AJ20*0.414</f>
        <v>0</v>
      </c>
      <c r="AV5" s="463">
        <f>AK20*0.167</f>
        <v>0</v>
      </c>
      <c r="AW5" s="463">
        <f>AL20*0.588</f>
        <v>0</v>
      </c>
      <c r="AX5" s="463">
        <v>0</v>
      </c>
      <c r="AY5" s="463">
        <v>0</v>
      </c>
      <c r="AZ5" s="466">
        <f>(0.5*AN20+0.3*AO20)/10</f>
        <v>0.03</v>
      </c>
      <c r="BA5" s="466">
        <f>(0.4*AJ20+0.3*AO20)/10</f>
        <v>0.03</v>
      </c>
      <c r="BB5" s="466">
        <f>((AC20+1)+(AF20+1)*2)/8</f>
        <v>4.5049999999999999</v>
      </c>
      <c r="BC5" s="466">
        <f>((AJ20)+(AM20)*2)/8</f>
        <v>0</v>
      </c>
      <c r="BE5" s="458" t="s">
        <v>703</v>
      </c>
      <c r="BF5" s="332" t="str">
        <f>AR19</f>
        <v>B. Pinczehelyi</v>
      </c>
      <c r="BG5" s="464">
        <f>AS19</f>
        <v>0</v>
      </c>
      <c r="BH5" s="464">
        <f t="shared" ref="BH5:BQ5" si="19">AT19</f>
        <v>0</v>
      </c>
      <c r="BI5" s="464">
        <f t="shared" si="19"/>
        <v>0</v>
      </c>
      <c r="BJ5" s="464">
        <f t="shared" si="19"/>
        <v>0</v>
      </c>
      <c r="BK5" s="464">
        <f t="shared" si="19"/>
        <v>0</v>
      </c>
      <c r="BL5" s="464">
        <f t="shared" si="19"/>
        <v>0</v>
      </c>
      <c r="BM5" s="464">
        <f t="shared" si="19"/>
        <v>0</v>
      </c>
      <c r="BN5" s="467">
        <f t="shared" si="19"/>
        <v>0.03</v>
      </c>
      <c r="BO5" s="467">
        <f t="shared" si="19"/>
        <v>0.03</v>
      </c>
      <c r="BP5" s="467">
        <f t="shared" si="19"/>
        <v>4.5049999999999999</v>
      </c>
      <c r="BQ5" s="467">
        <f t="shared" si="19"/>
        <v>0</v>
      </c>
      <c r="BS5" s="275" t="s">
        <v>747</v>
      </c>
      <c r="BT5" s="473">
        <v>1</v>
      </c>
      <c r="BU5" s="474">
        <v>0.877</v>
      </c>
      <c r="BV5" s="475">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19" t="e">
        <f>PLANTILLA!#REF!</f>
        <v>#REF!</v>
      </c>
      <c r="K6" s="519" t="e">
        <f>PLANTILLA!#REF!</f>
        <v>#REF!</v>
      </c>
      <c r="L6" s="519" t="e">
        <f>PLANTILLA!#REF!</f>
        <v>#REF!</v>
      </c>
      <c r="M6" s="519" t="e">
        <f>PLANTILLA!#REF!</f>
        <v>#REF!</v>
      </c>
      <c r="N6" s="519" t="e">
        <f>PLANTILLA!#REF!</f>
        <v>#REF!</v>
      </c>
      <c r="O6" s="519" t="e">
        <f>PLANTILLA!#REF!</f>
        <v>#REF!</v>
      </c>
      <c r="P6" s="519" t="e">
        <f>PLANTILLA!#REF!</f>
        <v>#REF!</v>
      </c>
      <c r="Q6" s="443" t="e">
        <f t="shared" si="4"/>
        <v>#REF!</v>
      </c>
      <c r="R6" s="444" t="e">
        <f t="shared" si="5"/>
        <v>#REF!</v>
      </c>
      <c r="S6" s="193"/>
      <c r="T6" s="193"/>
      <c r="U6" s="193"/>
      <c r="V6" s="193"/>
      <c r="W6" s="193"/>
      <c r="X6" s="193"/>
      <c r="Y6" s="193"/>
      <c r="Z6" s="193"/>
      <c r="AA6" s="323" t="e">
        <f t="shared" si="6"/>
        <v>#REF!</v>
      </c>
      <c r="AB6" s="539" t="e">
        <f t="shared" ref="AB6:AB23" si="20">J6+(S6*S$2/5)</f>
        <v>#REF!</v>
      </c>
      <c r="AC6" s="539" t="e">
        <f>K6+(T$2/53)</f>
        <v>#REF!</v>
      </c>
      <c r="AD6" s="539" t="e">
        <f>L6+(U$2/32)</f>
        <v>#REF!</v>
      </c>
      <c r="AE6" s="539" t="e">
        <f>M6+(V$2/17)</f>
        <v>#REF!</v>
      </c>
      <c r="AF6" s="539" t="e">
        <f>N6+(W$2/23)</f>
        <v>#REF!</v>
      </c>
      <c r="AG6" s="539" t="e">
        <f>O6+(X$2/17)+(Y$2/5)</f>
        <v>#REF!</v>
      </c>
      <c r="AH6" s="539" t="e">
        <f>P6+(Z$2/2)+(Y$2/10)</f>
        <v>#REF!</v>
      </c>
      <c r="AI6" s="456" t="e">
        <f t="shared" si="12"/>
        <v>#REF!</v>
      </c>
      <c r="AJ6" s="456" t="e">
        <f t="shared" si="13"/>
        <v>#REF!</v>
      </c>
      <c r="AK6" s="456" t="e">
        <f t="shared" si="14"/>
        <v>#REF!</v>
      </c>
      <c r="AL6" s="456" t="e">
        <f t="shared" si="15"/>
        <v>#REF!</v>
      </c>
      <c r="AM6" s="456" t="e">
        <f t="shared" si="16"/>
        <v>#REF!</v>
      </c>
      <c r="AN6" s="456" t="e">
        <f t="shared" si="17"/>
        <v>#REF!</v>
      </c>
      <c r="AO6" s="456" t="e">
        <f t="shared" si="18"/>
        <v>#REF!</v>
      </c>
      <c r="AQ6" s="459" t="s">
        <v>735</v>
      </c>
      <c r="AR6" s="332" t="str">
        <f>D16</f>
        <v>E. Gross</v>
      </c>
      <c r="AS6" s="464">
        <f>AJ16*0.378</f>
        <v>0</v>
      </c>
      <c r="AT6" s="464">
        <f>AS6</f>
        <v>0</v>
      </c>
      <c r="AU6" s="464">
        <f>AJ16*1</f>
        <v>0</v>
      </c>
      <c r="AV6" s="464">
        <f>AK16*0.236</f>
        <v>0</v>
      </c>
      <c r="AW6" s="464">
        <v>0</v>
      </c>
      <c r="AX6" s="464">
        <v>0</v>
      </c>
      <c r="AY6" s="464">
        <v>0</v>
      </c>
      <c r="AZ6" s="467">
        <f>(0.5*AN16+0.3*AO16)/10</f>
        <v>1.1999999999999957E-2</v>
      </c>
      <c r="BA6" s="467">
        <f>(0.4*AJ16+0.3*AO16)/10</f>
        <v>1.1999999999999957E-2</v>
      </c>
      <c r="BB6" s="466">
        <f>((AC16+1)+(AF16+1)*2)/8</f>
        <v>3.9787499999999998</v>
      </c>
      <c r="BC6" s="466">
        <f>((AJ16)+(AM16)*2)/8</f>
        <v>0</v>
      </c>
      <c r="BE6" s="459" t="s">
        <v>787</v>
      </c>
      <c r="BF6" s="285" t="str">
        <f>BF20</f>
        <v>D. Toh</v>
      </c>
      <c r="BG6" s="464">
        <f>BG20</f>
        <v>0</v>
      </c>
      <c r="BH6" s="464">
        <f t="shared" ref="BH6:BM6" si="21">BH20</f>
        <v>0</v>
      </c>
      <c r="BI6" s="464">
        <f t="shared" si="21"/>
        <v>0</v>
      </c>
      <c r="BJ6" s="464">
        <f t="shared" si="21"/>
        <v>0</v>
      </c>
      <c r="BK6" s="464">
        <f t="shared" si="21"/>
        <v>0</v>
      </c>
      <c r="BL6" s="464">
        <f t="shared" si="21"/>
        <v>0</v>
      </c>
      <c r="BM6" s="464">
        <f t="shared" si="21"/>
        <v>0</v>
      </c>
      <c r="BN6" s="467">
        <f>(0.5*AN7+0.3*AO7)/10</f>
        <v>1.2000000000000011E-2</v>
      </c>
      <c r="BO6" s="467">
        <f>(0.4*AJ7+0.3*AO7)/10</f>
        <v>1.2000000000000011E-2</v>
      </c>
      <c r="BP6" s="466">
        <f>((AC7+1)+(AF7+1)*2)/8</f>
        <v>3.6806944444444447</v>
      </c>
      <c r="BQ6" s="466">
        <f>((AJ7)+(AM7)*2)/8</f>
        <v>0</v>
      </c>
      <c r="BS6" s="275" t="s">
        <v>748</v>
      </c>
      <c r="BT6" s="473">
        <v>1</v>
      </c>
      <c r="BU6" s="474">
        <v>0.59299999999999997</v>
      </c>
      <c r="BV6" s="475">
        <v>0.19</v>
      </c>
      <c r="BW6" s="363">
        <f t="shared" si="2"/>
        <v>1.9</v>
      </c>
      <c r="BX6" s="363">
        <f t="shared" si="3"/>
        <v>2.85</v>
      </c>
    </row>
    <row r="7" spans="1:76" s="288" customFormat="1" x14ac:dyDescent="0.25">
      <c r="A7" s="332" t="s">
        <v>716</v>
      </c>
      <c r="B7" s="285" t="s">
        <v>2</v>
      </c>
      <c r="C7" s="286">
        <f t="shared" ca="1" si="11"/>
        <v>1.4732142857142858</v>
      </c>
      <c r="D7" s="321" t="s">
        <v>315</v>
      </c>
      <c r="E7" s="419">
        <f>PLANTILLA!E8</f>
        <v>31</v>
      </c>
      <c r="F7" s="419">
        <f ca="1">PLANTILLA!F8</f>
        <v>59</v>
      </c>
      <c r="G7" s="420" t="s">
        <v>595</v>
      </c>
      <c r="H7" s="426">
        <v>5</v>
      </c>
      <c r="I7" s="335">
        <f>PLANTILLA!I8</f>
        <v>7.5</v>
      </c>
      <c r="J7" s="519">
        <f>PLANTILLA!X8</f>
        <v>0</v>
      </c>
      <c r="K7" s="519">
        <f>PLANTILLA!Y8</f>
        <v>11</v>
      </c>
      <c r="L7" s="519">
        <f>PLANTILLA!Z8</f>
        <v>6.1894444444444412</v>
      </c>
      <c r="M7" s="519">
        <f>PLANTILLA!AA8</f>
        <v>6.04</v>
      </c>
      <c r="N7" s="519">
        <f>PLANTILLA!AB8</f>
        <v>7.7227777777777789</v>
      </c>
      <c r="O7" s="519">
        <f>PLANTILLA!AC8</f>
        <v>4.383333333333332</v>
      </c>
      <c r="P7" s="519">
        <f>PLANTILLA!AD8</f>
        <v>15.349999999999998</v>
      </c>
      <c r="Q7" s="443">
        <f t="shared" si="4"/>
        <v>31</v>
      </c>
      <c r="R7" s="444">
        <f t="shared" ca="1" si="5"/>
        <v>66</v>
      </c>
      <c r="S7" s="193"/>
      <c r="T7" s="193"/>
      <c r="U7" s="193"/>
      <c r="V7" s="193"/>
      <c r="W7" s="193"/>
      <c r="X7" s="193"/>
      <c r="Y7" s="193"/>
      <c r="Z7" s="193"/>
      <c r="AA7" s="323">
        <f t="shared" si="6"/>
        <v>7.5</v>
      </c>
      <c r="AB7" s="539">
        <f t="shared" si="20"/>
        <v>0</v>
      </c>
      <c r="AC7" s="539">
        <f>K7+(T$2/11)</f>
        <v>11</v>
      </c>
      <c r="AD7" s="539">
        <f>L7+(U$2/6.5)</f>
        <v>6.1894444444444412</v>
      </c>
      <c r="AE7" s="539">
        <f>M7+(V$2/62)</f>
        <v>6.04</v>
      </c>
      <c r="AF7" s="539">
        <f>N7+(W$2/7)</f>
        <v>7.7227777777777789</v>
      </c>
      <c r="AG7" s="539">
        <f>O7+(X$2/21)+(Y$2/7)</f>
        <v>4.383333333333332</v>
      </c>
      <c r="AH7" s="539">
        <f>P7+(Z$2/2.5)+(Y$2/10)</f>
        <v>15.749999999999998</v>
      </c>
      <c r="AI7" s="456">
        <f t="shared" si="12"/>
        <v>0</v>
      </c>
      <c r="AJ7" s="456">
        <f t="shared" si="13"/>
        <v>0</v>
      </c>
      <c r="AK7" s="456">
        <f t="shared" si="14"/>
        <v>0</v>
      </c>
      <c r="AL7" s="456">
        <f t="shared" si="15"/>
        <v>0</v>
      </c>
      <c r="AM7" s="456">
        <f t="shared" si="16"/>
        <v>0</v>
      </c>
      <c r="AN7" s="456">
        <f t="shared" si="17"/>
        <v>0</v>
      </c>
      <c r="AO7" s="456">
        <f t="shared" si="18"/>
        <v>0.40000000000000036</v>
      </c>
      <c r="AQ7" s="459" t="s">
        <v>703</v>
      </c>
      <c r="AR7" s="332" t="str">
        <f>D8</f>
        <v>E. Toney</v>
      </c>
      <c r="AS7" s="464">
        <v>0</v>
      </c>
      <c r="AT7" s="464">
        <f>AJ8*0.919</f>
        <v>0</v>
      </c>
      <c r="AU7" s="464">
        <f>AJ8*0.414</f>
        <v>0</v>
      </c>
      <c r="AV7" s="464">
        <f>AK8*0.167</f>
        <v>0</v>
      </c>
      <c r="AW7" s="464">
        <v>0</v>
      </c>
      <c r="AX7" s="464">
        <f>AL8*0.588</f>
        <v>0</v>
      </c>
      <c r="AY7" s="464">
        <v>0</v>
      </c>
      <c r="AZ7" s="467">
        <f>(0.5*AN8+0.3*AO8)/10</f>
        <v>1.1999999999999957E-2</v>
      </c>
      <c r="BA7" s="467">
        <f>(0.4*AJ8+0.3*AO8)/10</f>
        <v>1.1999999999999957E-2</v>
      </c>
      <c r="BB7" s="466">
        <f>((AC8+1)+(AF8+1)*2)/8</f>
        <v>4.2825000000000006</v>
      </c>
      <c r="BC7" s="466">
        <f>((AJ8)+(AM8)*2)/8</f>
        <v>0</v>
      </c>
      <c r="BE7" s="459" t="s">
        <v>703</v>
      </c>
      <c r="BF7" s="285" t="str">
        <f>BF23</f>
        <v>E.Romweber</v>
      </c>
      <c r="BG7" s="464">
        <f>BG23</f>
        <v>0</v>
      </c>
      <c r="BH7" s="464">
        <f t="shared" ref="BH7:BM7" si="22">BH23</f>
        <v>0</v>
      </c>
      <c r="BI7" s="464">
        <f t="shared" si="22"/>
        <v>0</v>
      </c>
      <c r="BJ7" s="464">
        <f t="shared" si="22"/>
        <v>0</v>
      </c>
      <c r="BK7" s="464">
        <f t="shared" si="22"/>
        <v>0</v>
      </c>
      <c r="BL7" s="464">
        <f t="shared" si="22"/>
        <v>0</v>
      </c>
      <c r="BM7" s="464">
        <f t="shared" si="22"/>
        <v>0</v>
      </c>
      <c r="BN7" s="467">
        <f>BN23</f>
        <v>1.1999999999999957E-2</v>
      </c>
      <c r="BO7" s="467">
        <f t="shared" ref="BO7:BQ7" si="23">BO23</f>
        <v>1.1999999999999957E-2</v>
      </c>
      <c r="BP7" s="467">
        <f t="shared" si="23"/>
        <v>4.5962499999999995</v>
      </c>
      <c r="BQ7" s="467">
        <f t="shared" si="23"/>
        <v>0</v>
      </c>
    </row>
    <row r="8" spans="1:76" s="289" customFormat="1" x14ac:dyDescent="0.25">
      <c r="A8" s="416" t="s">
        <v>447</v>
      </c>
      <c r="B8" s="416" t="s">
        <v>2</v>
      </c>
      <c r="C8" s="417">
        <f t="shared" ca="1" si="11"/>
        <v>1.8839285714285714</v>
      </c>
      <c r="D8" s="418" t="s">
        <v>309</v>
      </c>
      <c r="E8" s="419">
        <f>PLANTILLA!E9</f>
        <v>31</v>
      </c>
      <c r="F8" s="419">
        <f ca="1">PLANTILLA!F9</f>
        <v>13</v>
      </c>
      <c r="G8" s="420"/>
      <c r="H8" s="426">
        <v>5</v>
      </c>
      <c r="I8" s="335">
        <f>PLANTILLA!I9</f>
        <v>12.2</v>
      </c>
      <c r="J8" s="519">
        <f>PLANTILLA!X9</f>
        <v>0</v>
      </c>
      <c r="K8" s="519">
        <f>PLANTILLA!Y9</f>
        <v>12.060000000000004</v>
      </c>
      <c r="L8" s="519">
        <f>PLANTILLA!Z9</f>
        <v>13.116555555555554</v>
      </c>
      <c r="M8" s="519">
        <f>PLANTILLA!AA9</f>
        <v>9.8200000000000056</v>
      </c>
      <c r="N8" s="519">
        <f>PLANTILLA!AB9</f>
        <v>9.6</v>
      </c>
      <c r="O8" s="519">
        <f>PLANTILLA!AC9</f>
        <v>3.6816666666666658</v>
      </c>
      <c r="P8" s="519">
        <f>PLANTILLA!AD9</f>
        <v>16.627777777777773</v>
      </c>
      <c r="Q8" s="443">
        <f t="shared" si="4"/>
        <v>31</v>
      </c>
      <c r="R8" s="444">
        <f t="shared" ca="1" si="5"/>
        <v>20</v>
      </c>
      <c r="S8" s="193"/>
      <c r="T8" s="193"/>
      <c r="U8" s="193"/>
      <c r="V8" s="193"/>
      <c r="W8" s="193"/>
      <c r="X8" s="193"/>
      <c r="Y8" s="193"/>
      <c r="Z8" s="193"/>
      <c r="AA8" s="323">
        <f t="shared" si="6"/>
        <v>12.2</v>
      </c>
      <c r="AB8" s="539">
        <f t="shared" si="20"/>
        <v>0</v>
      </c>
      <c r="AC8" s="539">
        <f>K8+(T$2/11)</f>
        <v>12.060000000000004</v>
      </c>
      <c r="AD8" s="539">
        <f>L8+(U$2/29)</f>
        <v>13.116555555555554</v>
      </c>
      <c r="AE8" s="539">
        <f>M8+(V$2/13)</f>
        <v>9.8200000000000056</v>
      </c>
      <c r="AF8" s="539">
        <f>N8+(W$2/8)</f>
        <v>9.6</v>
      </c>
      <c r="AG8" s="539">
        <f>O8+(X$2/19)+(Y$2/6)</f>
        <v>3.6816666666666658</v>
      </c>
      <c r="AH8" s="539">
        <f>P8+(Z$2/2.5)+(Y$2/10)</f>
        <v>17.027777777777771</v>
      </c>
      <c r="AI8" s="456">
        <f t="shared" si="12"/>
        <v>0</v>
      </c>
      <c r="AJ8" s="456">
        <f t="shared" si="13"/>
        <v>0</v>
      </c>
      <c r="AK8" s="456">
        <f t="shared" si="14"/>
        <v>0</v>
      </c>
      <c r="AL8" s="456">
        <f t="shared" si="15"/>
        <v>0</v>
      </c>
      <c r="AM8" s="456">
        <f t="shared" si="16"/>
        <v>0</v>
      </c>
      <c r="AN8" s="456">
        <f t="shared" si="17"/>
        <v>0</v>
      </c>
      <c r="AO8" s="456">
        <f t="shared" si="18"/>
        <v>0.39999999999999858</v>
      </c>
      <c r="AQ8" s="562" t="s">
        <v>788</v>
      </c>
      <c r="AR8" s="331" t="str">
        <f>D11</f>
        <v>E.Romweber</v>
      </c>
      <c r="AS8" s="462">
        <f>AJ11*0.349</f>
        <v>0</v>
      </c>
      <c r="AT8" s="462">
        <v>0</v>
      </c>
      <c r="AU8" s="462">
        <f>AJ11*0.201</f>
        <v>0</v>
      </c>
      <c r="AV8" s="462">
        <f>AK11*0.455</f>
        <v>0</v>
      </c>
      <c r="AW8" s="462">
        <f>(AL11*0.864)+(AM11*0.244)</f>
        <v>0</v>
      </c>
      <c r="AX8" s="462">
        <v>0</v>
      </c>
      <c r="AY8" s="462">
        <f>(AM11*0.121)</f>
        <v>0</v>
      </c>
      <c r="AZ8" s="467">
        <f>(0.5*AN11+0.3*AO11)/10</f>
        <v>1.1999999999999957E-2</v>
      </c>
      <c r="BA8" s="467">
        <f>(0.4*AJ11+0.3*AO11)/10</f>
        <v>1.1999999999999957E-2</v>
      </c>
      <c r="BB8" s="465">
        <v>0</v>
      </c>
      <c r="BC8" s="465">
        <v>0</v>
      </c>
      <c r="BE8" s="562" t="s">
        <v>789</v>
      </c>
      <c r="BF8" s="331" t="str">
        <f>D12</f>
        <v>K. Helms</v>
      </c>
      <c r="BG8" s="464">
        <f>BG24</f>
        <v>0</v>
      </c>
      <c r="BH8" s="464">
        <f t="shared" ref="BH8:BQ8" si="24">BH24</f>
        <v>0</v>
      </c>
      <c r="BI8" s="464">
        <f t="shared" si="24"/>
        <v>0</v>
      </c>
      <c r="BJ8" s="464">
        <f t="shared" si="24"/>
        <v>0</v>
      </c>
      <c r="BK8" s="464">
        <f t="shared" si="24"/>
        <v>0</v>
      </c>
      <c r="BL8" s="464">
        <f t="shared" si="24"/>
        <v>0</v>
      </c>
      <c r="BM8" s="464">
        <f t="shared" si="24"/>
        <v>0</v>
      </c>
      <c r="BN8" s="467">
        <f t="shared" si="24"/>
        <v>1.1999999999999957E-2</v>
      </c>
      <c r="BO8" s="467">
        <f t="shared" si="24"/>
        <v>1.1999999999999957E-2</v>
      </c>
      <c r="BP8" s="467">
        <f t="shared" si="24"/>
        <v>0</v>
      </c>
      <c r="BQ8" s="467">
        <f t="shared" si="24"/>
        <v>0</v>
      </c>
    </row>
    <row r="9" spans="1:76" s="288" customFormat="1" x14ac:dyDescent="0.25">
      <c r="A9" s="416" t="s">
        <v>451</v>
      </c>
      <c r="B9" s="285" t="s">
        <v>2</v>
      </c>
      <c r="C9" s="286">
        <f t="shared" ca="1" si="11"/>
        <v>2.0178571428571428</v>
      </c>
      <c r="D9" s="321" t="s">
        <v>313</v>
      </c>
      <c r="E9" s="419">
        <f>PLANTILLA!E10</f>
        <v>30</v>
      </c>
      <c r="F9" s="419">
        <f ca="1">PLANTILLA!F10</f>
        <v>110</v>
      </c>
      <c r="G9" s="420"/>
      <c r="H9" s="401">
        <v>4</v>
      </c>
      <c r="I9" s="335">
        <f>PLANTILLA!I10</f>
        <v>9.3000000000000007</v>
      </c>
      <c r="J9" s="519">
        <f>PLANTILLA!X10</f>
        <v>0</v>
      </c>
      <c r="K9" s="519">
        <f>PLANTILLA!Y10</f>
        <v>11.649999999999997</v>
      </c>
      <c r="L9" s="519">
        <f>PLANTILLA!Z10</f>
        <v>6.700000000000002</v>
      </c>
      <c r="M9" s="519">
        <f>PLANTILLA!AA10</f>
        <v>7.4300000000000015</v>
      </c>
      <c r="N9" s="519">
        <f>PLANTILLA!AB10</f>
        <v>9.0199999999999978</v>
      </c>
      <c r="O9" s="519">
        <f>PLANTILLA!AC10</f>
        <v>4.6199999999999966</v>
      </c>
      <c r="P9" s="519">
        <f>PLANTILLA!AD10</f>
        <v>15.6</v>
      </c>
      <c r="Q9" s="443">
        <f t="shared" si="4"/>
        <v>30</v>
      </c>
      <c r="R9" s="444">
        <f t="shared" ca="1" si="5"/>
        <v>117</v>
      </c>
      <c r="S9" s="193"/>
      <c r="T9" s="193"/>
      <c r="U9" s="193"/>
      <c r="V9" s="193"/>
      <c r="W9" s="193"/>
      <c r="X9" s="193"/>
      <c r="Y9" s="193"/>
      <c r="Z9" s="193"/>
      <c r="AA9" s="323">
        <f t="shared" si="6"/>
        <v>9.3000000000000007</v>
      </c>
      <c r="AB9" s="539">
        <f t="shared" si="20"/>
        <v>0</v>
      </c>
      <c r="AC9" s="539">
        <f>K9+(T$2/10)</f>
        <v>11.649999999999997</v>
      </c>
      <c r="AD9" s="539">
        <f>L9+(U$2/31)</f>
        <v>6.700000000000002</v>
      </c>
      <c r="AE9" s="539">
        <f>M9+(V$2/6)</f>
        <v>7.4300000000000015</v>
      </c>
      <c r="AF9" s="539">
        <f>N9+(W$2/7)</f>
        <v>9.0199999999999978</v>
      </c>
      <c r="AG9" s="539">
        <f>O9+(X$2/21)+(Y$2/7)</f>
        <v>4.6199999999999966</v>
      </c>
      <c r="AH9" s="539">
        <f>P9+(Z$2/2)+(Y$2/10)</f>
        <v>16.100000000000001</v>
      </c>
      <c r="AI9" s="456">
        <f t="shared" si="12"/>
        <v>0</v>
      </c>
      <c r="AJ9" s="456">
        <f t="shared" si="13"/>
        <v>0</v>
      </c>
      <c r="AK9" s="456">
        <f t="shared" si="14"/>
        <v>0</v>
      </c>
      <c r="AL9" s="456">
        <f t="shared" si="15"/>
        <v>0</v>
      </c>
      <c r="AM9" s="456">
        <f t="shared" si="16"/>
        <v>0</v>
      </c>
      <c r="AN9" s="456">
        <f t="shared" si="17"/>
        <v>0</v>
      </c>
      <c r="AO9" s="456">
        <f t="shared" si="18"/>
        <v>0.50000000000000178</v>
      </c>
      <c r="AQ9" s="459" t="s">
        <v>596</v>
      </c>
      <c r="AR9" s="285" t="str">
        <f>D14</f>
        <v>S. Buscleman</v>
      </c>
      <c r="AS9" s="464">
        <f>AJ14*0.291</f>
        <v>0</v>
      </c>
      <c r="AT9" s="464">
        <v>0</v>
      </c>
      <c r="AU9" s="464">
        <f>AJ14*0.348</f>
        <v>0</v>
      </c>
      <c r="AV9" s="464">
        <f>AK14*0.881</f>
        <v>0</v>
      </c>
      <c r="AW9" s="464">
        <f>(AL14*0.574)+(AM14*0.315)</f>
        <v>0</v>
      </c>
      <c r="AX9" s="464">
        <v>0</v>
      </c>
      <c r="AY9" s="464">
        <f>AM14*0.241</f>
        <v>0</v>
      </c>
      <c r="AZ9" s="467">
        <f>(0.5*AN14+0.3*AO14)/10</f>
        <v>0.03</v>
      </c>
      <c r="BA9" s="467">
        <f>(0.4*AJ14+0.3*AO14)/10</f>
        <v>0.03</v>
      </c>
      <c r="BB9" s="467">
        <v>0</v>
      </c>
      <c r="BC9" s="467">
        <v>0</v>
      </c>
      <c r="BE9" s="459" t="s">
        <v>596</v>
      </c>
      <c r="BF9" s="285" t="str">
        <f>D14</f>
        <v>S. Buscleman</v>
      </c>
      <c r="BG9" s="464">
        <f t="shared" ref="BG9:BM9" si="25">AS9</f>
        <v>0</v>
      </c>
      <c r="BH9" s="464">
        <f t="shared" si="25"/>
        <v>0</v>
      </c>
      <c r="BI9" s="464">
        <f t="shared" si="25"/>
        <v>0</v>
      </c>
      <c r="BJ9" s="464">
        <f t="shared" si="25"/>
        <v>0</v>
      </c>
      <c r="BK9" s="464">
        <f t="shared" si="25"/>
        <v>0</v>
      </c>
      <c r="BL9" s="464">
        <f t="shared" si="25"/>
        <v>0</v>
      </c>
      <c r="BM9" s="464">
        <f t="shared" si="25"/>
        <v>0</v>
      </c>
      <c r="BN9" s="467">
        <f t="shared" ref="BN9" si="26">AZ9</f>
        <v>0.03</v>
      </c>
      <c r="BO9" s="467">
        <f>BA9</f>
        <v>0.03</v>
      </c>
      <c r="BP9" s="467">
        <f>BB9</f>
        <v>0</v>
      </c>
      <c r="BQ9" s="467">
        <f>BC9</f>
        <v>0</v>
      </c>
    </row>
    <row r="10" spans="1:76" s="4" customFormat="1" x14ac:dyDescent="0.25">
      <c r="A10" s="331" t="s">
        <v>702</v>
      </c>
      <c r="B10" s="285" t="s">
        <v>2</v>
      </c>
      <c r="C10" s="286">
        <f t="shared" ca="1" si="11"/>
        <v>5.8125</v>
      </c>
      <c r="D10" s="321" t="s">
        <v>701</v>
      </c>
      <c r="E10" s="419">
        <f>PLANTILLA!E11</f>
        <v>27</v>
      </c>
      <c r="F10" s="419">
        <f ca="1">PLANTILLA!F11</f>
        <v>21</v>
      </c>
      <c r="G10" s="420"/>
      <c r="H10" s="426">
        <v>5</v>
      </c>
      <c r="I10" s="335">
        <f>PLANTILLA!I11</f>
        <v>4.9000000000000004</v>
      </c>
      <c r="J10" s="519">
        <f>PLANTILLA!X11</f>
        <v>0</v>
      </c>
      <c r="K10" s="519">
        <f>PLANTILLA!Y11</f>
        <v>9.5796666666666663</v>
      </c>
      <c r="L10" s="519">
        <f>PLANTILLA!Z11</f>
        <v>7.7407222222222227</v>
      </c>
      <c r="M10" s="519">
        <f>PLANTILLA!AA11</f>
        <v>6.1499999999999986</v>
      </c>
      <c r="N10" s="519">
        <f>PLANTILLA!AB11</f>
        <v>8.8633333333333315</v>
      </c>
      <c r="O10" s="519">
        <f>PLANTILLA!AC11</f>
        <v>3.2566666666666673</v>
      </c>
      <c r="P10" s="519">
        <f>PLANTILLA!AD11</f>
        <v>13.238888888888889</v>
      </c>
      <c r="Q10" s="443">
        <f t="shared" si="4"/>
        <v>27</v>
      </c>
      <c r="R10" s="444">
        <f t="shared" ca="1" si="5"/>
        <v>28</v>
      </c>
      <c r="S10" s="193"/>
      <c r="T10" s="193"/>
      <c r="U10" s="193"/>
      <c r="V10" s="193"/>
      <c r="W10" s="193"/>
      <c r="X10" s="193"/>
      <c r="Y10" s="193"/>
      <c r="Z10" s="193"/>
      <c r="AA10" s="323">
        <f t="shared" si="6"/>
        <v>4.9000000000000004</v>
      </c>
      <c r="AB10" s="539">
        <f t="shared" si="20"/>
        <v>0</v>
      </c>
      <c r="AC10" s="539">
        <f>K10+(T$2/25)</f>
        <v>9.5796666666666663</v>
      </c>
      <c r="AD10" s="539">
        <f>L10+(U$2/37)</f>
        <v>7.7407222222222227</v>
      </c>
      <c r="AE10" s="539">
        <f>M10+(V$2/20)</f>
        <v>6.1499999999999986</v>
      </c>
      <c r="AF10" s="539">
        <f>N10+(W$2/8)</f>
        <v>8.8633333333333315</v>
      </c>
      <c r="AG10" s="539">
        <f>O10+(X$2/18)+(Y$2/5)</f>
        <v>3.2566666666666673</v>
      </c>
      <c r="AH10" s="539">
        <f>P10+(Z$2/1.2)+(Y$2/10)</f>
        <v>14.072222222222223</v>
      </c>
      <c r="AI10" s="456">
        <f t="shared" si="12"/>
        <v>0</v>
      </c>
      <c r="AJ10" s="456">
        <f t="shared" si="13"/>
        <v>0</v>
      </c>
      <c r="AK10" s="456">
        <f t="shared" si="14"/>
        <v>0</v>
      </c>
      <c r="AL10" s="456">
        <f t="shared" si="15"/>
        <v>0</v>
      </c>
      <c r="AM10" s="456">
        <f t="shared" si="16"/>
        <v>0</v>
      </c>
      <c r="AN10" s="456">
        <f t="shared" si="17"/>
        <v>0</v>
      </c>
      <c r="AO10" s="456">
        <f t="shared" si="18"/>
        <v>0.83333333333333393</v>
      </c>
      <c r="AQ10" s="459" t="s">
        <v>790</v>
      </c>
      <c r="AR10" s="285" t="str">
        <f>D17</f>
        <v>L. Bauman</v>
      </c>
      <c r="AS10" s="464">
        <f>AJ17*0.057</f>
        <v>0</v>
      </c>
      <c r="AT10" s="464">
        <f>AS10</f>
        <v>0</v>
      </c>
      <c r="AU10" s="464">
        <f>AJ17*0.162</f>
        <v>0</v>
      </c>
      <c r="AV10" s="464">
        <f>AK17*0.944</f>
        <v>0</v>
      </c>
      <c r="AW10" s="464">
        <f>AM17*0.188</f>
        <v>0</v>
      </c>
      <c r="AX10" s="464">
        <f>AW10</f>
        <v>0</v>
      </c>
      <c r="AY10" s="464">
        <f>AM17*0.507+AN17*0.31</f>
        <v>0</v>
      </c>
      <c r="AZ10" s="467">
        <f>(0.5*AN17+0.3*AO17)/10</f>
        <v>1.1999999999999957E-2</v>
      </c>
      <c r="BA10" s="467">
        <f>(0.4*AJ17+0.3*AO17)/10</f>
        <v>1.1999999999999957E-2</v>
      </c>
      <c r="BB10" s="467">
        <v>0</v>
      </c>
      <c r="BC10" s="467">
        <v>0</v>
      </c>
      <c r="BE10" s="459" t="s">
        <v>787</v>
      </c>
      <c r="BF10" s="285" t="str">
        <f>BF22</f>
        <v>B. Bartolache</v>
      </c>
      <c r="BG10" s="464">
        <f>BG22</f>
        <v>0</v>
      </c>
      <c r="BH10" s="464">
        <f t="shared" ref="BH10:BM10" si="27">BH22</f>
        <v>0</v>
      </c>
      <c r="BI10" s="464">
        <f t="shared" si="27"/>
        <v>0</v>
      </c>
      <c r="BJ10" s="464">
        <f t="shared" si="27"/>
        <v>0</v>
      </c>
      <c r="BK10" s="464">
        <f t="shared" si="27"/>
        <v>0</v>
      </c>
      <c r="BL10" s="464">
        <f t="shared" si="27"/>
        <v>0</v>
      </c>
      <c r="BM10" s="464">
        <f t="shared" si="27"/>
        <v>0</v>
      </c>
      <c r="BN10" s="467">
        <f>AZ7</f>
        <v>1.1999999999999957E-2</v>
      </c>
      <c r="BO10" s="467">
        <f>BA7</f>
        <v>1.1999999999999957E-2</v>
      </c>
      <c r="BP10" s="467">
        <f t="shared" ref="BP10:BQ10" si="28">BP22</f>
        <v>4.2825000000000006</v>
      </c>
      <c r="BQ10" s="467">
        <f t="shared" si="28"/>
        <v>0</v>
      </c>
    </row>
    <row r="11" spans="1:76" x14ac:dyDescent="0.25">
      <c r="A11" s="416" t="s">
        <v>445</v>
      </c>
      <c r="B11" s="416" t="s">
        <v>66</v>
      </c>
      <c r="C11" s="417">
        <f t="shared" ca="1" si="11"/>
        <v>2.2232142857142856</v>
      </c>
      <c r="D11" s="418" t="s">
        <v>310</v>
      </c>
      <c r="E11" s="419">
        <f>PLANTILLA!E12</f>
        <v>30</v>
      </c>
      <c r="F11" s="419">
        <f ca="1">PLANTILLA!F12</f>
        <v>87</v>
      </c>
      <c r="G11" s="420" t="s">
        <v>311</v>
      </c>
      <c r="H11" s="401">
        <v>1</v>
      </c>
      <c r="I11" s="335">
        <f>PLANTILLA!I12</f>
        <v>12.3</v>
      </c>
      <c r="J11" s="519">
        <f>PLANTILLA!X12</f>
        <v>0</v>
      </c>
      <c r="K11" s="519">
        <f>PLANTILLA!Y12</f>
        <v>11.95</v>
      </c>
      <c r="L11" s="519">
        <f>PLANTILLA!Z12</f>
        <v>12.489111111111114</v>
      </c>
      <c r="M11" s="519">
        <f>PLANTILLA!AA12</f>
        <v>13.133333333333335</v>
      </c>
      <c r="N11" s="519">
        <f>PLANTILLA!AB12</f>
        <v>10.91</v>
      </c>
      <c r="O11" s="519">
        <f>PLANTILLA!AC12</f>
        <v>7.7700000000000005</v>
      </c>
      <c r="P11" s="519">
        <f>PLANTILLA!AD12</f>
        <v>17.13</v>
      </c>
      <c r="Q11" s="443">
        <f t="shared" si="4"/>
        <v>30</v>
      </c>
      <c r="R11" s="444">
        <f t="shared" ca="1" si="5"/>
        <v>94</v>
      </c>
      <c r="S11" s="193"/>
      <c r="T11" s="193"/>
      <c r="U11" s="193"/>
      <c r="V11" s="193"/>
      <c r="W11" s="193"/>
      <c r="X11" s="193"/>
      <c r="Y11" s="193"/>
      <c r="Z11" s="193"/>
      <c r="AA11" s="323">
        <f t="shared" si="6"/>
        <v>12.3</v>
      </c>
      <c r="AB11" s="539">
        <f t="shared" si="20"/>
        <v>0</v>
      </c>
      <c r="AC11" s="539">
        <f>K11+(T$2/10)</f>
        <v>11.95</v>
      </c>
      <c r="AD11" s="539">
        <f>L11+(U$2/18)</f>
        <v>12.489111111111114</v>
      </c>
      <c r="AE11" s="539">
        <f>M11+(V$2/15)</f>
        <v>13.133333333333335</v>
      </c>
      <c r="AF11" s="539">
        <f>N11+(W$2/8)</f>
        <v>10.91</v>
      </c>
      <c r="AG11" s="539">
        <f>O11+(X$2/5)+(Y$2/4)/2</f>
        <v>7.7700000000000005</v>
      </c>
      <c r="AH11" s="539">
        <f>P11+(Z$2/2.5)+(Y$2/10)</f>
        <v>17.529999999999998</v>
      </c>
      <c r="AI11" s="456">
        <f t="shared" si="12"/>
        <v>0</v>
      </c>
      <c r="AJ11" s="456">
        <f t="shared" si="13"/>
        <v>0</v>
      </c>
      <c r="AK11" s="456">
        <f t="shared" si="14"/>
        <v>0</v>
      </c>
      <c r="AL11" s="456">
        <f t="shared" si="15"/>
        <v>0</v>
      </c>
      <c r="AM11" s="456">
        <f t="shared" si="16"/>
        <v>0</v>
      </c>
      <c r="AN11" s="456">
        <f t="shared" si="17"/>
        <v>0</v>
      </c>
      <c r="AO11" s="456">
        <f t="shared" si="18"/>
        <v>0.39999999999999858</v>
      </c>
      <c r="AQ11" s="459" t="s">
        <v>596</v>
      </c>
      <c r="AR11" s="285" t="str">
        <f>D15</f>
        <v>C. Rojas</v>
      </c>
      <c r="AS11" s="464">
        <v>0</v>
      </c>
      <c r="AT11" s="464">
        <f>AJ15*0.291</f>
        <v>0</v>
      </c>
      <c r="AU11" s="464">
        <f>AJ15*0.348</f>
        <v>0</v>
      </c>
      <c r="AV11" s="464">
        <f>AK15*0.881</f>
        <v>0</v>
      </c>
      <c r="AW11" s="464">
        <v>0</v>
      </c>
      <c r="AX11" s="464">
        <f>(AL15*0.574)+(AM15*0.314)</f>
        <v>0</v>
      </c>
      <c r="AY11" s="464">
        <f>AM15*0.241</f>
        <v>0</v>
      </c>
      <c r="AZ11" s="467">
        <f>(0.5*AN15+0.3*AO15)/10</f>
        <v>1.4999999999999999E-2</v>
      </c>
      <c r="BA11" s="467">
        <f>(0.4*AJ15+0.3*AO15)/10</f>
        <v>1.4999999999999999E-2</v>
      </c>
      <c r="BB11" s="467">
        <v>0</v>
      </c>
      <c r="BC11" s="467">
        <v>0</v>
      </c>
      <c r="BE11" s="459" t="s">
        <v>596</v>
      </c>
      <c r="BF11" s="285" t="str">
        <f>D15</f>
        <v>C. Rojas</v>
      </c>
      <c r="BG11" s="464">
        <f>BG26</f>
        <v>0</v>
      </c>
      <c r="BH11" s="464">
        <f t="shared" ref="BH11:BM11" si="29">BH26</f>
        <v>0</v>
      </c>
      <c r="BI11" s="464">
        <f t="shared" si="29"/>
        <v>0</v>
      </c>
      <c r="BJ11" s="464">
        <f t="shared" si="29"/>
        <v>0</v>
      </c>
      <c r="BK11" s="464">
        <f t="shared" si="29"/>
        <v>0</v>
      </c>
      <c r="BL11" s="464">
        <f t="shared" si="29"/>
        <v>0</v>
      </c>
      <c r="BM11" s="464">
        <f t="shared" si="29"/>
        <v>0</v>
      </c>
      <c r="BN11" s="467">
        <f>BN26</f>
        <v>1.4999999999999999E-2</v>
      </c>
      <c r="BO11" s="467">
        <f t="shared" ref="BO11:BQ11" si="30">BO26</f>
        <v>1.4999999999999999E-2</v>
      </c>
      <c r="BP11" s="467">
        <f t="shared" si="30"/>
        <v>0</v>
      </c>
      <c r="BQ11" s="467">
        <f t="shared" si="30"/>
        <v>0</v>
      </c>
    </row>
    <row r="12" spans="1:76" s="288" customFormat="1" x14ac:dyDescent="0.25">
      <c r="A12" s="416" t="s">
        <v>452</v>
      </c>
      <c r="B12" s="416" t="s">
        <v>66</v>
      </c>
      <c r="C12" s="417">
        <f t="shared" ca="1" si="11"/>
        <v>2.6964285714285716</v>
      </c>
      <c r="D12" s="418" t="s">
        <v>338</v>
      </c>
      <c r="E12" s="419">
        <f>PLANTILLA!E13</f>
        <v>30</v>
      </c>
      <c r="F12" s="419">
        <f ca="1">PLANTILLA!F13</f>
        <v>34</v>
      </c>
      <c r="G12" s="420" t="s">
        <v>308</v>
      </c>
      <c r="H12" s="401">
        <v>3</v>
      </c>
      <c r="I12" s="335">
        <f>PLANTILLA!I13</f>
        <v>10.3</v>
      </c>
      <c r="J12" s="519">
        <f>PLANTILLA!X13</f>
        <v>0</v>
      </c>
      <c r="K12" s="519">
        <f>PLANTILLA!Y13</f>
        <v>7.11</v>
      </c>
      <c r="L12" s="519">
        <f>PLANTILLA!Z13</f>
        <v>10.450000000000003</v>
      </c>
      <c r="M12" s="519">
        <f>PLANTILLA!AA13</f>
        <v>13.388333333333334</v>
      </c>
      <c r="N12" s="519">
        <f>PLANTILLA!AB13</f>
        <v>10.359999999999998</v>
      </c>
      <c r="O12" s="519">
        <f>PLANTILLA!AC13</f>
        <v>5.4050000000000002</v>
      </c>
      <c r="P12" s="519">
        <f>PLANTILLA!AD13</f>
        <v>17.300000000000004</v>
      </c>
      <c r="Q12" s="443">
        <f t="shared" si="4"/>
        <v>30</v>
      </c>
      <c r="R12" s="444">
        <f t="shared" ca="1" si="5"/>
        <v>41</v>
      </c>
      <c r="S12" s="193"/>
      <c r="T12" s="193"/>
      <c r="U12" s="193"/>
      <c r="V12" s="193"/>
      <c r="W12" s="193"/>
      <c r="X12" s="193"/>
      <c r="Y12" s="193"/>
      <c r="Z12" s="193"/>
      <c r="AA12" s="323">
        <f t="shared" si="6"/>
        <v>10.3</v>
      </c>
      <c r="AB12" s="539">
        <f t="shared" si="20"/>
        <v>0</v>
      </c>
      <c r="AC12" s="539">
        <f>K12+(T$2/7)</f>
        <v>7.11</v>
      </c>
      <c r="AD12" s="539">
        <f>L12+(U$2/7)</f>
        <v>10.450000000000003</v>
      </c>
      <c r="AE12" s="539">
        <f>M12+(V$2/8)</f>
        <v>13.388333333333334</v>
      </c>
      <c r="AF12" s="539">
        <f>N12+(W$2/8)</f>
        <v>10.359999999999998</v>
      </c>
      <c r="AG12" s="539">
        <f>O12+(X$2/4)+(Y$2/6)</f>
        <v>5.4050000000000002</v>
      </c>
      <c r="AH12" s="539">
        <f>P12+(Z$2/2.5)+(Y$2/10)</f>
        <v>17.700000000000003</v>
      </c>
      <c r="AI12" s="456">
        <f t="shared" si="12"/>
        <v>0</v>
      </c>
      <c r="AJ12" s="456">
        <f t="shared" si="13"/>
        <v>0</v>
      </c>
      <c r="AK12" s="456">
        <f t="shared" si="14"/>
        <v>0</v>
      </c>
      <c r="AL12" s="456">
        <f t="shared" si="15"/>
        <v>0</v>
      </c>
      <c r="AM12" s="456">
        <f t="shared" si="16"/>
        <v>0</v>
      </c>
      <c r="AN12" s="456">
        <f t="shared" si="17"/>
        <v>0</v>
      </c>
      <c r="AO12" s="456">
        <f t="shared" si="18"/>
        <v>0.39999999999999858</v>
      </c>
      <c r="AQ12" s="563" t="s">
        <v>789</v>
      </c>
      <c r="AR12" s="285" t="str">
        <f>D12</f>
        <v>K. Helms</v>
      </c>
      <c r="AS12" s="464">
        <v>0</v>
      </c>
      <c r="AT12" s="464">
        <f>AJ12*0.18</f>
        <v>0</v>
      </c>
      <c r="AU12" s="464">
        <f>AJ12*0.068</f>
        <v>0</v>
      </c>
      <c r="AV12" s="464">
        <f>AK12*0.305</f>
        <v>0</v>
      </c>
      <c r="AW12" s="464">
        <v>0</v>
      </c>
      <c r="AX12" s="464">
        <f>(AL12*1)+(AM12*0.286)</f>
        <v>0</v>
      </c>
      <c r="AY12" s="464">
        <f>AM12*0.135</f>
        <v>0</v>
      </c>
      <c r="AZ12" s="467">
        <f>(0.5*AN12+0.3*AO12)/10</f>
        <v>1.1999999999999957E-2</v>
      </c>
      <c r="BA12" s="467">
        <f>(0.4*AJ12+0.3*AO12)/10</f>
        <v>1.1999999999999957E-2</v>
      </c>
      <c r="BB12" s="467">
        <v>0</v>
      </c>
      <c r="BC12" s="467">
        <v>0</v>
      </c>
      <c r="BE12" s="563" t="s">
        <v>789</v>
      </c>
      <c r="BF12" s="285" t="str">
        <f>BF27</f>
        <v>S. Zobbe</v>
      </c>
      <c r="BG12" s="464">
        <f>BG27</f>
        <v>0</v>
      </c>
      <c r="BH12" s="464">
        <f t="shared" ref="BH12:BM12" si="31">BH27</f>
        <v>0</v>
      </c>
      <c r="BI12" s="464">
        <f t="shared" si="31"/>
        <v>0</v>
      </c>
      <c r="BJ12" s="464">
        <f t="shared" si="31"/>
        <v>0</v>
      </c>
      <c r="BK12" s="464">
        <f t="shared" si="31"/>
        <v>0</v>
      </c>
      <c r="BL12" s="464">
        <f t="shared" si="31"/>
        <v>0</v>
      </c>
      <c r="BM12" s="464">
        <f t="shared" si="31"/>
        <v>0</v>
      </c>
      <c r="BN12" s="467">
        <f>BN27</f>
        <v>1.4999999999999999E-2</v>
      </c>
      <c r="BO12" s="467">
        <f t="shared" ref="BO12:BQ12" si="32">BO27</f>
        <v>1.4999999999999999E-2</v>
      </c>
      <c r="BP12" s="467">
        <f t="shared" si="32"/>
        <v>0</v>
      </c>
      <c r="BQ12" s="467">
        <f t="shared" si="32"/>
        <v>0</v>
      </c>
    </row>
    <row r="13" spans="1:76" s="289" customFormat="1" x14ac:dyDescent="0.25">
      <c r="A13" s="416" t="s">
        <v>599</v>
      </c>
      <c r="B13" s="416" t="s">
        <v>66</v>
      </c>
      <c r="C13" s="417">
        <f t="shared" ca="1" si="11"/>
        <v>5.5625</v>
      </c>
      <c r="D13" s="418" t="s">
        <v>600</v>
      </c>
      <c r="E13" s="419">
        <f>PLANTILLA!E14</f>
        <v>27</v>
      </c>
      <c r="F13" s="419">
        <f ca="1">PLANTILLA!F14</f>
        <v>49</v>
      </c>
      <c r="G13" s="420" t="s">
        <v>595</v>
      </c>
      <c r="H13" s="401">
        <v>3</v>
      </c>
      <c r="I13" s="335">
        <f>PLANTILLA!I14</f>
        <v>8.6999999999999993</v>
      </c>
      <c r="J13" s="519">
        <f>PLANTILLA!X14</f>
        <v>0</v>
      </c>
      <c r="K13" s="519">
        <f>PLANTILLA!Y14</f>
        <v>8.1199999999999992</v>
      </c>
      <c r="L13" s="519">
        <f>PLANTILLA!Z14</f>
        <v>12.058412698412699</v>
      </c>
      <c r="M13" s="519">
        <f>PLANTILLA!AA14</f>
        <v>12.25</v>
      </c>
      <c r="N13" s="519">
        <f>PLANTILLA!AB14</f>
        <v>10.24</v>
      </c>
      <c r="O13" s="519">
        <f>PLANTILLA!AC14</f>
        <v>7.4766666666666666</v>
      </c>
      <c r="P13" s="519">
        <f>PLANTILLA!AD14</f>
        <v>15.270000000000001</v>
      </c>
      <c r="Q13" s="443">
        <f t="shared" si="4"/>
        <v>27</v>
      </c>
      <c r="R13" s="444">
        <f t="shared" ca="1" si="5"/>
        <v>56</v>
      </c>
      <c r="S13" s="193"/>
      <c r="T13" s="193"/>
      <c r="U13" s="193"/>
      <c r="V13" s="193"/>
      <c r="W13" s="193"/>
      <c r="X13" s="193"/>
      <c r="Y13" s="193"/>
      <c r="Z13" s="193"/>
      <c r="AA13" s="323">
        <f t="shared" si="6"/>
        <v>8.6999999999999993</v>
      </c>
      <c r="AB13" s="539">
        <f t="shared" si="20"/>
        <v>0</v>
      </c>
      <c r="AC13" s="539">
        <f>K13+(T$2/6.5)</f>
        <v>8.1199999999999992</v>
      </c>
      <c r="AD13" s="539">
        <f>L13+(U$2/8)</f>
        <v>12.058412698412699</v>
      </c>
      <c r="AE13" s="539">
        <f>M13+(V$2/6)</f>
        <v>12.25</v>
      </c>
      <c r="AF13" s="539">
        <f>N13+(W$2/8)</f>
        <v>10.24</v>
      </c>
      <c r="AG13" s="539">
        <f>O13+(X$2/4.5)+(Y$2/3.5)/2</f>
        <v>7.4766666666666666</v>
      </c>
      <c r="AH13" s="539">
        <f>P13+(Z$2/2)+(Y$2/10)</f>
        <v>15.770000000000001</v>
      </c>
      <c r="AI13" s="456">
        <f t="shared" si="12"/>
        <v>0</v>
      </c>
      <c r="AJ13" s="456">
        <f t="shared" si="13"/>
        <v>0</v>
      </c>
      <c r="AK13" s="456">
        <f t="shared" si="14"/>
        <v>0</v>
      </c>
      <c r="AL13" s="456">
        <f t="shared" si="15"/>
        <v>0</v>
      </c>
      <c r="AM13" s="456">
        <f t="shared" si="16"/>
        <v>0</v>
      </c>
      <c r="AN13" s="456">
        <f t="shared" si="17"/>
        <v>0</v>
      </c>
      <c r="AO13" s="456">
        <f t="shared" si="18"/>
        <v>0.5</v>
      </c>
      <c r="AQ13" s="562" t="s">
        <v>67</v>
      </c>
      <c r="AR13" s="331" t="str">
        <f>D21</f>
        <v>J. Limon</v>
      </c>
      <c r="AS13" s="462">
        <v>0</v>
      </c>
      <c r="AT13" s="462">
        <v>0</v>
      </c>
      <c r="AU13" s="462">
        <v>0</v>
      </c>
      <c r="AV13" s="462">
        <f>AK21*0.25</f>
        <v>0</v>
      </c>
      <c r="AW13" s="462">
        <f>(AM21*0.142)+(AL21*0.221)+(AN21*0.26)</f>
        <v>0</v>
      </c>
      <c r="AX13" s="462">
        <f>AW13</f>
        <v>0</v>
      </c>
      <c r="AY13" s="462">
        <f>(AM21*0.369)+(AN21*1)</f>
        <v>0</v>
      </c>
      <c r="AZ13" s="586">
        <f>((0.5*AN21+0.3*AO21)/10)+0.09*AO21</f>
        <v>0.06</v>
      </c>
      <c r="BA13" s="586">
        <f>(0.4*AJ21+0.3*AO21)/10</f>
        <v>1.4999999999999999E-2</v>
      </c>
      <c r="BB13" s="465">
        <v>0</v>
      </c>
      <c r="BC13" s="465">
        <v>0</v>
      </c>
      <c r="BE13" s="562" t="s">
        <v>786</v>
      </c>
      <c r="BF13" s="331" t="str">
        <f>D21</f>
        <v>J. Limon</v>
      </c>
      <c r="BG13" s="462">
        <v>0</v>
      </c>
      <c r="BH13" s="462">
        <v>0</v>
      </c>
      <c r="BI13" s="462">
        <v>0</v>
      </c>
      <c r="BJ13" s="462">
        <f>AK21*0.25</f>
        <v>0</v>
      </c>
      <c r="BK13" s="462">
        <f>(AM21*0.209)+(AL21*0.607)+(AN21*0.524)</f>
        <v>0</v>
      </c>
      <c r="BL13" s="462">
        <v>0</v>
      </c>
      <c r="BM13" s="462">
        <f>(AM21*0.261)+(AN21*0.607)</f>
        <v>0</v>
      </c>
      <c r="BN13" s="587">
        <f>AZ13</f>
        <v>0.06</v>
      </c>
      <c r="BO13" s="587">
        <f>BA13</f>
        <v>1.4999999999999999E-2</v>
      </c>
      <c r="BP13" s="465">
        <v>0</v>
      </c>
      <c r="BQ13" s="465">
        <v>0</v>
      </c>
    </row>
    <row r="14" spans="1:76" s="288" customFormat="1" x14ac:dyDescent="0.25">
      <c r="A14" s="416" t="s">
        <v>448</v>
      </c>
      <c r="B14" s="285" t="s">
        <v>65</v>
      </c>
      <c r="C14" s="286">
        <f t="shared" ca="1" si="11"/>
        <v>3.5892857142857144</v>
      </c>
      <c r="D14" s="321" t="s">
        <v>455</v>
      </c>
      <c r="E14" s="419">
        <f>PLANTILLA!E15</f>
        <v>29</v>
      </c>
      <c r="F14" s="419">
        <f ca="1">PLANTILLA!F15</f>
        <v>46</v>
      </c>
      <c r="G14" s="420" t="s">
        <v>308</v>
      </c>
      <c r="H14" s="401">
        <v>4</v>
      </c>
      <c r="I14" s="335">
        <f>PLANTILLA!I15</f>
        <v>10.4</v>
      </c>
      <c r="J14" s="519">
        <f>PLANTILLA!X15</f>
        <v>0</v>
      </c>
      <c r="K14" s="519">
        <f>PLANTILLA!Y15</f>
        <v>9.1936666666666653</v>
      </c>
      <c r="L14" s="519">
        <f>PLANTILLA!Z15</f>
        <v>13.679999999999998</v>
      </c>
      <c r="M14" s="519">
        <f>PLANTILLA!AA15</f>
        <v>12.835000000000001</v>
      </c>
      <c r="N14" s="519">
        <f>PLANTILLA!AB15</f>
        <v>9.6733333333333356</v>
      </c>
      <c r="O14" s="519">
        <f>PLANTILLA!AC15</f>
        <v>5.0296666666666656</v>
      </c>
      <c r="P14" s="519">
        <f>PLANTILLA!AD15</f>
        <v>15.2</v>
      </c>
      <c r="Q14" s="443">
        <f t="shared" si="4"/>
        <v>29</v>
      </c>
      <c r="R14" s="444">
        <f t="shared" ca="1" si="5"/>
        <v>53</v>
      </c>
      <c r="S14" s="193"/>
      <c r="T14" s="193"/>
      <c r="U14" s="193"/>
      <c r="V14" s="193"/>
      <c r="W14" s="193"/>
      <c r="X14" s="193"/>
      <c r="Y14" s="193"/>
      <c r="Z14" s="193"/>
      <c r="AA14" s="323">
        <f t="shared" si="6"/>
        <v>10.4</v>
      </c>
      <c r="AB14" s="539">
        <f t="shared" si="20"/>
        <v>0</v>
      </c>
      <c r="AC14" s="539">
        <f>K14+(T$2/50)</f>
        <v>9.1936666666666653</v>
      </c>
      <c r="AD14" s="539">
        <f>L14+(U$2/10)</f>
        <v>13.679999999999998</v>
      </c>
      <c r="AE14" s="539">
        <f>M14+(V$2/15)</f>
        <v>12.835000000000001</v>
      </c>
      <c r="AF14" s="539">
        <f>N14+(W$2/7.5)</f>
        <v>9.6733333333333356</v>
      </c>
      <c r="AG14" s="539">
        <f>O14+(X$2/3.5)+(Y$2/6)</f>
        <v>5.0296666666666656</v>
      </c>
      <c r="AH14" s="539">
        <f>P14+(Z$2/1)+(Y$2/10)</f>
        <v>16.2</v>
      </c>
      <c r="AI14" s="456">
        <f t="shared" si="12"/>
        <v>0</v>
      </c>
      <c r="AJ14" s="456">
        <f t="shared" si="13"/>
        <v>0</v>
      </c>
      <c r="AK14" s="456">
        <f t="shared" si="14"/>
        <v>0</v>
      </c>
      <c r="AL14" s="456">
        <f t="shared" si="15"/>
        <v>0</v>
      </c>
      <c r="AM14" s="456">
        <f t="shared" si="16"/>
        <v>0</v>
      </c>
      <c r="AN14" s="456">
        <f t="shared" si="17"/>
        <v>0</v>
      </c>
      <c r="AO14" s="456">
        <f t="shared" si="18"/>
        <v>1</v>
      </c>
      <c r="AQ14" s="563" t="s">
        <v>67</v>
      </c>
      <c r="AR14" s="285" t="str">
        <f>D13</f>
        <v>S. Zobbe</v>
      </c>
      <c r="AS14" s="464">
        <v>0</v>
      </c>
      <c r="AT14" s="464">
        <v>0</v>
      </c>
      <c r="AU14" s="464">
        <v>0</v>
      </c>
      <c r="AV14" s="462">
        <f>AK13*0.25</f>
        <v>0</v>
      </c>
      <c r="AW14" s="462">
        <f>(AM13*0.142)+(AL13*0.221)+(AN13*0.26)</f>
        <v>0</v>
      </c>
      <c r="AX14" s="462">
        <f>AW14</f>
        <v>0</v>
      </c>
      <c r="AY14" s="462">
        <f>(AM13*0.369)+(AN13*1)</f>
        <v>0</v>
      </c>
      <c r="AZ14" s="467">
        <f>(0.5*AN13+0.3*AO13)/10</f>
        <v>1.4999999999999999E-2</v>
      </c>
      <c r="BA14" s="467">
        <f>(0.4*AJ13+0.3*AO13)/10</f>
        <v>1.4999999999999999E-2</v>
      </c>
      <c r="BB14" s="465">
        <v>0</v>
      </c>
      <c r="BC14" s="465">
        <v>0</v>
      </c>
      <c r="BE14" s="563" t="s">
        <v>786</v>
      </c>
      <c r="BF14" s="285" t="s">
        <v>862</v>
      </c>
      <c r="BG14" s="464">
        <v>0</v>
      </c>
      <c r="BH14" s="464">
        <v>0</v>
      </c>
      <c r="BI14" s="464">
        <v>0</v>
      </c>
      <c r="BJ14" s="462">
        <f>AK23*0.25</f>
        <v>0</v>
      </c>
      <c r="BK14" s="462">
        <v>0</v>
      </c>
      <c r="BL14" s="462">
        <f>(AM23*0.209)+(AL23*0.607)+(AN23*0.524)</f>
        <v>0</v>
      </c>
      <c r="BM14" s="462">
        <f>(AM23*0.261)+(AN23*0.607)</f>
        <v>0</v>
      </c>
      <c r="BN14" s="465">
        <f>AZ20</f>
        <v>1.9999999999999983E-2</v>
      </c>
      <c r="BO14" s="465">
        <f>BA20</f>
        <v>1.9999999999999983E-2</v>
      </c>
      <c r="BP14" s="465">
        <v>0</v>
      </c>
      <c r="BQ14" s="465">
        <v>0</v>
      </c>
    </row>
    <row r="15" spans="1:76" s="272" customFormat="1" x14ac:dyDescent="0.25">
      <c r="A15" s="332" t="s">
        <v>449</v>
      </c>
      <c r="B15" s="416" t="s">
        <v>65</v>
      </c>
      <c r="C15" s="417">
        <f t="shared" ca="1" si="11"/>
        <v>1.2857142857142858</v>
      </c>
      <c r="D15" s="418" t="s">
        <v>325</v>
      </c>
      <c r="E15" s="419">
        <f>PLANTILLA!E16</f>
        <v>31</v>
      </c>
      <c r="F15" s="419">
        <f ca="1">PLANTILLA!F16</f>
        <v>80</v>
      </c>
      <c r="G15" s="420" t="s">
        <v>308</v>
      </c>
      <c r="H15" s="426">
        <v>5</v>
      </c>
      <c r="I15" s="335">
        <f>PLANTILLA!I16</f>
        <v>11</v>
      </c>
      <c r="J15" s="519">
        <f>PLANTILLA!X16</f>
        <v>0</v>
      </c>
      <c r="K15" s="519">
        <f>PLANTILLA!Y16</f>
        <v>8.6075555555555585</v>
      </c>
      <c r="L15" s="519">
        <f>PLANTILLA!Z16</f>
        <v>14.190398412698405</v>
      </c>
      <c r="M15" s="519">
        <f>PLANTILLA!AA16</f>
        <v>9.99</v>
      </c>
      <c r="N15" s="519">
        <f>PLANTILLA!AB16</f>
        <v>10.09</v>
      </c>
      <c r="O15" s="519">
        <f>PLANTILLA!AC16</f>
        <v>4.3999999999999995</v>
      </c>
      <c r="P15" s="519">
        <f>PLANTILLA!AD16</f>
        <v>16.544444444444441</v>
      </c>
      <c r="Q15" s="443">
        <f t="shared" si="4"/>
        <v>31</v>
      </c>
      <c r="R15" s="444">
        <f t="shared" ca="1" si="5"/>
        <v>87</v>
      </c>
      <c r="S15" s="193"/>
      <c r="T15" s="193"/>
      <c r="U15" s="193"/>
      <c r="V15" s="193"/>
      <c r="W15" s="193"/>
      <c r="X15" s="193"/>
      <c r="Y15" s="193"/>
      <c r="Z15" s="193"/>
      <c r="AA15" s="323">
        <f t="shared" si="6"/>
        <v>11</v>
      </c>
      <c r="AB15" s="539">
        <f t="shared" si="20"/>
        <v>0</v>
      </c>
      <c r="AC15" s="539">
        <f>K15+(T$2/50)</f>
        <v>8.6075555555555585</v>
      </c>
      <c r="AD15" s="539">
        <f>L15+(U$2/11)</f>
        <v>14.190398412698405</v>
      </c>
      <c r="AE15" s="539">
        <f>M15+(V$2/15)</f>
        <v>9.99</v>
      </c>
      <c r="AF15" s="539">
        <f>N15+(W$2/8)</f>
        <v>10.09</v>
      </c>
      <c r="AG15" s="539">
        <f>O15+(X$2/22)+(Y$2/7)</f>
        <v>4.3999999999999995</v>
      </c>
      <c r="AH15" s="539">
        <f>P15+(Z$2/2)+(Y$2/10)</f>
        <v>17.044444444444441</v>
      </c>
      <c r="AI15" s="456">
        <f t="shared" si="12"/>
        <v>0</v>
      </c>
      <c r="AJ15" s="456">
        <f t="shared" si="13"/>
        <v>0</v>
      </c>
      <c r="AK15" s="456">
        <f t="shared" si="14"/>
        <v>0</v>
      </c>
      <c r="AL15" s="456">
        <f t="shared" si="15"/>
        <v>0</v>
      </c>
      <c r="AM15" s="456">
        <f t="shared" si="16"/>
        <v>0</v>
      </c>
      <c r="AN15" s="456">
        <f t="shared" si="17"/>
        <v>0</v>
      </c>
      <c r="AO15" s="456">
        <f t="shared" si="18"/>
        <v>0.5</v>
      </c>
      <c r="AQ15" s="460"/>
      <c r="AR15" s="461"/>
      <c r="AS15" s="461"/>
      <c r="AT15" s="461"/>
      <c r="AU15" s="461"/>
      <c r="AV15" s="461"/>
      <c r="AW15" s="461"/>
      <c r="AX15" s="461"/>
      <c r="AY15" s="461"/>
      <c r="AZ15" s="461"/>
      <c r="BA15" s="461"/>
      <c r="BB15" s="461"/>
      <c r="BC15" s="461"/>
      <c r="BE15"/>
      <c r="BF15"/>
      <c r="BG15"/>
      <c r="BH15"/>
      <c r="BI15"/>
      <c r="BJ15"/>
      <c r="BK15"/>
      <c r="BL15"/>
      <c r="BM15"/>
      <c r="BN15"/>
      <c r="BO15"/>
      <c r="BP15"/>
      <c r="BQ15"/>
    </row>
    <row r="16" spans="1:76" s="289" customFormat="1" x14ac:dyDescent="0.25">
      <c r="A16" s="416" t="s">
        <v>446</v>
      </c>
      <c r="B16" s="416" t="s">
        <v>65</v>
      </c>
      <c r="C16" s="417">
        <f t="shared" ca="1" si="11"/>
        <v>2.3392857142857144</v>
      </c>
      <c r="D16" s="418" t="s">
        <v>312</v>
      </c>
      <c r="E16" s="419">
        <f>PLANTILLA!E17</f>
        <v>30</v>
      </c>
      <c r="F16" s="419">
        <f ca="1">PLANTILLA!F17</f>
        <v>74</v>
      </c>
      <c r="G16" s="420"/>
      <c r="H16" s="401">
        <v>4</v>
      </c>
      <c r="I16" s="335">
        <f>PLANTILLA!I17</f>
        <v>9.1</v>
      </c>
      <c r="J16" s="519">
        <f>PLANTILLA!X17</f>
        <v>0</v>
      </c>
      <c r="K16" s="519">
        <f>PLANTILLA!Y17</f>
        <v>10.349999999999996</v>
      </c>
      <c r="L16" s="519">
        <f>PLANTILLA!Z17</f>
        <v>12.859777777777778</v>
      </c>
      <c r="M16" s="519">
        <f>PLANTILLA!AA17</f>
        <v>5.1299999999999981</v>
      </c>
      <c r="N16" s="519">
        <f>PLANTILLA!AB17</f>
        <v>9.24</v>
      </c>
      <c r="O16" s="519">
        <f>PLANTILLA!AC17</f>
        <v>2.98</v>
      </c>
      <c r="P16" s="519">
        <f>PLANTILLA!AD17</f>
        <v>16.959999999999997</v>
      </c>
      <c r="Q16" s="443">
        <f t="shared" si="4"/>
        <v>30</v>
      </c>
      <c r="R16" s="444">
        <f t="shared" ca="1" si="5"/>
        <v>81</v>
      </c>
      <c r="S16" s="193"/>
      <c r="T16" s="193"/>
      <c r="U16" s="193"/>
      <c r="V16" s="193"/>
      <c r="W16" s="193"/>
      <c r="X16" s="193"/>
      <c r="Y16" s="193"/>
      <c r="Z16" s="193"/>
      <c r="AA16" s="323">
        <f t="shared" si="6"/>
        <v>9.1</v>
      </c>
      <c r="AB16" s="539">
        <f t="shared" si="20"/>
        <v>0</v>
      </c>
      <c r="AC16" s="539">
        <f>K16+(T$2/7)</f>
        <v>10.349999999999996</v>
      </c>
      <c r="AD16" s="539">
        <f>L16+(U$2/11)</f>
        <v>12.859777777777778</v>
      </c>
      <c r="AE16" s="539">
        <f>M16+(V$2/19)</f>
        <v>5.1299999999999981</v>
      </c>
      <c r="AF16" s="539">
        <f>N16+(W$2/7)</f>
        <v>9.24</v>
      </c>
      <c r="AG16" s="539">
        <f>O16+(X$2/16)+(Y$2/5)</f>
        <v>2.98</v>
      </c>
      <c r="AH16" s="539">
        <f>P16+(Z$2/2.5)+(Y$2/10)</f>
        <v>17.359999999999996</v>
      </c>
      <c r="AI16" s="456">
        <f t="shared" si="12"/>
        <v>0</v>
      </c>
      <c r="AJ16" s="456">
        <f t="shared" si="13"/>
        <v>0</v>
      </c>
      <c r="AK16" s="456">
        <f t="shared" si="14"/>
        <v>0</v>
      </c>
      <c r="AL16" s="456">
        <f t="shared" si="15"/>
        <v>0</v>
      </c>
      <c r="AM16" s="456">
        <f t="shared" si="16"/>
        <v>0</v>
      </c>
      <c r="AN16" s="456">
        <f t="shared" si="17"/>
        <v>0</v>
      </c>
      <c r="AO16" s="456">
        <f t="shared" si="18"/>
        <v>0.39999999999999858</v>
      </c>
      <c r="AQ16" s="267"/>
      <c r="AR16" s="267"/>
      <c r="AS16" s="468">
        <f>SUM(AS18:AS28)*$BV$3</f>
        <v>0</v>
      </c>
      <c r="AT16" s="468">
        <f>SUM(AT18:AT28)*$BV$3</f>
        <v>0</v>
      </c>
      <c r="AU16" s="468">
        <f>SUM(AU18:AU28)*$BV$2</f>
        <v>0</v>
      </c>
      <c r="AV16" s="468">
        <f>SUM(AV18:AV28)*$BV$4</f>
        <v>0</v>
      </c>
      <c r="AW16" s="468">
        <f>SUM(AW18:AW28)*$BV$5</f>
        <v>0</v>
      </c>
      <c r="AX16" s="468">
        <f>SUM(AX18:AX28)*$BV$5</f>
        <v>0</v>
      </c>
      <c r="AY16" s="468">
        <f>SUM(AY18:AY28)*$BV$6</f>
        <v>0</v>
      </c>
      <c r="AZ16" s="469">
        <f>SUM(AZ18:AZ28)</f>
        <v>0.23599999999999988</v>
      </c>
      <c r="BA16" s="469">
        <f>SUM(BA18:BA28)</f>
        <v>0.24099999999999988</v>
      </c>
      <c r="BB16" s="469">
        <f t="shared" ref="BB16:BC16" si="33">SUM(BB18:BB28)</f>
        <v>12.585000000000001</v>
      </c>
      <c r="BC16" s="469">
        <f t="shared" si="33"/>
        <v>0</v>
      </c>
      <c r="BE16" s="267"/>
      <c r="BF16" s="267"/>
      <c r="BG16" s="468">
        <f>SUM(BG18:BG28)*$BV$3</f>
        <v>0</v>
      </c>
      <c r="BH16" s="468">
        <f>SUM(BH18:BH28)*$BV$3</f>
        <v>0</v>
      </c>
      <c r="BI16" s="468">
        <f>SUM(BI18:BI28)*$BV$2</f>
        <v>0</v>
      </c>
      <c r="BJ16" s="468">
        <f>SUM(BJ18:BJ28)*$BV$4</f>
        <v>0</v>
      </c>
      <c r="BK16" s="468">
        <f>SUM(BK18:BK28)*$BV$5</f>
        <v>0</v>
      </c>
      <c r="BL16" s="468">
        <f>SUM(BL18:BL28)*$BV$5</f>
        <v>0</v>
      </c>
      <c r="BM16" s="468">
        <f>SUM(BM18:BM28)*$BV$6</f>
        <v>0</v>
      </c>
      <c r="BN16" s="469">
        <f>SUM(BN18:BN28)</f>
        <v>0.20999999999999985</v>
      </c>
      <c r="BO16" s="469">
        <f>SUM(BO18:BO28)</f>
        <v>0.21499999999999986</v>
      </c>
      <c r="BP16" s="469">
        <f t="shared" ref="BP16:BQ16" si="34">SUM(BP18:BP28)</f>
        <v>21.043194444444445</v>
      </c>
      <c r="BQ16" s="469">
        <f t="shared" si="34"/>
        <v>0</v>
      </c>
    </row>
    <row r="17" spans="1:69" s="272" customFormat="1" x14ac:dyDescent="0.25">
      <c r="A17" s="332" t="s">
        <v>450</v>
      </c>
      <c r="B17" s="285" t="s">
        <v>65</v>
      </c>
      <c r="C17" s="286">
        <f t="shared" ca="1" si="11"/>
        <v>2.5625</v>
      </c>
      <c r="D17" s="321" t="s">
        <v>440</v>
      </c>
      <c r="E17" s="419">
        <f>PLANTILLA!E18</f>
        <v>30</v>
      </c>
      <c r="F17" s="419">
        <f ca="1">PLANTILLA!F18</f>
        <v>49</v>
      </c>
      <c r="G17" s="420"/>
      <c r="H17" s="401">
        <v>1</v>
      </c>
      <c r="I17" s="335">
        <f>PLANTILLA!I18</f>
        <v>8.1</v>
      </c>
      <c r="J17" s="519">
        <f>PLANTILLA!X18</f>
        <v>0</v>
      </c>
      <c r="K17" s="519">
        <f>PLANTILLA!Y18</f>
        <v>5.2811111111111115</v>
      </c>
      <c r="L17" s="519">
        <f>PLANTILLA!Z18</f>
        <v>14.283789947089938</v>
      </c>
      <c r="M17" s="519">
        <f>PLANTILLA!AA18</f>
        <v>3.5124999999999993</v>
      </c>
      <c r="N17" s="519">
        <f>PLANTILLA!AB18</f>
        <v>9.1400000000000041</v>
      </c>
      <c r="O17" s="519">
        <f>PLANTILLA!AC18</f>
        <v>7.4318888888888894</v>
      </c>
      <c r="P17" s="519">
        <f>PLANTILLA!AD18</f>
        <v>16.07</v>
      </c>
      <c r="Q17" s="443">
        <f t="shared" si="4"/>
        <v>30</v>
      </c>
      <c r="R17" s="444">
        <f t="shared" ca="1" si="5"/>
        <v>56</v>
      </c>
      <c r="S17" s="193"/>
      <c r="T17" s="193"/>
      <c r="U17" s="193"/>
      <c r="V17" s="193"/>
      <c r="W17" s="193"/>
      <c r="X17" s="193"/>
      <c r="Y17" s="193"/>
      <c r="Z17" s="193"/>
      <c r="AA17" s="323">
        <f t="shared" si="6"/>
        <v>8.1</v>
      </c>
      <c r="AB17" s="539">
        <f t="shared" si="20"/>
        <v>0</v>
      </c>
      <c r="AC17" s="539">
        <f>K17+(T$2/6.5)</f>
        <v>5.2811111111111115</v>
      </c>
      <c r="AD17" s="539">
        <f>L17+(U$2/11)</f>
        <v>14.283789947089938</v>
      </c>
      <c r="AE17" s="539">
        <f>M17+(V$2/17)</f>
        <v>3.5124999999999993</v>
      </c>
      <c r="AF17" s="539">
        <f>N17+(W$2/7)</f>
        <v>9.1400000000000041</v>
      </c>
      <c r="AG17" s="539">
        <f>O17+(X$2/30)+(Y$2/4.5)/2</f>
        <v>7.4318888888888894</v>
      </c>
      <c r="AH17" s="539">
        <f>P17+(Z$2/2.5)+(Y$2/10)</f>
        <v>16.47</v>
      </c>
      <c r="AI17" s="456">
        <f t="shared" si="12"/>
        <v>0</v>
      </c>
      <c r="AJ17" s="456">
        <f t="shared" si="13"/>
        <v>0</v>
      </c>
      <c r="AK17" s="456">
        <f t="shared" si="14"/>
        <v>0</v>
      </c>
      <c r="AL17" s="456">
        <f t="shared" si="15"/>
        <v>0</v>
      </c>
      <c r="AM17" s="456">
        <f t="shared" si="16"/>
        <v>0</v>
      </c>
      <c r="AN17" s="456">
        <f t="shared" si="17"/>
        <v>0</v>
      </c>
      <c r="AO17" s="456">
        <f t="shared" si="18"/>
        <v>0.39999999999999858</v>
      </c>
      <c r="AQ17" s="725" t="s">
        <v>860</v>
      </c>
      <c r="AR17" s="726"/>
      <c r="AS17" s="361" t="s">
        <v>541</v>
      </c>
      <c r="AT17" s="361" t="s">
        <v>542</v>
      </c>
      <c r="AU17" s="361" t="s">
        <v>582</v>
      </c>
      <c r="AV17" s="361" t="s">
        <v>543</v>
      </c>
      <c r="AW17" s="361" t="s">
        <v>544</v>
      </c>
      <c r="AX17" s="361" t="s">
        <v>545</v>
      </c>
      <c r="AY17" s="361" t="s">
        <v>546</v>
      </c>
      <c r="AZ17" s="361" t="s">
        <v>874</v>
      </c>
      <c r="BA17" s="361" t="s">
        <v>875</v>
      </c>
      <c r="BB17" s="361" t="s">
        <v>699</v>
      </c>
      <c r="BC17" s="361" t="s">
        <v>738</v>
      </c>
      <c r="BE17" s="725" t="s">
        <v>785</v>
      </c>
      <c r="BF17" s="726"/>
      <c r="BG17" s="361" t="s">
        <v>541</v>
      </c>
      <c r="BH17" s="361" t="s">
        <v>542</v>
      </c>
      <c r="BI17" s="361" t="s">
        <v>582</v>
      </c>
      <c r="BJ17" s="361" t="s">
        <v>543</v>
      </c>
      <c r="BK17" s="361" t="s">
        <v>544</v>
      </c>
      <c r="BL17" s="361" t="s">
        <v>545</v>
      </c>
      <c r="BM17" s="361" t="s">
        <v>546</v>
      </c>
      <c r="BN17" s="361" t="s">
        <v>874</v>
      </c>
      <c r="BO17" s="361" t="s">
        <v>875</v>
      </c>
      <c r="BP17" s="361" t="s">
        <v>699</v>
      </c>
      <c r="BQ17" s="361" t="s">
        <v>738</v>
      </c>
    </row>
    <row r="18" spans="1:69" s="265" customFormat="1" x14ac:dyDescent="0.25">
      <c r="A18" s="332" t="s">
        <v>598</v>
      </c>
      <c r="B18" s="285" t="s">
        <v>65</v>
      </c>
      <c r="C18" s="286">
        <f t="shared" ca="1" si="11"/>
        <v>4.0089285714285712</v>
      </c>
      <c r="D18" s="321" t="s">
        <v>454</v>
      </c>
      <c r="E18" s="419">
        <f>PLANTILLA!E19</f>
        <v>28</v>
      </c>
      <c r="F18" s="419">
        <f ca="1">PLANTILLA!F19</f>
        <v>111</v>
      </c>
      <c r="G18" s="420"/>
      <c r="H18" s="401">
        <v>3</v>
      </c>
      <c r="I18" s="335">
        <f>PLANTILLA!I19</f>
        <v>4</v>
      </c>
      <c r="J18" s="519">
        <f>PLANTILLA!X19</f>
        <v>0</v>
      </c>
      <c r="K18" s="519">
        <f>PLANTILLA!Y19</f>
        <v>5.6315555555555523</v>
      </c>
      <c r="L18" s="519">
        <f>PLANTILLA!Z19</f>
        <v>9.8523388888888874</v>
      </c>
      <c r="M18" s="519">
        <f>PLANTILLA!AA19</f>
        <v>7.0726666666666667</v>
      </c>
      <c r="N18" s="519">
        <f>PLANTILLA!AB19</f>
        <v>9.2666666666666639</v>
      </c>
      <c r="O18" s="519">
        <f>PLANTILLA!AC19</f>
        <v>3.5417777777777766</v>
      </c>
      <c r="P18" s="519">
        <f>PLANTILLA!AD19</f>
        <v>12.450000000000001</v>
      </c>
      <c r="Q18" s="443">
        <f t="shared" si="4"/>
        <v>28</v>
      </c>
      <c r="R18" s="444">
        <f t="shared" ca="1" si="5"/>
        <v>118</v>
      </c>
      <c r="S18" s="193"/>
      <c r="T18" s="193"/>
      <c r="U18" s="193"/>
      <c r="V18" s="193"/>
      <c r="W18" s="193"/>
      <c r="X18" s="193"/>
      <c r="Y18" s="193"/>
      <c r="Z18" s="193"/>
      <c r="AA18" s="323">
        <f t="shared" si="6"/>
        <v>4</v>
      </c>
      <c r="AB18" s="539">
        <f t="shared" si="20"/>
        <v>0</v>
      </c>
      <c r="AC18" s="539">
        <f>K18+(T$2/26)</f>
        <v>5.6315555555555523</v>
      </c>
      <c r="AD18" s="539">
        <f>L18+(U$2/55)</f>
        <v>9.8523388888888874</v>
      </c>
      <c r="AE18" s="539">
        <f>M18+(V$2/24)</f>
        <v>7.0726666666666667</v>
      </c>
      <c r="AF18" s="539">
        <f>N18+(W$2/7)</f>
        <v>9.2666666666666639</v>
      </c>
      <c r="AG18" s="539">
        <f>O18+(X$2/18)+(Y$2/6)</f>
        <v>3.5417777777777766</v>
      </c>
      <c r="AH18" s="539">
        <f>P18+(Z$2/2)+(Y$2/10)</f>
        <v>12.950000000000001</v>
      </c>
      <c r="AI18" s="456">
        <f t="shared" si="12"/>
        <v>0</v>
      </c>
      <c r="AJ18" s="456">
        <f t="shared" si="13"/>
        <v>0</v>
      </c>
      <c r="AK18" s="456">
        <f t="shared" si="14"/>
        <v>0</v>
      </c>
      <c r="AL18" s="456">
        <f t="shared" si="15"/>
        <v>0</v>
      </c>
      <c r="AM18" s="456">
        <f t="shared" si="16"/>
        <v>0</v>
      </c>
      <c r="AN18" s="456">
        <f t="shared" si="17"/>
        <v>0</v>
      </c>
      <c r="AO18" s="456">
        <f t="shared" si="18"/>
        <v>0.5</v>
      </c>
      <c r="AQ18" s="457" t="s">
        <v>1</v>
      </c>
      <c r="AR18" s="331" t="str">
        <f>D4</f>
        <v>D. Gehmacher</v>
      </c>
      <c r="AS18" s="462">
        <f>AS4</f>
        <v>0</v>
      </c>
      <c r="AT18" s="462">
        <f t="shared" ref="AT18:BC18" si="35">AT4</f>
        <v>0</v>
      </c>
      <c r="AU18" s="462">
        <f t="shared" si="35"/>
        <v>0</v>
      </c>
      <c r="AV18" s="462">
        <f t="shared" si="35"/>
        <v>0</v>
      </c>
      <c r="AW18" s="462">
        <f t="shared" si="35"/>
        <v>0</v>
      </c>
      <c r="AX18" s="462">
        <f t="shared" si="35"/>
        <v>0</v>
      </c>
      <c r="AY18" s="462">
        <f t="shared" si="35"/>
        <v>0</v>
      </c>
      <c r="AZ18" s="587">
        <f t="shared" si="35"/>
        <v>0</v>
      </c>
      <c r="BA18" s="587">
        <f t="shared" si="35"/>
        <v>0.05</v>
      </c>
      <c r="BB18" s="465">
        <f t="shared" si="35"/>
        <v>0</v>
      </c>
      <c r="BC18" s="465">
        <f t="shared" si="35"/>
        <v>0</v>
      </c>
      <c r="BE18" s="457" t="s">
        <v>1</v>
      </c>
      <c r="BF18" s="331" t="str">
        <f>D4</f>
        <v>D. Gehmacher</v>
      </c>
      <c r="BG18" s="462">
        <f>BG4</f>
        <v>0</v>
      </c>
      <c r="BH18" s="462">
        <f t="shared" ref="BH18:BQ18" si="36">BH4</f>
        <v>0</v>
      </c>
      <c r="BI18" s="462">
        <f t="shared" si="36"/>
        <v>0</v>
      </c>
      <c r="BJ18" s="462">
        <f t="shared" si="36"/>
        <v>0</v>
      </c>
      <c r="BK18" s="462">
        <f t="shared" si="36"/>
        <v>0</v>
      </c>
      <c r="BL18" s="462">
        <f t="shared" si="36"/>
        <v>0</v>
      </c>
      <c r="BM18" s="462">
        <f t="shared" si="36"/>
        <v>0</v>
      </c>
      <c r="BN18" s="587">
        <f t="shared" si="36"/>
        <v>0</v>
      </c>
      <c r="BO18" s="587">
        <f t="shared" si="36"/>
        <v>0.05</v>
      </c>
      <c r="BP18" s="465">
        <f t="shared" si="36"/>
        <v>0</v>
      </c>
      <c r="BQ18" s="465">
        <f t="shared" si="36"/>
        <v>0</v>
      </c>
    </row>
    <row r="19" spans="1:69" s="265" customFormat="1" x14ac:dyDescent="0.25">
      <c r="A19" s="332" t="s">
        <v>762</v>
      </c>
      <c r="B19" s="285" t="s">
        <v>65</v>
      </c>
      <c r="C19" s="286" t="e">
        <f t="shared" si="11"/>
        <v>#REF!</v>
      </c>
      <c r="D19" s="321" t="s">
        <v>763</v>
      </c>
      <c r="E19" s="419" t="e">
        <f>PLANTILLA!#REF!</f>
        <v>#REF!</v>
      </c>
      <c r="F19" s="419" t="e">
        <f>PLANTILLA!#REF!</f>
        <v>#REF!</v>
      </c>
      <c r="G19" s="420" t="s">
        <v>595</v>
      </c>
      <c r="H19" s="401">
        <v>4</v>
      </c>
      <c r="I19" s="335" t="e">
        <f>PLANTILLA!#REF!</f>
        <v>#REF!</v>
      </c>
      <c r="J19" s="519" t="e">
        <f>PLANTILLA!#REF!</f>
        <v>#REF!</v>
      </c>
      <c r="K19" s="519" t="e">
        <f>PLANTILLA!#REF!</f>
        <v>#REF!</v>
      </c>
      <c r="L19" s="519" t="e">
        <f>PLANTILLA!#REF!</f>
        <v>#REF!</v>
      </c>
      <c r="M19" s="519" t="e">
        <f>PLANTILLA!#REF!</f>
        <v>#REF!</v>
      </c>
      <c r="N19" s="519" t="e">
        <f>PLANTILLA!#REF!</f>
        <v>#REF!</v>
      </c>
      <c r="O19" s="519" t="e">
        <f>PLANTILLA!#REF!</f>
        <v>#REF!</v>
      </c>
      <c r="P19" s="519" t="e">
        <f>PLANTILLA!#REF!</f>
        <v>#REF!</v>
      </c>
      <c r="Q19" s="443" t="e">
        <f t="shared" si="4"/>
        <v>#REF!</v>
      </c>
      <c r="R19" s="444" t="e">
        <f t="shared" si="5"/>
        <v>#REF!</v>
      </c>
      <c r="S19" s="193"/>
      <c r="T19" s="193"/>
      <c r="U19" s="193"/>
      <c r="V19" s="193"/>
      <c r="W19" s="193"/>
      <c r="X19" s="193"/>
      <c r="Y19" s="193"/>
      <c r="Z19" s="193"/>
      <c r="AA19" s="323" t="e">
        <f t="shared" si="6"/>
        <v>#REF!</v>
      </c>
      <c r="AB19" s="539" t="e">
        <f>J19</f>
        <v>#REF!</v>
      </c>
      <c r="AC19" s="539" t="e">
        <f>K19+(T2/25)</f>
        <v>#REF!</v>
      </c>
      <c r="AD19" s="539" t="e">
        <f>L19+(U2/38)</f>
        <v>#REF!</v>
      </c>
      <c r="AE19" s="539" t="e">
        <f>M19+(V2/12)</f>
        <v>#REF!</v>
      </c>
      <c r="AF19" s="539" t="e">
        <f>N19+(W2/4)</f>
        <v>#REF!</v>
      </c>
      <c r="AG19" s="539" t="e">
        <f>O19+(X2/14)+(Y2/5)</f>
        <v>#REF!</v>
      </c>
      <c r="AH19" s="539" t="e">
        <f>P19+(Z2/1)+(Y$2/10)</f>
        <v>#REF!</v>
      </c>
      <c r="AI19" s="456" t="e">
        <f t="shared" si="12"/>
        <v>#REF!</v>
      </c>
      <c r="AJ19" s="456" t="e">
        <f t="shared" si="13"/>
        <v>#REF!</v>
      </c>
      <c r="AK19" s="456" t="e">
        <f t="shared" si="14"/>
        <v>#REF!</v>
      </c>
      <c r="AL19" s="456" t="e">
        <f t="shared" si="15"/>
        <v>#REF!</v>
      </c>
      <c r="AM19" s="456" t="e">
        <f t="shared" si="16"/>
        <v>#REF!</v>
      </c>
      <c r="AN19" s="456" t="e">
        <f t="shared" si="17"/>
        <v>#REF!</v>
      </c>
      <c r="AO19" s="456" t="e">
        <f t="shared" si="18"/>
        <v>#REF!</v>
      </c>
      <c r="AQ19" s="458" t="s">
        <v>703</v>
      </c>
      <c r="AR19" s="332" t="str">
        <f>D20</f>
        <v>B. Pinczehelyi</v>
      </c>
      <c r="AS19" s="463">
        <f>(AJ20*0.919)</f>
        <v>0</v>
      </c>
      <c r="AT19" s="463">
        <v>0</v>
      </c>
      <c r="AU19" s="463">
        <f>AJ20*0.414</f>
        <v>0</v>
      </c>
      <c r="AV19" s="463">
        <f>AK20*0.167</f>
        <v>0</v>
      </c>
      <c r="AW19" s="463">
        <f>AL20*0.588</f>
        <v>0</v>
      </c>
      <c r="AX19" s="463">
        <v>0</v>
      </c>
      <c r="AY19" s="463">
        <v>0</v>
      </c>
      <c r="AZ19" s="466">
        <f>AZ5</f>
        <v>0.03</v>
      </c>
      <c r="BA19" s="466">
        <f>BA5</f>
        <v>0.03</v>
      </c>
      <c r="BB19" s="466">
        <f>((AC20+1)+(AF20+1)*2)/8</f>
        <v>4.5049999999999999</v>
      </c>
      <c r="BC19" s="466">
        <f>((AJ20)+(AM20)*2)/8</f>
        <v>0</v>
      </c>
      <c r="BE19" s="458" t="s">
        <v>703</v>
      </c>
      <c r="BF19" s="332" t="str">
        <f>D8</f>
        <v>E. Toney</v>
      </c>
      <c r="BG19" s="463">
        <f t="shared" ref="BG19:BM19" si="37">AS5</f>
        <v>0</v>
      </c>
      <c r="BH19" s="463">
        <f t="shared" si="37"/>
        <v>0</v>
      </c>
      <c r="BI19" s="463">
        <f t="shared" si="37"/>
        <v>0</v>
      </c>
      <c r="BJ19" s="463">
        <f t="shared" si="37"/>
        <v>0</v>
      </c>
      <c r="BK19" s="463">
        <f t="shared" si="37"/>
        <v>0</v>
      </c>
      <c r="BL19" s="463">
        <f t="shared" si="37"/>
        <v>0</v>
      </c>
      <c r="BM19" s="463">
        <f t="shared" si="37"/>
        <v>0</v>
      </c>
      <c r="BN19" s="466">
        <f t="shared" ref="BN19" si="38">AZ5</f>
        <v>0.03</v>
      </c>
      <c r="BO19" s="466">
        <f>BA5</f>
        <v>0.03</v>
      </c>
      <c r="BP19" s="466">
        <f>BB5</f>
        <v>4.5049999999999999</v>
      </c>
      <c r="BQ19" s="466">
        <f>BC5</f>
        <v>0</v>
      </c>
    </row>
    <row r="20" spans="1:69" s="264" customFormat="1" x14ac:dyDescent="0.25">
      <c r="A20" s="331" t="s">
        <v>716</v>
      </c>
      <c r="B20" s="285" t="s">
        <v>2</v>
      </c>
      <c r="C20" s="286">
        <f t="shared" ca="1" si="11"/>
        <v>2.875</v>
      </c>
      <c r="D20" s="321" t="str">
        <f>PLANTILLA!D7</f>
        <v>B. Pinczehelyi</v>
      </c>
      <c r="E20" s="419">
        <f>PLANTILLA!E7</f>
        <v>30</v>
      </c>
      <c r="F20" s="427">
        <f ca="1">PLANTILLA!F7</f>
        <v>14</v>
      </c>
      <c r="G20" s="420" t="s">
        <v>595</v>
      </c>
      <c r="H20" s="401">
        <v>2</v>
      </c>
      <c r="I20" s="335">
        <f>PLANTILLA!I7</f>
        <v>14.1</v>
      </c>
      <c r="J20" s="519">
        <f>PLANTILLA!X7</f>
        <v>0</v>
      </c>
      <c r="K20" s="519">
        <f>PLANTILLA!Y7</f>
        <v>14.200000000000003</v>
      </c>
      <c r="L20" s="519">
        <f>PLANTILLA!Z7</f>
        <v>9.3093333333333348</v>
      </c>
      <c r="M20" s="519">
        <f>PLANTILLA!AA7</f>
        <v>14.291666666666663</v>
      </c>
      <c r="N20" s="519">
        <f>PLANTILLA!AB7</f>
        <v>9.4199999999999982</v>
      </c>
      <c r="O20" s="519">
        <f>PLANTILLA!AC7</f>
        <v>1.1428571428571428</v>
      </c>
      <c r="P20" s="519">
        <f>PLANTILLA!AD7</f>
        <v>9.4</v>
      </c>
      <c r="Q20" s="443">
        <f t="shared" si="4"/>
        <v>30</v>
      </c>
      <c r="R20" s="444">
        <f t="shared" ca="1" si="5"/>
        <v>21</v>
      </c>
      <c r="S20" s="193"/>
      <c r="T20" s="193"/>
      <c r="U20" s="193"/>
      <c r="V20" s="193"/>
      <c r="W20" s="193"/>
      <c r="X20" s="193"/>
      <c r="Y20" s="193"/>
      <c r="Z20" s="193"/>
      <c r="AA20" s="323">
        <f t="shared" si="6"/>
        <v>14.1</v>
      </c>
      <c r="AB20" s="539">
        <f t="shared" si="20"/>
        <v>0</v>
      </c>
      <c r="AC20" s="539">
        <f>K20+(T$2/20)</f>
        <v>14.200000000000003</v>
      </c>
      <c r="AD20" s="539">
        <f>L20+(U$2/50)</f>
        <v>9.3093333333333348</v>
      </c>
      <c r="AE20" s="539">
        <f>M20+(V$2/35)</f>
        <v>14.291666666666663</v>
      </c>
      <c r="AF20" s="539">
        <f>N20+(W$2/7)</f>
        <v>9.4199999999999982</v>
      </c>
      <c r="AG20" s="539">
        <f>O20+(X$2/3)+(Y$2/7)</f>
        <v>1.1428571428571428</v>
      </c>
      <c r="AH20" s="539">
        <f>P20+(Z$2/1)+(Y$2/10)</f>
        <v>10.4</v>
      </c>
      <c r="AI20" s="456">
        <f t="shared" si="12"/>
        <v>0</v>
      </c>
      <c r="AJ20" s="456">
        <f t="shared" si="13"/>
        <v>0</v>
      </c>
      <c r="AK20" s="456">
        <f t="shared" si="14"/>
        <v>0</v>
      </c>
      <c r="AL20" s="456">
        <f t="shared" si="15"/>
        <v>0</v>
      </c>
      <c r="AM20" s="456">
        <f t="shared" si="16"/>
        <v>0</v>
      </c>
      <c r="AN20" s="456">
        <f t="shared" si="17"/>
        <v>0</v>
      </c>
      <c r="AO20" s="456">
        <f t="shared" si="18"/>
        <v>1</v>
      </c>
      <c r="AQ20" s="563" t="s">
        <v>67</v>
      </c>
      <c r="AR20" s="285" t="str">
        <f>D23</f>
        <v>P .Trivadi</v>
      </c>
      <c r="AS20" s="462">
        <v>0</v>
      </c>
      <c r="AT20" s="462">
        <v>0</v>
      </c>
      <c r="AU20" s="462">
        <v>0</v>
      </c>
      <c r="AV20" s="464">
        <f>AK23*0.25</f>
        <v>0</v>
      </c>
      <c r="AW20" s="464">
        <f>(AM23*0.142)+(AL23*0.221)+(AN23*0.26)</f>
        <v>0</v>
      </c>
      <c r="AX20" s="462">
        <f>AW20</f>
        <v>0</v>
      </c>
      <c r="AY20" s="464">
        <f>(AM23*0.369)+(AN23*1)</f>
        <v>0</v>
      </c>
      <c r="AZ20" s="467">
        <f>(0.5*AN23+0.3*AO23)/10</f>
        <v>1.9999999999999983E-2</v>
      </c>
      <c r="BA20" s="467">
        <f>(0.4*AJ23+0.3*AO23)/10</f>
        <v>1.9999999999999983E-2</v>
      </c>
      <c r="BB20" s="466">
        <f>((AC23+1)+(AF23+1)*2)/8</f>
        <v>3.5749999999999997</v>
      </c>
      <c r="BC20" s="466">
        <f>((AJ23)+(AM23)*2)/8</f>
        <v>0</v>
      </c>
      <c r="BE20" s="459" t="s">
        <v>787</v>
      </c>
      <c r="BF20" s="285" t="str">
        <f>D7</f>
        <v>D. Toh</v>
      </c>
      <c r="BG20" s="464">
        <f>AJ7*0.754</f>
        <v>0</v>
      </c>
      <c r="BH20" s="464">
        <v>0</v>
      </c>
      <c r="BI20" s="464">
        <f>AJ7*0.708</f>
        <v>0</v>
      </c>
      <c r="BJ20" s="464">
        <f>AK7*0.165</f>
        <v>0</v>
      </c>
      <c r="BK20" s="464">
        <f>AL7*0.286</f>
        <v>0</v>
      </c>
      <c r="BL20" s="464">
        <v>0</v>
      </c>
      <c r="BM20" s="464">
        <v>0</v>
      </c>
      <c r="BN20" s="467">
        <f>BN6</f>
        <v>1.2000000000000011E-2</v>
      </c>
      <c r="BO20" s="467">
        <f>BO6</f>
        <v>1.2000000000000011E-2</v>
      </c>
      <c r="BP20" s="466">
        <f>((AC7+1)+(AF7+1)*2)/8</f>
        <v>3.6806944444444447</v>
      </c>
      <c r="BQ20" s="466">
        <f>((AJ7)+(AM7)*2)/8</f>
        <v>0</v>
      </c>
    </row>
    <row r="21" spans="1:69" s="284" customFormat="1" x14ac:dyDescent="0.25">
      <c r="A21" s="416" t="s">
        <v>577</v>
      </c>
      <c r="B21" s="416" t="s">
        <v>67</v>
      </c>
      <c r="C21" s="417">
        <f t="shared" ca="1" si="11"/>
        <v>3.2321428571428572</v>
      </c>
      <c r="D21" s="418" t="s">
        <v>327</v>
      </c>
      <c r="E21" s="419">
        <f>PLANTILLA!E22</f>
        <v>29</v>
      </c>
      <c r="F21" s="419">
        <f ca="1">PLANTILLA!F22</f>
        <v>86</v>
      </c>
      <c r="G21" s="420" t="s">
        <v>336</v>
      </c>
      <c r="H21" s="401">
        <v>4</v>
      </c>
      <c r="I21" s="335">
        <f>PLANTILLA!I22</f>
        <v>10</v>
      </c>
      <c r="J21" s="519">
        <f>PLANTILLA!X22</f>
        <v>0</v>
      </c>
      <c r="K21" s="519">
        <f>PLANTILLA!Y22</f>
        <v>6.8176190476190497</v>
      </c>
      <c r="L21" s="519">
        <f>PLANTILLA!Z22</f>
        <v>8.5</v>
      </c>
      <c r="M21" s="519">
        <f>PLANTILLA!AA22</f>
        <v>8.7299999999999969</v>
      </c>
      <c r="N21" s="519">
        <f>PLANTILLA!AB22</f>
        <v>9.6900000000000013</v>
      </c>
      <c r="O21" s="519">
        <f>PLANTILLA!AC22</f>
        <v>8.5625000000000018</v>
      </c>
      <c r="P21" s="519">
        <f>PLANTILLA!AD22</f>
        <v>18.639999999999993</v>
      </c>
      <c r="Q21" s="443">
        <f t="shared" si="4"/>
        <v>29</v>
      </c>
      <c r="R21" s="444">
        <f t="shared" ca="1" si="5"/>
        <v>93</v>
      </c>
      <c r="S21" s="193"/>
      <c r="T21" s="193"/>
      <c r="U21" s="193"/>
      <c r="V21" s="193"/>
      <c r="W21" s="193"/>
      <c r="X21" s="193"/>
      <c r="Y21" s="193"/>
      <c r="Z21" s="193"/>
      <c r="AA21" s="323">
        <f t="shared" si="6"/>
        <v>10</v>
      </c>
      <c r="AB21" s="539">
        <f t="shared" si="20"/>
        <v>0</v>
      </c>
      <c r="AC21" s="539">
        <f>K21+(T$2/32)</f>
        <v>6.8176190476190497</v>
      </c>
      <c r="AD21" s="539">
        <f>L21+(U$2/7)</f>
        <v>8.5</v>
      </c>
      <c r="AE21" s="539">
        <f>M21+(V$2/25)</f>
        <v>8.7299999999999969</v>
      </c>
      <c r="AF21" s="539">
        <f>N21+(W$2/8)</f>
        <v>9.6900000000000013</v>
      </c>
      <c r="AG21" s="539">
        <f>O21+(X$2/6)+(Y$2/5)/2</f>
        <v>8.5625000000000018</v>
      </c>
      <c r="AH21" s="539">
        <f>P21+(Z$2/2)+(Y$2/10)</f>
        <v>19.139999999999993</v>
      </c>
      <c r="AI21" s="456">
        <f t="shared" si="12"/>
        <v>0</v>
      </c>
      <c r="AJ21" s="456">
        <f t="shared" si="13"/>
        <v>0</v>
      </c>
      <c r="AK21" s="456">
        <f t="shared" si="14"/>
        <v>0</v>
      </c>
      <c r="AL21" s="456">
        <f t="shared" si="15"/>
        <v>0</v>
      </c>
      <c r="AM21" s="456">
        <f t="shared" si="16"/>
        <v>0</v>
      </c>
      <c r="AN21" s="456">
        <f t="shared" si="17"/>
        <v>0</v>
      </c>
      <c r="AO21" s="456">
        <f t="shared" si="18"/>
        <v>0.5</v>
      </c>
      <c r="AQ21" s="459" t="s">
        <v>703</v>
      </c>
      <c r="AR21" s="285" t="str">
        <f>D8</f>
        <v>E. Toney</v>
      </c>
      <c r="AS21" s="464">
        <v>0</v>
      </c>
      <c r="AT21" s="464">
        <f>AJ17*0.919</f>
        <v>0</v>
      </c>
      <c r="AU21" s="464">
        <f>AJ8*0.414</f>
        <v>0</v>
      </c>
      <c r="AV21" s="464">
        <f>AK8*0.167</f>
        <v>0</v>
      </c>
      <c r="AW21" s="464">
        <v>0</v>
      </c>
      <c r="AX21" s="464">
        <f>AL8*0.588</f>
        <v>0</v>
      </c>
      <c r="AY21" s="464">
        <v>0</v>
      </c>
      <c r="AZ21" s="467">
        <f>AZ5</f>
        <v>0.03</v>
      </c>
      <c r="BA21" s="467">
        <f>BA5</f>
        <v>0.03</v>
      </c>
      <c r="BB21" s="467">
        <f>BB5</f>
        <v>4.5049999999999999</v>
      </c>
      <c r="BC21" s="467">
        <f>BC5</f>
        <v>0</v>
      </c>
      <c r="BE21" s="459" t="s">
        <v>735</v>
      </c>
      <c r="BF21" s="285" t="str">
        <f>D16</f>
        <v>E. Gross</v>
      </c>
      <c r="BG21" s="464">
        <f t="shared" ref="BG21:BM21" si="39">AS6</f>
        <v>0</v>
      </c>
      <c r="BH21" s="464">
        <f t="shared" si="39"/>
        <v>0</v>
      </c>
      <c r="BI21" s="464">
        <f t="shared" si="39"/>
        <v>0</v>
      </c>
      <c r="BJ21" s="464">
        <f t="shared" si="39"/>
        <v>0</v>
      </c>
      <c r="BK21" s="464">
        <f t="shared" si="39"/>
        <v>0</v>
      </c>
      <c r="BL21" s="464">
        <f t="shared" si="39"/>
        <v>0</v>
      </c>
      <c r="BM21" s="464">
        <f t="shared" si="39"/>
        <v>0</v>
      </c>
      <c r="BN21" s="467">
        <f t="shared" ref="BN21" si="40">AZ6</f>
        <v>1.1999999999999957E-2</v>
      </c>
      <c r="BO21" s="467">
        <f t="shared" ref="BO21:BQ22" si="41">BA6</f>
        <v>1.1999999999999957E-2</v>
      </c>
      <c r="BP21" s="466">
        <f t="shared" si="41"/>
        <v>3.9787499999999998</v>
      </c>
      <c r="BQ21" s="466">
        <f t="shared" si="41"/>
        <v>0</v>
      </c>
    </row>
    <row r="22" spans="1:69" s="272" customFormat="1" x14ac:dyDescent="0.25">
      <c r="A22" s="416" t="s">
        <v>588</v>
      </c>
      <c r="B22" s="416" t="s">
        <v>67</v>
      </c>
      <c r="C22" s="417">
        <f t="shared" ca="1" si="11"/>
        <v>2.6160714285714284</v>
      </c>
      <c r="D22" s="418" t="str">
        <f>PLANTILLA!D23</f>
        <v>L. Calosso</v>
      </c>
      <c r="E22" s="419">
        <f>PLANTILLA!E23</f>
        <v>30</v>
      </c>
      <c r="F22" s="419">
        <f ca="1">PLANTILLA!F23</f>
        <v>43</v>
      </c>
      <c r="G22" s="420"/>
      <c r="H22" s="401">
        <v>4</v>
      </c>
      <c r="I22" s="335">
        <f>PLANTILLA!I23</f>
        <v>10.199999999999999</v>
      </c>
      <c r="J22" s="519">
        <f>PLANTILLA!X23</f>
        <v>0</v>
      </c>
      <c r="K22" s="519">
        <f>PLANTILLA!Y23</f>
        <v>2</v>
      </c>
      <c r="L22" s="519">
        <f>PLANTILLA!Z23</f>
        <v>14.127609523809523</v>
      </c>
      <c r="M22" s="519">
        <f>PLANTILLA!AA23</f>
        <v>3.02</v>
      </c>
      <c r="N22" s="519">
        <f>PLANTILLA!AB23</f>
        <v>15.02</v>
      </c>
      <c r="O22" s="519">
        <f>PLANTILLA!AC23</f>
        <v>10</v>
      </c>
      <c r="P22" s="519">
        <f>PLANTILLA!AD23</f>
        <v>9.3000000000000007</v>
      </c>
      <c r="Q22" s="443">
        <f t="shared" si="4"/>
        <v>30</v>
      </c>
      <c r="R22" s="444">
        <f t="shared" ca="1" si="5"/>
        <v>50</v>
      </c>
      <c r="S22" s="193"/>
      <c r="T22" s="193"/>
      <c r="U22" s="193"/>
      <c r="V22" s="193"/>
      <c r="W22" s="193"/>
      <c r="X22" s="193"/>
      <c r="Y22" s="193"/>
      <c r="Z22" s="193"/>
      <c r="AA22" s="323">
        <f t="shared" si="6"/>
        <v>10.199999999999999</v>
      </c>
      <c r="AB22" s="539">
        <f t="shared" si="20"/>
        <v>0</v>
      </c>
      <c r="AC22" s="539">
        <f>K22+(T$2/21)</f>
        <v>2</v>
      </c>
      <c r="AD22" s="539">
        <f>L22+(U$2/21)</f>
        <v>14.127609523809523</v>
      </c>
      <c r="AE22" s="539">
        <f>M22+(V$2/22)</f>
        <v>3.02</v>
      </c>
      <c r="AF22" s="539">
        <f>N22+(W$2/17)</f>
        <v>15.02</v>
      </c>
      <c r="AG22" s="539">
        <f>O22+(X$2/25)+(Y$2/8)</f>
        <v>10</v>
      </c>
      <c r="AH22" s="539">
        <f>P22+(Z$2/1)+(Y$2/10)</f>
        <v>10.3</v>
      </c>
      <c r="AI22" s="456">
        <f t="shared" si="12"/>
        <v>0</v>
      </c>
      <c r="AJ22" s="456">
        <f t="shared" si="13"/>
        <v>0</v>
      </c>
      <c r="AK22" s="456">
        <f t="shared" si="14"/>
        <v>0</v>
      </c>
      <c r="AL22" s="456">
        <f t="shared" si="15"/>
        <v>0</v>
      </c>
      <c r="AM22" s="456">
        <f t="shared" si="16"/>
        <v>0</v>
      </c>
      <c r="AN22" s="456">
        <f t="shared" si="17"/>
        <v>0</v>
      </c>
      <c r="AO22" s="456">
        <f t="shared" si="18"/>
        <v>1</v>
      </c>
      <c r="AQ22" s="562" t="s">
        <v>788</v>
      </c>
      <c r="AR22" s="331" t="str">
        <f>AR8</f>
        <v>E.Romweber</v>
      </c>
      <c r="AS22" s="462">
        <f>AS8</f>
        <v>0</v>
      </c>
      <c r="AT22" s="462">
        <f t="shared" ref="AT22:AY22" si="42">AT8</f>
        <v>0</v>
      </c>
      <c r="AU22" s="462">
        <f t="shared" si="42"/>
        <v>0</v>
      </c>
      <c r="AV22" s="462">
        <f t="shared" si="42"/>
        <v>0</v>
      </c>
      <c r="AW22" s="462">
        <f>AW8</f>
        <v>0</v>
      </c>
      <c r="AX22" s="462">
        <f t="shared" si="42"/>
        <v>0</v>
      </c>
      <c r="AY22" s="462">
        <f t="shared" si="42"/>
        <v>0</v>
      </c>
      <c r="AZ22" s="465">
        <f>AZ8</f>
        <v>1.1999999999999957E-2</v>
      </c>
      <c r="BA22" s="465">
        <f t="shared" ref="BA22:BC22" si="43">BA8</f>
        <v>1.1999999999999957E-2</v>
      </c>
      <c r="BB22" s="465">
        <f t="shared" si="43"/>
        <v>0</v>
      </c>
      <c r="BC22" s="465">
        <f t="shared" si="43"/>
        <v>0</v>
      </c>
      <c r="BE22" s="459" t="s">
        <v>787</v>
      </c>
      <c r="BF22" s="331" t="str">
        <f>D9</f>
        <v>B. Bartolache</v>
      </c>
      <c r="BG22" s="462">
        <v>0</v>
      </c>
      <c r="BH22" s="462">
        <f>AJ9*0.754</f>
        <v>0</v>
      </c>
      <c r="BI22" s="462">
        <f>AJ9*0.708</f>
        <v>0</v>
      </c>
      <c r="BJ22" s="462">
        <f>AK9*0.165</f>
        <v>0</v>
      </c>
      <c r="BK22" s="462">
        <v>0</v>
      </c>
      <c r="BL22" s="462">
        <f>AL9*0.286</f>
        <v>0</v>
      </c>
      <c r="BM22" s="462">
        <v>0</v>
      </c>
      <c r="BN22" s="465">
        <f>AZ7</f>
        <v>1.1999999999999957E-2</v>
      </c>
      <c r="BO22" s="465">
        <f t="shared" si="41"/>
        <v>1.1999999999999957E-2</v>
      </c>
      <c r="BP22" s="465">
        <f t="shared" si="41"/>
        <v>4.2825000000000006</v>
      </c>
      <c r="BQ22" s="465">
        <f t="shared" si="41"/>
        <v>0</v>
      </c>
    </row>
    <row r="23" spans="1:69" s="289" customFormat="1" x14ac:dyDescent="0.25">
      <c r="A23" s="416" t="s">
        <v>633</v>
      </c>
      <c r="B23" s="416" t="s">
        <v>67</v>
      </c>
      <c r="C23" s="286">
        <f t="shared" ca="1" si="11"/>
        <v>5.9553571428571432</v>
      </c>
      <c r="D23" s="321" t="s">
        <v>634</v>
      </c>
      <c r="E23" s="419">
        <f>PLANTILLA!E24</f>
        <v>27</v>
      </c>
      <c r="F23" s="419">
        <f ca="1">PLANTILLA!F24</f>
        <v>5</v>
      </c>
      <c r="G23" s="420"/>
      <c r="H23" s="428">
        <v>6</v>
      </c>
      <c r="I23" s="335">
        <f>PLANTILLA!I24</f>
        <v>5.3</v>
      </c>
      <c r="J23" s="519">
        <f>PLANTILLA!X24</f>
        <v>0</v>
      </c>
      <c r="K23" s="519">
        <f>PLANTILLA!Y24</f>
        <v>4</v>
      </c>
      <c r="L23" s="519">
        <f>PLANTILLA!Z24</f>
        <v>5.5438722222222205</v>
      </c>
      <c r="M23" s="519">
        <f>PLANTILLA!AA24</f>
        <v>5.4899999999999993</v>
      </c>
      <c r="N23" s="519">
        <f>PLANTILLA!AB24</f>
        <v>10.799999999999999</v>
      </c>
      <c r="O23" s="519">
        <f>PLANTILLA!AC24</f>
        <v>8.384500000000001</v>
      </c>
      <c r="P23" s="519">
        <f>PLANTILLA!AD24</f>
        <v>13.566666666666668</v>
      </c>
      <c r="Q23" s="443">
        <f t="shared" si="4"/>
        <v>27</v>
      </c>
      <c r="R23" s="444">
        <f t="shared" ca="1" si="5"/>
        <v>12</v>
      </c>
      <c r="S23" s="193"/>
      <c r="T23" s="193"/>
      <c r="U23" s="193"/>
      <c r="V23" s="193"/>
      <c r="W23" s="193"/>
      <c r="X23" s="193"/>
      <c r="Y23" s="193"/>
      <c r="Z23" s="193"/>
      <c r="AA23" s="323">
        <f t="shared" si="6"/>
        <v>5.3</v>
      </c>
      <c r="AB23" s="539">
        <f t="shared" si="20"/>
        <v>0</v>
      </c>
      <c r="AC23" s="539">
        <f>K23+(T$2/20)</f>
        <v>4</v>
      </c>
      <c r="AD23" s="539">
        <f>L23+(U$2/27)</f>
        <v>5.5438722222222205</v>
      </c>
      <c r="AE23" s="539">
        <f>M23+(V$2/21)</f>
        <v>5.4899999999999993</v>
      </c>
      <c r="AF23" s="539">
        <f>N23+(W$2/8)</f>
        <v>10.799999999999999</v>
      </c>
      <c r="AG23" s="539">
        <f>O23+(X$2/5)+(Y$2/5)/2</f>
        <v>8.384500000000001</v>
      </c>
      <c r="AH23" s="539">
        <f>P23+(Z$2/1.5)+(Y$2/10)</f>
        <v>14.233333333333334</v>
      </c>
      <c r="AI23" s="456">
        <f t="shared" si="12"/>
        <v>0</v>
      </c>
      <c r="AJ23" s="456">
        <f t="shared" si="13"/>
        <v>0</v>
      </c>
      <c r="AK23" s="456">
        <f t="shared" si="14"/>
        <v>0</v>
      </c>
      <c r="AL23" s="456">
        <f t="shared" si="15"/>
        <v>0</v>
      </c>
      <c r="AM23" s="456">
        <f t="shared" si="16"/>
        <v>0</v>
      </c>
      <c r="AN23" s="456">
        <f t="shared" si="17"/>
        <v>0</v>
      </c>
      <c r="AO23" s="456">
        <f t="shared" si="18"/>
        <v>0.66666666666666607</v>
      </c>
      <c r="AQ23" s="459" t="s">
        <v>596</v>
      </c>
      <c r="AR23" s="285" t="str">
        <f>D14</f>
        <v>S. Buscleman</v>
      </c>
      <c r="AS23" s="464">
        <f t="shared" ref="AS23:AS28" si="44">AS9</f>
        <v>0</v>
      </c>
      <c r="AT23" s="464">
        <f t="shared" ref="AT23:BC23" si="45">AT9</f>
        <v>0</v>
      </c>
      <c r="AU23" s="464">
        <f t="shared" si="45"/>
        <v>0</v>
      </c>
      <c r="AV23" s="464">
        <f t="shared" si="45"/>
        <v>0</v>
      </c>
      <c r="AW23" s="464">
        <f t="shared" si="45"/>
        <v>0</v>
      </c>
      <c r="AX23" s="464">
        <f t="shared" si="45"/>
        <v>0</v>
      </c>
      <c r="AY23" s="464">
        <f t="shared" si="45"/>
        <v>0</v>
      </c>
      <c r="AZ23" s="467">
        <f t="shared" si="45"/>
        <v>0.03</v>
      </c>
      <c r="BA23" s="467">
        <f t="shared" si="45"/>
        <v>0.03</v>
      </c>
      <c r="BB23" s="467">
        <f t="shared" si="45"/>
        <v>0</v>
      </c>
      <c r="BC23" s="467">
        <f t="shared" si="45"/>
        <v>0</v>
      </c>
      <c r="BE23" s="459" t="s">
        <v>703</v>
      </c>
      <c r="BF23" s="285" t="str">
        <f>D11</f>
        <v>E.Romweber</v>
      </c>
      <c r="BG23" s="464">
        <v>0</v>
      </c>
      <c r="BH23" s="464">
        <f>AJ11*0.919</f>
        <v>0</v>
      </c>
      <c r="BI23" s="464">
        <f>AJ11*0.414</f>
        <v>0</v>
      </c>
      <c r="BJ23" s="464">
        <f>AK11*0.167</f>
        <v>0</v>
      </c>
      <c r="BK23" s="464">
        <v>0</v>
      </c>
      <c r="BL23" s="464">
        <f>AL11*0.588</f>
        <v>0</v>
      </c>
      <c r="BM23" s="464">
        <v>0</v>
      </c>
      <c r="BN23" s="467">
        <f>AZ8</f>
        <v>1.1999999999999957E-2</v>
      </c>
      <c r="BO23" s="467">
        <f>BA8</f>
        <v>1.1999999999999957E-2</v>
      </c>
      <c r="BP23" s="467">
        <f>((AC11+1)+(AF11+1)*2)/8</f>
        <v>4.5962499999999995</v>
      </c>
      <c r="BQ23" s="467">
        <f>((AJ11)+(AM11)*2)/8</f>
        <v>0</v>
      </c>
    </row>
    <row r="24" spans="1:69" s="266" customFormat="1" x14ac:dyDescent="0.25">
      <c r="A24"/>
      <c r="B24"/>
      <c r="C24" s="236"/>
      <c r="D24" s="180"/>
      <c r="E24"/>
      <c r="F24"/>
      <c r="G24" s="454"/>
      <c r="H24" s="4"/>
      <c r="I24"/>
      <c r="J24" s="156"/>
      <c r="K24"/>
      <c r="L24"/>
      <c r="M24"/>
      <c r="N24"/>
      <c r="O24"/>
      <c r="P24"/>
      <c r="Q24" s="485"/>
      <c r="R24" s="485"/>
      <c r="S24" s="371">
        <f t="shared" ref="S24:Z24" si="46">SUM(S21:S23)</f>
        <v>0</v>
      </c>
      <c r="T24" s="371">
        <f t="shared" si="46"/>
        <v>0</v>
      </c>
      <c r="U24" s="371">
        <f t="shared" si="46"/>
        <v>0</v>
      </c>
      <c r="V24" s="371">
        <f t="shared" si="46"/>
        <v>0</v>
      </c>
      <c r="W24" s="371">
        <f t="shared" si="46"/>
        <v>0</v>
      </c>
      <c r="X24" s="371">
        <f t="shared" si="46"/>
        <v>0</v>
      </c>
      <c r="Y24" s="371"/>
      <c r="Z24" s="371">
        <f t="shared" si="46"/>
        <v>0</v>
      </c>
      <c r="AA24" s="454"/>
      <c r="AB24" s="454"/>
      <c r="AC24" s="454"/>
      <c r="AD24" s="454"/>
      <c r="AE24" s="454"/>
      <c r="AF24" s="454"/>
      <c r="AG24" s="454"/>
      <c r="AH24" s="454"/>
      <c r="AI24"/>
      <c r="AJ24"/>
      <c r="AK24"/>
      <c r="AL24"/>
      <c r="AM24"/>
      <c r="AN24"/>
      <c r="AO24"/>
      <c r="AQ24" s="459" t="s">
        <v>790</v>
      </c>
      <c r="AR24" s="285" t="str">
        <f>AR10</f>
        <v>L. Bauman</v>
      </c>
      <c r="AS24" s="464">
        <f t="shared" si="44"/>
        <v>0</v>
      </c>
      <c r="AT24" s="464">
        <f t="shared" ref="AT24:AY24" si="47">AT10</f>
        <v>0</v>
      </c>
      <c r="AU24" s="464">
        <f t="shared" si="47"/>
        <v>0</v>
      </c>
      <c r="AV24" s="464">
        <f t="shared" si="47"/>
        <v>0</v>
      </c>
      <c r="AW24" s="464">
        <f t="shared" si="47"/>
        <v>0</v>
      </c>
      <c r="AX24" s="464">
        <f t="shared" si="47"/>
        <v>0</v>
      </c>
      <c r="AY24" s="464">
        <f t="shared" si="47"/>
        <v>0</v>
      </c>
      <c r="AZ24" s="467">
        <f>AZ10</f>
        <v>1.1999999999999957E-2</v>
      </c>
      <c r="BA24" s="467">
        <f t="shared" ref="BA24:BC24" si="48">BA10</f>
        <v>1.1999999999999957E-2</v>
      </c>
      <c r="BB24" s="467">
        <f t="shared" si="48"/>
        <v>0</v>
      </c>
      <c r="BC24" s="467">
        <f t="shared" si="48"/>
        <v>0</v>
      </c>
      <c r="BE24" s="563" t="s">
        <v>789</v>
      </c>
      <c r="BF24" s="285" t="str">
        <f>D12</f>
        <v>K. Helms</v>
      </c>
      <c r="BG24" s="462">
        <f>AT12</f>
        <v>0</v>
      </c>
      <c r="BH24" s="462">
        <f>AS12</f>
        <v>0</v>
      </c>
      <c r="BI24" s="462">
        <f>AU12</f>
        <v>0</v>
      </c>
      <c r="BJ24" s="462">
        <f>AV12</f>
        <v>0</v>
      </c>
      <c r="BK24" s="462">
        <f>AX12</f>
        <v>0</v>
      </c>
      <c r="BL24" s="462">
        <v>0</v>
      </c>
      <c r="BM24" s="462">
        <f>AY12</f>
        <v>0</v>
      </c>
      <c r="BN24" s="465">
        <f>AZ12</f>
        <v>1.1999999999999957E-2</v>
      </c>
      <c r="BO24" s="465">
        <f t="shared" ref="BO24:BQ24" si="49">BA12</f>
        <v>1.1999999999999957E-2</v>
      </c>
      <c r="BP24" s="465">
        <f t="shared" si="49"/>
        <v>0</v>
      </c>
      <c r="BQ24" s="465">
        <f t="shared" si="49"/>
        <v>0</v>
      </c>
    </row>
    <row r="25" spans="1:69" s="264" customFormat="1" x14ac:dyDescent="0.25">
      <c r="A25"/>
      <c r="B25"/>
      <c r="C25" s="236"/>
      <c r="D25" s="180"/>
      <c r="E25"/>
      <c r="F25"/>
      <c r="G25" s="454"/>
      <c r="H25" s="4"/>
      <c r="I25"/>
      <c r="J25" s="156"/>
      <c r="K25"/>
      <c r="L25"/>
      <c r="M25"/>
      <c r="N25"/>
      <c r="O25"/>
      <c r="P25"/>
      <c r="Q25" s="485"/>
      <c r="R25" s="485"/>
      <c r="S25" s="454"/>
      <c r="T25" s="454"/>
      <c r="U25" s="454"/>
      <c r="V25" s="454"/>
      <c r="W25" s="454"/>
      <c r="X25" s="454"/>
      <c r="Y25" s="561"/>
      <c r="Z25" s="454"/>
      <c r="AA25" s="454"/>
      <c r="AB25" s="454"/>
      <c r="AC25" s="454"/>
      <c r="AD25" s="454"/>
      <c r="AE25" s="454"/>
      <c r="AF25" s="454"/>
      <c r="AG25" s="454"/>
      <c r="AH25" s="454"/>
      <c r="AI25"/>
      <c r="AJ25"/>
      <c r="AK25"/>
      <c r="AL25"/>
      <c r="AM25"/>
      <c r="AN25"/>
      <c r="AO25"/>
      <c r="AQ25" s="459" t="s">
        <v>596</v>
      </c>
      <c r="AR25" s="285" t="str">
        <f>D15</f>
        <v>C. Rojas</v>
      </c>
      <c r="AS25" s="464">
        <f t="shared" si="44"/>
        <v>0</v>
      </c>
      <c r="AT25" s="464">
        <f t="shared" ref="AT25:BC25" si="50">AT11</f>
        <v>0</v>
      </c>
      <c r="AU25" s="464">
        <f t="shared" si="50"/>
        <v>0</v>
      </c>
      <c r="AV25" s="464">
        <f t="shared" si="50"/>
        <v>0</v>
      </c>
      <c r="AW25" s="464">
        <f t="shared" si="50"/>
        <v>0</v>
      </c>
      <c r="AX25" s="464">
        <f t="shared" si="50"/>
        <v>0</v>
      </c>
      <c r="AY25" s="464">
        <f t="shared" si="50"/>
        <v>0</v>
      </c>
      <c r="AZ25" s="467">
        <f t="shared" si="50"/>
        <v>1.4999999999999999E-2</v>
      </c>
      <c r="BA25" s="467">
        <f t="shared" si="50"/>
        <v>1.4999999999999999E-2</v>
      </c>
      <c r="BB25" s="467">
        <f t="shared" si="50"/>
        <v>0</v>
      </c>
      <c r="BC25" s="467">
        <f t="shared" si="50"/>
        <v>0</v>
      </c>
      <c r="BE25" s="459" t="s">
        <v>596</v>
      </c>
      <c r="BF25" s="285" t="str">
        <f>D14</f>
        <v>S. Buscleman</v>
      </c>
      <c r="BG25" s="464">
        <f t="shared" ref="BG25:BM25" si="51">AS9</f>
        <v>0</v>
      </c>
      <c r="BH25" s="464">
        <f t="shared" si="51"/>
        <v>0</v>
      </c>
      <c r="BI25" s="464">
        <f t="shared" si="51"/>
        <v>0</v>
      </c>
      <c r="BJ25" s="464">
        <f t="shared" si="51"/>
        <v>0</v>
      </c>
      <c r="BK25" s="464">
        <f t="shared" si="51"/>
        <v>0</v>
      </c>
      <c r="BL25" s="464">
        <f t="shared" si="51"/>
        <v>0</v>
      </c>
      <c r="BM25" s="464">
        <f t="shared" si="51"/>
        <v>0</v>
      </c>
      <c r="BN25" s="467">
        <f t="shared" ref="BN25" si="52">AZ9</f>
        <v>0.03</v>
      </c>
      <c r="BO25" s="467">
        <f>BA9</f>
        <v>0.03</v>
      </c>
      <c r="BP25" s="467">
        <f>BB9</f>
        <v>0</v>
      </c>
      <c r="BQ25" s="467">
        <f>BC9</f>
        <v>0</v>
      </c>
    </row>
    <row r="26" spans="1:69" s="289" customFormat="1" ht="14.25" customHeight="1" x14ac:dyDescent="0.25">
      <c r="A26"/>
      <c r="B26"/>
      <c r="C26" s="236"/>
      <c r="D26" s="180"/>
      <c r="E26"/>
      <c r="F26"/>
      <c r="G26" s="454"/>
      <c r="H26" s="4"/>
      <c r="I26"/>
      <c r="J26" s="156"/>
      <c r="K26"/>
      <c r="L26"/>
      <c r="M26"/>
      <c r="N26"/>
      <c r="O26"/>
      <c r="P26"/>
      <c r="Q26" s="485"/>
      <c r="R26" s="485"/>
      <c r="S26" s="454"/>
      <c r="T26" s="454"/>
      <c r="U26" s="454"/>
      <c r="V26" s="454"/>
      <c r="W26" s="454"/>
      <c r="X26" s="454"/>
      <c r="Y26" s="561"/>
      <c r="Z26" s="454"/>
      <c r="AA26" s="454"/>
      <c r="AB26" s="454"/>
      <c r="AC26" s="454"/>
      <c r="AD26" s="454"/>
      <c r="AE26" s="454"/>
      <c r="AF26" s="454"/>
      <c r="AG26" s="454"/>
      <c r="AH26" s="454"/>
      <c r="AI26"/>
      <c r="AJ26"/>
      <c r="AK26"/>
      <c r="AL26"/>
      <c r="AM26"/>
      <c r="AN26"/>
      <c r="AO26"/>
      <c r="AQ26" s="563" t="s">
        <v>789</v>
      </c>
      <c r="AR26" s="285" t="str">
        <f>AR12</f>
        <v>K. Helms</v>
      </c>
      <c r="AS26" s="464">
        <f t="shared" si="44"/>
        <v>0</v>
      </c>
      <c r="AT26" s="464">
        <f t="shared" ref="AT26:AY26" si="53">AT12</f>
        <v>0</v>
      </c>
      <c r="AU26" s="464">
        <f t="shared" si="53"/>
        <v>0</v>
      </c>
      <c r="AV26" s="464">
        <f t="shared" si="53"/>
        <v>0</v>
      </c>
      <c r="AW26" s="464">
        <f t="shared" si="53"/>
        <v>0</v>
      </c>
      <c r="AX26" s="464">
        <f t="shared" si="53"/>
        <v>0</v>
      </c>
      <c r="AY26" s="464">
        <f t="shared" si="53"/>
        <v>0</v>
      </c>
      <c r="AZ26" s="467">
        <f>AZ12</f>
        <v>1.1999999999999957E-2</v>
      </c>
      <c r="BA26" s="467">
        <f t="shared" ref="BA26:BC26" si="54">BA12</f>
        <v>1.1999999999999957E-2</v>
      </c>
      <c r="BB26" s="467">
        <f t="shared" si="54"/>
        <v>0</v>
      </c>
      <c r="BC26" s="467">
        <f t="shared" si="54"/>
        <v>0</v>
      </c>
      <c r="BE26" s="459" t="s">
        <v>596</v>
      </c>
      <c r="BF26" s="285" t="str">
        <f>D15</f>
        <v>C. Rojas</v>
      </c>
      <c r="BG26" s="464">
        <f t="shared" ref="BG26:BM26" si="55">AS11</f>
        <v>0</v>
      </c>
      <c r="BH26" s="464">
        <f t="shared" si="55"/>
        <v>0</v>
      </c>
      <c r="BI26" s="464">
        <f t="shared" si="55"/>
        <v>0</v>
      </c>
      <c r="BJ26" s="464">
        <f t="shared" si="55"/>
        <v>0</v>
      </c>
      <c r="BK26" s="464">
        <f t="shared" si="55"/>
        <v>0</v>
      </c>
      <c r="BL26" s="464">
        <f t="shared" si="55"/>
        <v>0</v>
      </c>
      <c r="BM26" s="464">
        <f t="shared" si="55"/>
        <v>0</v>
      </c>
      <c r="BN26" s="467">
        <f t="shared" ref="BN26" si="56">AZ11</f>
        <v>1.4999999999999999E-2</v>
      </c>
      <c r="BO26" s="467">
        <f>BA11</f>
        <v>1.4999999999999999E-2</v>
      </c>
      <c r="BP26" s="467">
        <f>BB11</f>
        <v>0</v>
      </c>
      <c r="BQ26" s="467">
        <f>BC11</f>
        <v>0</v>
      </c>
    </row>
    <row r="27" spans="1:69" x14ac:dyDescent="0.25">
      <c r="W27" s="454">
        <v>1</v>
      </c>
      <c r="AQ27" s="562" t="s">
        <v>67</v>
      </c>
      <c r="AR27" s="331" t="str">
        <f>D21</f>
        <v>J. Limon</v>
      </c>
      <c r="AS27" s="462">
        <f t="shared" si="44"/>
        <v>0</v>
      </c>
      <c r="AT27" s="462">
        <f t="shared" ref="AT27:BC27" si="57">AT13</f>
        <v>0</v>
      </c>
      <c r="AU27" s="462">
        <f t="shared" si="57"/>
        <v>0</v>
      </c>
      <c r="AV27" s="462">
        <f t="shared" si="57"/>
        <v>0</v>
      </c>
      <c r="AW27" s="462">
        <f t="shared" si="57"/>
        <v>0</v>
      </c>
      <c r="AX27" s="462">
        <f t="shared" si="57"/>
        <v>0</v>
      </c>
      <c r="AY27" s="462">
        <f t="shared" si="57"/>
        <v>0</v>
      </c>
      <c r="AZ27" s="587">
        <f t="shared" si="57"/>
        <v>0.06</v>
      </c>
      <c r="BA27" s="587">
        <f t="shared" si="57"/>
        <v>1.4999999999999999E-2</v>
      </c>
      <c r="BB27" s="465">
        <f t="shared" si="57"/>
        <v>0</v>
      </c>
      <c r="BC27" s="465">
        <f t="shared" si="57"/>
        <v>0</v>
      </c>
      <c r="BE27" s="562" t="s">
        <v>789</v>
      </c>
      <c r="BF27" s="331" t="str">
        <f>D13</f>
        <v>S. Zobbe</v>
      </c>
      <c r="BG27" s="464">
        <v>0</v>
      </c>
      <c r="BH27" s="464">
        <f>AJ13*0.18</f>
        <v>0</v>
      </c>
      <c r="BI27" s="464">
        <f>AJ13*0.068</f>
        <v>0</v>
      </c>
      <c r="BJ27" s="464">
        <f>AK13*0.305</f>
        <v>0</v>
      </c>
      <c r="BK27" s="464">
        <v>0</v>
      </c>
      <c r="BL27" s="464">
        <f>(AL13*1)+(AM13*0.286)</f>
        <v>0</v>
      </c>
      <c r="BM27" s="464">
        <f>AM13*0.135</f>
        <v>0</v>
      </c>
      <c r="BN27" s="467">
        <f>AZ14</f>
        <v>1.4999999999999999E-2</v>
      </c>
      <c r="BO27" s="467">
        <f t="shared" ref="BO27:BQ27" si="58">BA14</f>
        <v>1.4999999999999999E-2</v>
      </c>
      <c r="BP27" s="467">
        <f t="shared" si="58"/>
        <v>0</v>
      </c>
      <c r="BQ27" s="467">
        <f t="shared" si="58"/>
        <v>0</v>
      </c>
    </row>
    <row r="28" spans="1:69" x14ac:dyDescent="0.25">
      <c r="Q28" s="163"/>
      <c r="W28" s="454">
        <v>0.8</v>
      </c>
      <c r="AQ28" s="563" t="s">
        <v>67</v>
      </c>
      <c r="AR28" s="285" t="str">
        <f>AR14</f>
        <v>S. Zobbe</v>
      </c>
      <c r="AS28" s="464">
        <f t="shared" si="44"/>
        <v>0</v>
      </c>
      <c r="AT28" s="464">
        <f t="shared" ref="AT28:AY28" si="59">AT14</f>
        <v>0</v>
      </c>
      <c r="AU28" s="464">
        <f t="shared" si="59"/>
        <v>0</v>
      </c>
      <c r="AV28" s="464">
        <f t="shared" si="59"/>
        <v>0</v>
      </c>
      <c r="AW28" s="464">
        <f t="shared" si="59"/>
        <v>0</v>
      </c>
      <c r="AX28" s="464">
        <f t="shared" si="59"/>
        <v>0</v>
      </c>
      <c r="AY28" s="464">
        <f t="shared" si="59"/>
        <v>0</v>
      </c>
      <c r="AZ28" s="465">
        <f>AZ14</f>
        <v>1.4999999999999999E-2</v>
      </c>
      <c r="BA28" s="465">
        <f t="shared" ref="BA28:BC28" si="60">BA14</f>
        <v>1.4999999999999999E-2</v>
      </c>
      <c r="BB28" s="465">
        <f t="shared" si="60"/>
        <v>0</v>
      </c>
      <c r="BC28" s="465">
        <f t="shared" si="60"/>
        <v>0</v>
      </c>
      <c r="BE28" s="563" t="s">
        <v>67</v>
      </c>
      <c r="BF28" s="285" t="str">
        <f>D21</f>
        <v>J. Limon</v>
      </c>
      <c r="BG28" s="462">
        <f t="shared" ref="BG28:BM28" si="61">AS13</f>
        <v>0</v>
      </c>
      <c r="BH28" s="462">
        <f t="shared" si="61"/>
        <v>0</v>
      </c>
      <c r="BI28" s="462">
        <f t="shared" si="61"/>
        <v>0</v>
      </c>
      <c r="BJ28" s="462">
        <f t="shared" si="61"/>
        <v>0</v>
      </c>
      <c r="BK28" s="462">
        <f t="shared" si="61"/>
        <v>0</v>
      </c>
      <c r="BL28" s="462">
        <f t="shared" si="61"/>
        <v>0</v>
      </c>
      <c r="BM28" s="462">
        <f t="shared" si="61"/>
        <v>0</v>
      </c>
      <c r="BN28" s="587">
        <f t="shared" ref="BN28" si="62">AZ13</f>
        <v>0.06</v>
      </c>
      <c r="BO28" s="587">
        <f>BA13</f>
        <v>1.4999999999999999E-2</v>
      </c>
      <c r="BP28" s="465">
        <f>BB13</f>
        <v>0</v>
      </c>
      <c r="BQ28" s="465">
        <f>BC13</f>
        <v>0</v>
      </c>
    </row>
    <row r="29" spans="1:69" x14ac:dyDescent="0.25">
      <c r="K29">
        <v>0.8</v>
      </c>
      <c r="W29" s="454">
        <f>W27-W28</f>
        <v>0.19999999999999996</v>
      </c>
      <c r="X29" s="454">
        <v>3</v>
      </c>
      <c r="AB29" s="163"/>
      <c r="AC29" s="163"/>
      <c r="AD29" s="163"/>
      <c r="AE29" s="163"/>
      <c r="AF29" s="163"/>
      <c r="AG29" s="163"/>
      <c r="AH29" s="163"/>
      <c r="AQ29" s="460"/>
      <c r="AR29" s="461"/>
      <c r="AS29" s="461"/>
      <c r="AT29" s="461"/>
      <c r="AU29" s="461"/>
      <c r="AV29" s="461"/>
      <c r="AW29" s="461"/>
      <c r="AX29" s="461"/>
      <c r="AY29" s="461"/>
      <c r="AZ29" s="461"/>
      <c r="BA29" s="461"/>
      <c r="BB29" s="461"/>
      <c r="BC29" s="461"/>
    </row>
    <row r="30" spans="1:69" x14ac:dyDescent="0.25">
      <c r="K30">
        <f>1-K29</f>
        <v>0.19999999999999996</v>
      </c>
      <c r="W30" s="454">
        <v>1</v>
      </c>
      <c r="X30" s="454">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1" customWidth="1"/>
    <col min="2" max="2" width="14.28515625" style="561" bestFit="1" customWidth="1"/>
    <col min="3" max="9" width="8.28515625" style="561" bestFit="1" customWidth="1"/>
    <col min="10" max="10" width="8.28515625" style="584" bestFit="1" customWidth="1"/>
    <col min="11" max="11" width="9.28515625" style="584" bestFit="1" customWidth="1"/>
    <col min="12" max="12" width="8.28515625" style="56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4"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873</v>
      </c>
      <c r="C1" s="613">
        <f t="shared" ref="C1:L1" si="0">MAX(C3:C27)</f>
        <v>7.6541020779221203E-2</v>
      </c>
      <c r="D1" s="613">
        <f t="shared" si="0"/>
        <v>9.516709370629349E-2</v>
      </c>
      <c r="E1" s="613">
        <f t="shared" si="0"/>
        <v>0.10114897692307692</v>
      </c>
      <c r="F1" s="613">
        <f t="shared" si="0"/>
        <v>5.254696863959811E-2</v>
      </c>
      <c r="G1" s="613">
        <f t="shared" si="0"/>
        <v>5.2239892473118138E-2</v>
      </c>
      <c r="H1" s="613">
        <f t="shared" si="0"/>
        <v>8.0176190476190248E-2</v>
      </c>
      <c r="I1" s="613">
        <f t="shared" si="0"/>
        <v>5.7961761904761842E-2</v>
      </c>
      <c r="J1" s="613">
        <f t="shared" si="0"/>
        <v>0</v>
      </c>
      <c r="K1" s="613">
        <f t="shared" si="0"/>
        <v>3.6222627372627408E-2</v>
      </c>
      <c r="L1" s="613">
        <f t="shared" si="0"/>
        <v>0.16964285714285698</v>
      </c>
      <c r="N1" s="561"/>
      <c r="O1" s="561"/>
      <c r="P1" s="564"/>
      <c r="Q1" s="564"/>
      <c r="R1" s="564"/>
      <c r="S1" s="564"/>
      <c r="T1" s="564"/>
      <c r="U1" s="564"/>
      <c r="V1" s="564"/>
      <c r="W1" s="564"/>
      <c r="X1" s="564"/>
      <c r="Y1" s="675"/>
      <c r="Z1" s="564"/>
      <c r="AA1" s="564"/>
      <c r="AB1" s="564"/>
      <c r="AC1" s="564"/>
      <c r="AD1" s="564"/>
      <c r="AE1" s="564"/>
      <c r="AF1" s="564"/>
      <c r="AG1" s="564"/>
    </row>
    <row r="2" spans="1:33" x14ac:dyDescent="0.25">
      <c r="A2" s="670" t="s">
        <v>865</v>
      </c>
      <c r="B2" s="671" t="s">
        <v>864</v>
      </c>
      <c r="C2" s="361" t="s">
        <v>541</v>
      </c>
      <c r="D2" s="567" t="s">
        <v>542</v>
      </c>
      <c r="E2" s="567" t="s">
        <v>582</v>
      </c>
      <c r="F2" s="567" t="s">
        <v>543</v>
      </c>
      <c r="G2" s="567" t="s">
        <v>544</v>
      </c>
      <c r="H2" s="567" t="s">
        <v>545</v>
      </c>
      <c r="I2" s="567" t="s">
        <v>546</v>
      </c>
      <c r="J2" s="567" t="s">
        <v>874</v>
      </c>
      <c r="K2" s="567" t="s">
        <v>875</v>
      </c>
      <c r="L2" s="567" t="s">
        <v>713</v>
      </c>
      <c r="N2" s="670" t="s">
        <v>865</v>
      </c>
      <c r="O2" s="671" t="s">
        <v>864</v>
      </c>
      <c r="P2" s="361" t="s">
        <v>541</v>
      </c>
      <c r="Q2" s="567" t="s">
        <v>1022</v>
      </c>
      <c r="R2" s="567" t="s">
        <v>542</v>
      </c>
      <c r="S2" s="567" t="s">
        <v>1022</v>
      </c>
      <c r="T2" s="567" t="s">
        <v>582</v>
      </c>
      <c r="U2" s="567" t="s">
        <v>1022</v>
      </c>
      <c r="V2" s="567" t="s">
        <v>543</v>
      </c>
      <c r="W2" s="567" t="s">
        <v>1022</v>
      </c>
      <c r="X2" s="567" t="s">
        <v>544</v>
      </c>
      <c r="Y2" s="567" t="s">
        <v>1022</v>
      </c>
      <c r="Z2" s="567" t="s">
        <v>545</v>
      </c>
      <c r="AA2" s="567" t="s">
        <v>1022</v>
      </c>
      <c r="AB2" s="567" t="s">
        <v>546</v>
      </c>
      <c r="AC2" s="567" t="s">
        <v>1022</v>
      </c>
      <c r="AD2" s="610" t="s">
        <v>874</v>
      </c>
      <c r="AE2" s="610" t="s">
        <v>1022</v>
      </c>
      <c r="AF2" s="610" t="s">
        <v>875</v>
      </c>
      <c r="AG2" s="610" t="s">
        <v>1022</v>
      </c>
    </row>
    <row r="3" spans="1:33" x14ac:dyDescent="0.25">
      <c r="A3" s="566" t="s">
        <v>866</v>
      </c>
      <c r="B3" s="565" t="s">
        <v>180</v>
      </c>
      <c r="C3" s="575"/>
      <c r="D3" s="576"/>
      <c r="E3" s="576"/>
      <c r="F3" s="576"/>
      <c r="G3" s="576"/>
      <c r="H3" s="576"/>
      <c r="I3" s="576"/>
      <c r="J3" s="576"/>
      <c r="K3" s="576"/>
      <c r="L3" s="576"/>
      <c r="M3" s="9"/>
      <c r="N3" s="614" t="s">
        <v>866</v>
      </c>
      <c r="O3" s="615" t="s">
        <v>180</v>
      </c>
      <c r="P3" s="578">
        <f>C3/$C$4</f>
        <v>0</v>
      </c>
      <c r="Q3" s="683" t="e">
        <f>1/C3</f>
        <v>#DIV/0!</v>
      </c>
      <c r="R3" s="578">
        <f>D3/D1</f>
        <v>0</v>
      </c>
      <c r="S3" s="683" t="e">
        <f>1/D3</f>
        <v>#DIV/0!</v>
      </c>
      <c r="T3" s="578">
        <f>E3/E1</f>
        <v>0</v>
      </c>
      <c r="U3" s="683" t="e">
        <f>1/E3</f>
        <v>#DIV/0!</v>
      </c>
      <c r="V3" s="579"/>
      <c r="W3" s="579"/>
      <c r="X3" s="579"/>
      <c r="Y3" s="676"/>
      <c r="Z3" s="579"/>
      <c r="AA3" s="579"/>
      <c r="AB3" s="579"/>
      <c r="AC3" s="579"/>
      <c r="AD3" s="579"/>
      <c r="AE3" s="579"/>
      <c r="AF3" s="579">
        <f>K3/K1</f>
        <v>0</v>
      </c>
      <c r="AG3" s="676"/>
    </row>
    <row r="4" spans="1:33" x14ac:dyDescent="0.25">
      <c r="A4" s="727" t="s">
        <v>867</v>
      </c>
      <c r="B4" s="573" t="s">
        <v>820</v>
      </c>
      <c r="C4" s="616">
        <v>5.9340247552447711E-2</v>
      </c>
      <c r="D4" s="590">
        <v>6.8999559240759498E-2</v>
      </c>
      <c r="E4" s="590">
        <v>7.5579372027972075E-2</v>
      </c>
      <c r="F4" s="590"/>
      <c r="G4" s="590"/>
      <c r="H4" s="590"/>
      <c r="I4" s="590"/>
      <c r="J4" s="590">
        <v>0</v>
      </c>
      <c r="K4" s="590">
        <v>3.6222627372627408E-2</v>
      </c>
      <c r="L4" s="590"/>
      <c r="M4" s="9"/>
      <c r="N4" s="729" t="s">
        <v>867</v>
      </c>
      <c r="O4" s="617" t="s">
        <v>820</v>
      </c>
      <c r="P4" s="580">
        <f>C4/$C$1</f>
        <v>0.77527379369046734</v>
      </c>
      <c r="Q4" s="677">
        <f>1/C4</f>
        <v>16.851968794301925</v>
      </c>
      <c r="R4" s="581">
        <f>D4/$D$1</f>
        <v>0.72503589795131562</v>
      </c>
      <c r="S4" s="677">
        <f>1/D4</f>
        <v>14.492846200809916</v>
      </c>
      <c r="T4" s="581">
        <f>E4/$E$1</f>
        <v>0.74720846742176794</v>
      </c>
      <c r="U4" s="677">
        <f>1/E4</f>
        <v>13.231123429153367</v>
      </c>
      <c r="V4" s="581"/>
      <c r="W4" s="581"/>
      <c r="X4" s="580"/>
      <c r="Y4" s="677"/>
      <c r="Z4" s="581"/>
      <c r="AA4" s="581"/>
      <c r="AB4" s="581"/>
      <c r="AC4" s="581"/>
      <c r="AD4" s="580"/>
      <c r="AE4" s="580"/>
      <c r="AF4" s="580">
        <f>K4/K1</f>
        <v>1</v>
      </c>
      <c r="AG4" s="681"/>
    </row>
    <row r="5" spans="1:33" x14ac:dyDescent="0.25">
      <c r="A5" s="727"/>
      <c r="B5" s="573" t="s">
        <v>819</v>
      </c>
      <c r="C5" s="611"/>
      <c r="D5" s="577"/>
      <c r="E5" s="577"/>
      <c r="F5" s="577">
        <v>5.254696863959811E-2</v>
      </c>
      <c r="G5" s="577"/>
      <c r="H5" s="577"/>
      <c r="I5" s="577"/>
      <c r="J5" s="577"/>
      <c r="K5" s="577"/>
      <c r="L5" s="577"/>
      <c r="M5" s="9"/>
      <c r="N5" s="729"/>
      <c r="O5" s="617" t="s">
        <v>819</v>
      </c>
      <c r="P5" s="582"/>
      <c r="Q5" s="678"/>
      <c r="R5" s="569"/>
      <c r="S5" s="678"/>
      <c r="T5" s="569"/>
      <c r="U5" s="678"/>
      <c r="V5" s="569">
        <f>F5/F1</f>
        <v>1</v>
      </c>
      <c r="W5" s="678">
        <f>1/F5</f>
        <v>19.03059350309362</v>
      </c>
      <c r="X5" s="582"/>
      <c r="Y5" s="678"/>
      <c r="Z5" s="569"/>
      <c r="AA5" s="569"/>
      <c r="AB5" s="569"/>
      <c r="AC5" s="569"/>
      <c r="AD5" s="582"/>
      <c r="AE5" s="582"/>
      <c r="AF5" s="582"/>
      <c r="AG5" s="680"/>
    </row>
    <row r="6" spans="1:33" x14ac:dyDescent="0.25">
      <c r="A6" s="727"/>
      <c r="B6" s="573" t="s">
        <v>871</v>
      </c>
      <c r="C6" s="611"/>
      <c r="D6" s="577"/>
      <c r="E6" s="577"/>
      <c r="F6" s="577"/>
      <c r="G6" s="577">
        <v>3.9584999999999822E-2</v>
      </c>
      <c r="H6" s="577">
        <v>6.3542692307692147E-2</v>
      </c>
      <c r="I6" s="577">
        <v>0</v>
      </c>
      <c r="J6" s="577"/>
      <c r="K6" s="577"/>
      <c r="L6" s="577"/>
      <c r="M6" s="9"/>
      <c r="N6" s="729"/>
      <c r="O6" s="617" t="s">
        <v>871</v>
      </c>
      <c r="P6" s="582"/>
      <c r="Q6" s="678"/>
      <c r="R6" s="569"/>
      <c r="S6" s="678"/>
      <c r="T6" s="569"/>
      <c r="U6" s="678"/>
      <c r="V6" s="569"/>
      <c r="W6" s="678"/>
      <c r="X6" s="582">
        <f>G6/$G$1</f>
        <v>0.75775423964300204</v>
      </c>
      <c r="Y6" s="678">
        <f>1/G6</f>
        <v>25.262094227611584</v>
      </c>
      <c r="Z6" s="569">
        <f>H6/$H$1</f>
        <v>0.79253818284821453</v>
      </c>
      <c r="AA6" s="678">
        <f>1/H6</f>
        <v>15.737450896126811</v>
      </c>
      <c r="AB6" s="569">
        <f>I6/$I$1</f>
        <v>0</v>
      </c>
      <c r="AC6" s="569"/>
      <c r="AD6" s="582"/>
      <c r="AE6" s="582"/>
      <c r="AF6" s="582"/>
      <c r="AG6" s="680"/>
    </row>
    <row r="7" spans="1:33" x14ac:dyDescent="0.25">
      <c r="A7" s="727"/>
      <c r="B7" s="573" t="s">
        <v>872</v>
      </c>
      <c r="C7" s="611"/>
      <c r="D7" s="577"/>
      <c r="E7" s="577"/>
      <c r="F7" s="577"/>
      <c r="G7" s="577">
        <v>3.3714285714285648E-2</v>
      </c>
      <c r="H7" s="577">
        <v>3.433928571428569E-2</v>
      </c>
      <c r="I7" s="577">
        <v>4.9198011904761828E-2</v>
      </c>
      <c r="J7" s="577"/>
      <c r="K7" s="577"/>
      <c r="L7" s="577"/>
      <c r="M7" s="9"/>
      <c r="N7" s="729"/>
      <c r="O7" s="617" t="s">
        <v>872</v>
      </c>
      <c r="P7" s="582"/>
      <c r="Q7" s="678"/>
      <c r="R7" s="569"/>
      <c r="S7" s="678"/>
      <c r="T7" s="569"/>
      <c r="U7" s="678"/>
      <c r="V7" s="569"/>
      <c r="W7" s="678"/>
      <c r="X7" s="582">
        <f t="shared" ref="X7" si="1">G7/$G$1</f>
        <v>0.64537433210902018</v>
      </c>
      <c r="Y7" s="678">
        <f t="shared" ref="Y7" si="2">1/G7</f>
        <v>29.6610169491526</v>
      </c>
      <c r="Z7" s="569">
        <f t="shared" ref="Z7" si="3">H7/$H$1</f>
        <v>0.42829779651957089</v>
      </c>
      <c r="AA7" s="678">
        <f t="shared" ref="AA7" si="4">1/H7</f>
        <v>29.121164846593885</v>
      </c>
      <c r="AB7" s="569">
        <f t="shared" ref="AB7" si="5">I7/$I$1</f>
        <v>0.84880118008835015</v>
      </c>
      <c r="AC7" s="678">
        <f t="shared" ref="AC7" si="6">1/I7</f>
        <v>20.326024594973745</v>
      </c>
      <c r="AD7" s="582"/>
      <c r="AE7" s="582"/>
      <c r="AF7" s="582"/>
      <c r="AG7" s="680"/>
    </row>
    <row r="8" spans="1:33" x14ac:dyDescent="0.25">
      <c r="A8" s="727"/>
      <c r="B8" s="573" t="s">
        <v>838</v>
      </c>
      <c r="C8" s="611"/>
      <c r="D8" s="577"/>
      <c r="E8" s="577"/>
      <c r="F8" s="577"/>
      <c r="G8" s="577"/>
      <c r="H8" s="577"/>
      <c r="I8" s="577"/>
      <c r="J8" s="577"/>
      <c r="K8" s="577"/>
      <c r="L8" s="577"/>
      <c r="M8" s="9"/>
      <c r="N8" s="729"/>
      <c r="O8" s="617" t="s">
        <v>838</v>
      </c>
      <c r="P8" s="582"/>
      <c r="Q8" s="678"/>
      <c r="R8" s="569"/>
      <c r="S8" s="678"/>
      <c r="T8" s="569"/>
      <c r="U8" s="678"/>
      <c r="V8" s="569"/>
      <c r="W8" s="678"/>
      <c r="X8" s="582"/>
      <c r="Y8" s="678"/>
      <c r="Z8" s="569"/>
      <c r="AA8" s="678"/>
      <c r="AB8" s="569"/>
      <c r="AC8" s="678"/>
      <c r="AD8" s="582"/>
      <c r="AE8" s="680"/>
      <c r="AF8" s="582"/>
      <c r="AG8" s="680"/>
    </row>
    <row r="9" spans="1:33" x14ac:dyDescent="0.25">
      <c r="A9" s="727"/>
      <c r="B9" s="585" t="s">
        <v>0</v>
      </c>
      <c r="C9" s="612"/>
      <c r="D9" s="568"/>
      <c r="E9" s="568"/>
      <c r="F9" s="568"/>
      <c r="G9" s="568"/>
      <c r="H9" s="568"/>
      <c r="I9" s="568"/>
      <c r="J9" s="568"/>
      <c r="K9" s="568"/>
      <c r="L9" s="568"/>
      <c r="M9" s="9"/>
      <c r="N9" s="729"/>
      <c r="O9" s="617" t="s">
        <v>0</v>
      </c>
      <c r="P9" s="583"/>
      <c r="Q9" s="679"/>
      <c r="R9" s="570"/>
      <c r="S9" s="679"/>
      <c r="T9" s="570"/>
      <c r="U9" s="679"/>
      <c r="V9" s="570"/>
      <c r="W9" s="679"/>
      <c r="X9" s="583"/>
      <c r="Y9" s="679"/>
      <c r="Z9" s="570"/>
      <c r="AA9" s="570"/>
      <c r="AB9" s="570"/>
      <c r="AC9" s="570"/>
      <c r="AD9" s="583" t="e">
        <f>J9/$J$1</f>
        <v>#DIV/0!</v>
      </c>
      <c r="AE9" s="682" t="e">
        <f>1/J9</f>
        <v>#DIV/0!</v>
      </c>
      <c r="AF9" s="583">
        <f>K9/$K$1</f>
        <v>0</v>
      </c>
      <c r="AG9" s="682" t="e">
        <f>1/K9</f>
        <v>#DIV/0!</v>
      </c>
    </row>
    <row r="10" spans="1:33" x14ac:dyDescent="0.25">
      <c r="A10" s="728" t="s">
        <v>868</v>
      </c>
      <c r="B10" s="574" t="s">
        <v>820</v>
      </c>
      <c r="C10" s="616">
        <v>4.0980247552447779E-2</v>
      </c>
      <c r="D10" s="590">
        <v>7.0304873926074096E-2</v>
      </c>
      <c r="E10" s="590">
        <v>4.0579372027972196E-2</v>
      </c>
      <c r="F10" s="590"/>
      <c r="G10" s="590"/>
      <c r="H10" s="590"/>
      <c r="I10" s="590"/>
      <c r="J10" s="590">
        <v>0</v>
      </c>
      <c r="K10" s="590">
        <v>3.0871978021978067E-2</v>
      </c>
      <c r="L10" s="590"/>
      <c r="M10" s="9"/>
      <c r="N10" s="730" t="s">
        <v>868</v>
      </c>
      <c r="O10" s="618" t="s">
        <v>820</v>
      </c>
      <c r="P10" s="582">
        <f>C10/$C$1</f>
        <v>0.53540241736066307</v>
      </c>
      <c r="Q10" s="677">
        <f>1/C10</f>
        <v>24.40199998109258</v>
      </c>
      <c r="R10" s="581">
        <f>D10/$D$1</f>
        <v>0.73875192766788012</v>
      </c>
      <c r="S10" s="677">
        <f>1/D10</f>
        <v>14.223764927755999</v>
      </c>
      <c r="T10" s="581">
        <f>E10/$E$1</f>
        <v>0.40118420632996138</v>
      </c>
      <c r="U10" s="677">
        <f>1/E10</f>
        <v>24.643062472989463</v>
      </c>
      <c r="V10" s="569"/>
      <c r="W10" s="678"/>
      <c r="X10" s="582"/>
      <c r="Y10" s="678"/>
      <c r="Z10" s="569"/>
      <c r="AA10" s="569"/>
      <c r="AB10" s="569"/>
      <c r="AC10" s="569"/>
      <c r="AD10" s="582"/>
      <c r="AE10" s="569"/>
      <c r="AF10" s="569">
        <f>K10/K1</f>
        <v>0.85228433885796195</v>
      </c>
      <c r="AG10" s="678"/>
    </row>
    <row r="11" spans="1:33" x14ac:dyDescent="0.25">
      <c r="A11" s="727"/>
      <c r="B11" s="573" t="s">
        <v>819</v>
      </c>
      <c r="C11" s="611"/>
      <c r="D11" s="577"/>
      <c r="E11" s="577"/>
      <c r="F11" s="577">
        <v>5.1022557865187314E-2</v>
      </c>
      <c r="G11" s="577"/>
      <c r="H11" s="577"/>
      <c r="I11" s="577"/>
      <c r="J11" s="577"/>
      <c r="K11" s="577"/>
      <c r="L11" s="577"/>
      <c r="M11" s="9"/>
      <c r="N11" s="729"/>
      <c r="O11" s="617" t="s">
        <v>819</v>
      </c>
      <c r="P11" s="582"/>
      <c r="Q11" s="678"/>
      <c r="R11" s="569"/>
      <c r="S11" s="678"/>
      <c r="T11" s="569"/>
      <c r="U11" s="678"/>
      <c r="V11" s="569">
        <f>F11/F1</f>
        <v>0.97098955822045196</v>
      </c>
      <c r="W11" s="678">
        <f>1/F11</f>
        <v>19.599174205303804</v>
      </c>
      <c r="X11" s="582"/>
      <c r="Y11" s="678"/>
      <c r="Z11" s="569"/>
      <c r="AA11" s="569"/>
      <c r="AB11" s="569"/>
      <c r="AC11" s="569"/>
      <c r="AD11" s="582"/>
      <c r="AE11" s="569"/>
      <c r="AF11" s="569"/>
      <c r="AG11" s="678"/>
    </row>
    <row r="12" spans="1:33" x14ac:dyDescent="0.25">
      <c r="A12" s="727"/>
      <c r="B12" s="573" t="s">
        <v>871</v>
      </c>
      <c r="C12" s="611"/>
      <c r="D12" s="577"/>
      <c r="E12" s="577"/>
      <c r="F12" s="577"/>
      <c r="G12" s="577">
        <v>4.2215952380952187E-2</v>
      </c>
      <c r="H12" s="577">
        <v>6.617364468864452E-2</v>
      </c>
      <c r="I12" s="577">
        <v>0</v>
      </c>
      <c r="J12" s="577"/>
      <c r="K12" s="577"/>
      <c r="L12" s="577"/>
      <c r="M12" s="9"/>
      <c r="N12" s="729"/>
      <c r="O12" s="617" t="s">
        <v>871</v>
      </c>
      <c r="P12" s="582"/>
      <c r="Q12" s="678"/>
      <c r="R12" s="569"/>
      <c r="S12" s="678"/>
      <c r="T12" s="569"/>
      <c r="U12" s="678"/>
      <c r="V12" s="569"/>
      <c r="W12" s="678"/>
      <c r="X12" s="582">
        <f t="shared" ref="X12:X13" si="7">G12/$G$1</f>
        <v>0.80811713773484284</v>
      </c>
      <c r="Y12" s="678">
        <f t="shared" ref="Y12:Y13" si="8">1/G12</f>
        <v>23.687728064881924</v>
      </c>
      <c r="Z12" s="569">
        <f t="shared" ref="Z12:Z13" si="9">H12/$H$1</f>
        <v>0.82535281728427801</v>
      </c>
      <c r="AA12" s="678">
        <f t="shared" ref="AA12:AA13" si="10">1/H12</f>
        <v>15.111756420628305</v>
      </c>
      <c r="AB12" s="569">
        <f t="shared" ref="AB12:AB13" si="11">I12/$I$1</f>
        <v>0</v>
      </c>
      <c r="AC12" s="678"/>
      <c r="AD12" s="582"/>
      <c r="AE12" s="569"/>
      <c r="AF12" s="569"/>
      <c r="AG12" s="678"/>
    </row>
    <row r="13" spans="1:33" x14ac:dyDescent="0.25">
      <c r="A13" s="727"/>
      <c r="B13" s="573" t="s">
        <v>872</v>
      </c>
      <c r="C13" s="611"/>
      <c r="D13" s="577"/>
      <c r="E13" s="577"/>
      <c r="F13" s="577"/>
      <c r="G13" s="577">
        <v>3.8151785714285652E-2</v>
      </c>
      <c r="H13" s="577">
        <v>3.8776785714285687E-2</v>
      </c>
      <c r="I13" s="577">
        <v>5.7961761904761842E-2</v>
      </c>
      <c r="J13" s="577"/>
      <c r="K13" s="577"/>
      <c r="L13" s="577"/>
      <c r="M13" s="9"/>
      <c r="N13" s="729"/>
      <c r="O13" s="617" t="s">
        <v>872</v>
      </c>
      <c r="P13" s="582"/>
      <c r="Q13" s="678"/>
      <c r="R13" s="569"/>
      <c r="S13" s="678"/>
      <c r="T13" s="569"/>
      <c r="U13" s="678"/>
      <c r="V13" s="569"/>
      <c r="W13" s="678"/>
      <c r="X13" s="582">
        <f t="shared" si="7"/>
        <v>0.73031899393586974</v>
      </c>
      <c r="Y13" s="678">
        <f t="shared" si="8"/>
        <v>26.211092908963302</v>
      </c>
      <c r="Z13" s="569">
        <f t="shared" si="9"/>
        <v>0.48364465166003551</v>
      </c>
      <c r="AA13" s="678">
        <f t="shared" si="10"/>
        <v>25.788625374165342</v>
      </c>
      <c r="AB13" s="569">
        <f t="shared" si="11"/>
        <v>1</v>
      </c>
      <c r="AC13" s="678">
        <f t="shared" ref="AC13" si="12">1/I13</f>
        <v>17.252753662718543</v>
      </c>
      <c r="AD13" s="582"/>
      <c r="AE13" s="569"/>
      <c r="AF13" s="569"/>
      <c r="AG13" s="678"/>
    </row>
    <row r="14" spans="1:33" x14ac:dyDescent="0.25">
      <c r="A14" s="727"/>
      <c r="B14" s="573" t="s">
        <v>838</v>
      </c>
      <c r="C14" s="611"/>
      <c r="D14" s="577"/>
      <c r="E14" s="577"/>
      <c r="F14" s="577"/>
      <c r="G14" s="577"/>
      <c r="H14" s="577"/>
      <c r="I14" s="577"/>
      <c r="J14" s="577"/>
      <c r="K14" s="577"/>
      <c r="L14" s="577"/>
      <c r="M14" s="9"/>
      <c r="N14" s="729"/>
      <c r="O14" s="617" t="s">
        <v>838</v>
      </c>
      <c r="P14" s="582"/>
      <c r="Q14" s="678"/>
      <c r="R14" s="569"/>
      <c r="S14" s="678"/>
      <c r="T14" s="569"/>
      <c r="U14" s="678"/>
      <c r="V14" s="569"/>
      <c r="W14" s="678"/>
      <c r="X14" s="582"/>
      <c r="Y14" s="678"/>
      <c r="Z14" s="569"/>
      <c r="AA14" s="678"/>
      <c r="AB14" s="569"/>
      <c r="AC14" s="678"/>
      <c r="AD14" s="582"/>
      <c r="AE14" s="680"/>
      <c r="AF14" s="582"/>
      <c r="AG14" s="680"/>
    </row>
    <row r="15" spans="1:33" x14ac:dyDescent="0.25">
      <c r="A15" s="727"/>
      <c r="B15" s="585" t="s">
        <v>0</v>
      </c>
      <c r="C15" s="612"/>
      <c r="D15" s="568"/>
      <c r="E15" s="568"/>
      <c r="F15" s="568"/>
      <c r="G15" s="568"/>
      <c r="H15" s="568"/>
      <c r="I15" s="568"/>
      <c r="J15" s="568"/>
      <c r="K15" s="568"/>
      <c r="L15" s="568"/>
      <c r="M15" s="9"/>
      <c r="N15" s="729"/>
      <c r="O15" s="617" t="s">
        <v>0</v>
      </c>
      <c r="P15" s="583"/>
      <c r="Q15" s="679"/>
      <c r="R15" s="570"/>
      <c r="S15" s="679"/>
      <c r="T15" s="570"/>
      <c r="U15" s="679"/>
      <c r="V15" s="570"/>
      <c r="W15" s="679"/>
      <c r="X15" s="583"/>
      <c r="Y15" s="679"/>
      <c r="Z15" s="570"/>
      <c r="AA15" s="570"/>
      <c r="AB15" s="570"/>
      <c r="AC15" s="570"/>
      <c r="AD15" s="583" t="e">
        <f>J15/$J$1</f>
        <v>#DIV/0!</v>
      </c>
      <c r="AE15" s="682" t="e">
        <f>1/J15</f>
        <v>#DIV/0!</v>
      </c>
      <c r="AF15" s="583">
        <f>K15/$K$1</f>
        <v>0</v>
      </c>
      <c r="AG15" s="682" t="e">
        <f>1/K15</f>
        <v>#DIV/0!</v>
      </c>
    </row>
    <row r="16" spans="1:33" x14ac:dyDescent="0.25">
      <c r="A16" s="728" t="s">
        <v>869</v>
      </c>
      <c r="B16" s="574" t="s">
        <v>820</v>
      </c>
      <c r="C16" s="611">
        <v>5.8181020779221264E-2</v>
      </c>
      <c r="D16" s="577">
        <v>7.6807093706293558E-2</v>
      </c>
      <c r="E16" s="577">
        <v>6.6148976923077044E-2</v>
      </c>
      <c r="F16" s="577"/>
      <c r="G16" s="577"/>
      <c r="H16" s="577"/>
      <c r="I16" s="577"/>
      <c r="J16" s="577">
        <v>0</v>
      </c>
      <c r="K16" s="577">
        <v>2.9990859140859215E-2</v>
      </c>
      <c r="L16" s="577">
        <v>4.1477272727272974E-2</v>
      </c>
      <c r="M16" s="9"/>
      <c r="N16" s="730" t="s">
        <v>869</v>
      </c>
      <c r="O16" s="618" t="s">
        <v>820</v>
      </c>
      <c r="P16" s="582">
        <f>C16/$C$1</f>
        <v>0.76012862367019574</v>
      </c>
      <c r="Q16" s="677">
        <f>1/C16</f>
        <v>17.18773556405424</v>
      </c>
      <c r="R16" s="581">
        <f>D16/$D$1</f>
        <v>0.80707617218339234</v>
      </c>
      <c r="S16" s="677">
        <f>1/D16</f>
        <v>13.019630762543228</v>
      </c>
      <c r="T16" s="581">
        <f>E16/$E$1</f>
        <v>0.65397573890819349</v>
      </c>
      <c r="U16" s="677">
        <f>1/E16</f>
        <v>15.117391780115881</v>
      </c>
      <c r="V16" s="569"/>
      <c r="W16" s="678"/>
      <c r="X16" s="569"/>
      <c r="Y16" s="678"/>
      <c r="Z16" s="569"/>
      <c r="AA16" s="569"/>
      <c r="AB16" s="569"/>
      <c r="AC16" s="569"/>
      <c r="AD16" s="569"/>
      <c r="AE16" s="569"/>
      <c r="AF16" s="569">
        <f>K16/K1</f>
        <v>0.827959243053766</v>
      </c>
      <c r="AG16" s="678"/>
    </row>
    <row r="17" spans="1:33" x14ac:dyDescent="0.25">
      <c r="A17" s="727"/>
      <c r="B17" s="573" t="s">
        <v>819</v>
      </c>
      <c r="C17" s="611"/>
      <c r="D17" s="577"/>
      <c r="E17" s="577"/>
      <c r="F17" s="577">
        <v>4.2273232055429683E-2</v>
      </c>
      <c r="G17" s="577"/>
      <c r="H17" s="577"/>
      <c r="I17" s="577"/>
      <c r="J17" s="577"/>
      <c r="K17" s="577"/>
      <c r="L17" s="577"/>
      <c r="M17" s="9"/>
      <c r="N17" s="729"/>
      <c r="O17" s="617" t="s">
        <v>819</v>
      </c>
      <c r="P17" s="582"/>
      <c r="Q17" s="678"/>
      <c r="R17" s="569"/>
      <c r="S17" s="678"/>
      <c r="T17" s="569"/>
      <c r="U17" s="678"/>
      <c r="V17" s="569">
        <f>F17/F1</f>
        <v>0.80448469530882905</v>
      </c>
      <c r="W17" s="678">
        <f>1/F17</f>
        <v>23.655631504323487</v>
      </c>
      <c r="X17" s="569"/>
      <c r="Y17" s="678"/>
      <c r="Z17" s="569"/>
      <c r="AA17" s="569"/>
      <c r="AB17" s="569"/>
      <c r="AC17" s="569"/>
      <c r="AD17" s="569"/>
      <c r="AE17" s="569"/>
      <c r="AF17" s="569"/>
      <c r="AG17" s="678"/>
    </row>
    <row r="18" spans="1:33" x14ac:dyDescent="0.25">
      <c r="A18" s="727"/>
      <c r="B18" s="573" t="s">
        <v>871</v>
      </c>
      <c r="C18" s="611"/>
      <c r="D18" s="577"/>
      <c r="E18" s="577"/>
      <c r="F18" s="577"/>
      <c r="G18" s="577">
        <v>5.2239892473118138E-2</v>
      </c>
      <c r="H18" s="577">
        <v>8.0176190476190248E-2</v>
      </c>
      <c r="I18" s="577">
        <v>0</v>
      </c>
      <c r="J18" s="577"/>
      <c r="K18" s="577"/>
      <c r="L18" s="577"/>
      <c r="M18" s="9"/>
      <c r="N18" s="729"/>
      <c r="O18" s="617" t="s">
        <v>871</v>
      </c>
      <c r="P18" s="582"/>
      <c r="Q18" s="678"/>
      <c r="R18" s="569"/>
      <c r="S18" s="678"/>
      <c r="T18" s="569"/>
      <c r="U18" s="678"/>
      <c r="V18" s="569"/>
      <c r="W18" s="678"/>
      <c r="X18" s="569">
        <f t="shared" ref="X18:X19" si="13">G18/$G$1</f>
        <v>1</v>
      </c>
      <c r="Y18" s="678">
        <f t="shared" ref="Y18:Y19" si="14">1/G18</f>
        <v>19.142459003233686</v>
      </c>
      <c r="Z18" s="569">
        <f t="shared" ref="Z18:Z19" si="15">H18/$H$1</f>
        <v>1</v>
      </c>
      <c r="AA18" s="678">
        <f t="shared" ref="AA18:AA19" si="16">1/H18</f>
        <v>12.472530735879349</v>
      </c>
      <c r="AB18" s="569">
        <f t="shared" ref="AB18:AB19" si="17">I18/$I$1</f>
        <v>0</v>
      </c>
      <c r="AC18" s="678"/>
      <c r="AD18" s="569"/>
      <c r="AE18" s="569"/>
      <c r="AF18" s="569"/>
      <c r="AG18" s="678"/>
    </row>
    <row r="19" spans="1:33" x14ac:dyDescent="0.25">
      <c r="A19" s="727"/>
      <c r="B19" s="573" t="s">
        <v>872</v>
      </c>
      <c r="C19" s="611"/>
      <c r="D19" s="577"/>
      <c r="E19" s="577"/>
      <c r="F19" s="577"/>
      <c r="G19" s="577">
        <v>2.5968749999999961E-2</v>
      </c>
      <c r="H19" s="577">
        <v>2.5281249999999998E-2</v>
      </c>
      <c r="I19" s="577">
        <v>3.0639083333333313E-2</v>
      </c>
      <c r="J19" s="577"/>
      <c r="K19" s="577"/>
      <c r="L19" s="577">
        <v>0.1339285714285714</v>
      </c>
      <c r="M19" s="688">
        <f>1/L19</f>
        <v>7.4666666666666686</v>
      </c>
      <c r="N19" s="729"/>
      <c r="O19" s="617" t="s">
        <v>872</v>
      </c>
      <c r="P19" s="582"/>
      <c r="Q19" s="678"/>
      <c r="R19" s="569"/>
      <c r="S19" s="678"/>
      <c r="T19" s="569"/>
      <c r="U19" s="678"/>
      <c r="V19" s="569"/>
      <c r="W19" s="678"/>
      <c r="X19" s="569">
        <f t="shared" si="13"/>
        <v>0.49710573224022403</v>
      </c>
      <c r="Y19" s="678">
        <f t="shared" si="14"/>
        <v>38.507821901323766</v>
      </c>
      <c r="Z19" s="569">
        <f t="shared" si="15"/>
        <v>0.31532116766644974</v>
      </c>
      <c r="AA19" s="678">
        <f t="shared" si="16"/>
        <v>39.555006180469718</v>
      </c>
      <c r="AB19" s="569">
        <f t="shared" si="17"/>
        <v>0.52860855720150501</v>
      </c>
      <c r="AC19" s="678">
        <f t="shared" ref="AC19" si="18">1/I19</f>
        <v>32.63805216104705</v>
      </c>
      <c r="AD19" s="569"/>
      <c r="AE19" s="569"/>
      <c r="AF19" s="569"/>
      <c r="AG19" s="678"/>
    </row>
    <row r="20" spans="1:33" x14ac:dyDescent="0.25">
      <c r="A20" s="727"/>
      <c r="B20" s="573" t="s">
        <v>838</v>
      </c>
      <c r="C20" s="611"/>
      <c r="D20" s="577"/>
      <c r="E20" s="577"/>
      <c r="F20" s="577"/>
      <c r="G20" s="577"/>
      <c r="H20" s="577"/>
      <c r="I20" s="577"/>
      <c r="J20" s="577"/>
      <c r="K20" s="577"/>
      <c r="L20" s="577"/>
      <c r="M20" s="9"/>
      <c r="N20" s="729"/>
      <c r="O20" s="617" t="s">
        <v>838</v>
      </c>
      <c r="P20" s="582"/>
      <c r="Q20" s="678"/>
      <c r="R20" s="569"/>
      <c r="S20" s="678"/>
      <c r="T20" s="569"/>
      <c r="U20" s="678"/>
      <c r="V20" s="569"/>
      <c r="W20" s="678"/>
      <c r="X20" s="569"/>
      <c r="Y20" s="678"/>
      <c r="Z20" s="569"/>
      <c r="AA20" s="678"/>
      <c r="AB20" s="569"/>
      <c r="AC20" s="678"/>
      <c r="AD20" s="569"/>
      <c r="AE20" s="680"/>
      <c r="AF20" s="582"/>
      <c r="AG20" s="680"/>
    </row>
    <row r="21" spans="1:33" x14ac:dyDescent="0.25">
      <c r="A21" s="727"/>
      <c r="B21" s="585" t="s">
        <v>0</v>
      </c>
      <c r="C21" s="611"/>
      <c r="D21" s="577"/>
      <c r="E21" s="577"/>
      <c r="F21" s="577"/>
      <c r="G21" s="577"/>
      <c r="H21" s="577"/>
      <c r="I21" s="577"/>
      <c r="J21" s="577"/>
      <c r="K21" s="577"/>
      <c r="L21" s="577"/>
      <c r="M21" s="9"/>
      <c r="N21" s="729"/>
      <c r="O21" s="617" t="s">
        <v>0</v>
      </c>
      <c r="P21" s="583"/>
      <c r="Q21" s="679"/>
      <c r="R21" s="570"/>
      <c r="S21" s="679"/>
      <c r="T21" s="570"/>
      <c r="U21" s="679"/>
      <c r="V21" s="570"/>
      <c r="W21" s="679"/>
      <c r="X21" s="570"/>
      <c r="Y21" s="679"/>
      <c r="Z21" s="570"/>
      <c r="AA21" s="570"/>
      <c r="AB21" s="570"/>
      <c r="AC21" s="569"/>
      <c r="AD21" s="569" t="e">
        <f>J21/$J$1</f>
        <v>#DIV/0!</v>
      </c>
      <c r="AE21" s="682" t="e">
        <f>1/J21</f>
        <v>#DIV/0!</v>
      </c>
      <c r="AF21" s="583">
        <f>K21/$K$1</f>
        <v>0</v>
      </c>
      <c r="AG21" s="682" t="e">
        <f>1/K21</f>
        <v>#DIV/0!</v>
      </c>
    </row>
    <row r="22" spans="1:33" x14ac:dyDescent="0.25">
      <c r="A22" s="728" t="s">
        <v>870</v>
      </c>
      <c r="B22" s="588" t="s">
        <v>820</v>
      </c>
      <c r="C22" s="616">
        <v>7.6541020779221203E-2</v>
      </c>
      <c r="D22" s="590">
        <v>9.516709370629349E-2</v>
      </c>
      <c r="E22" s="590">
        <v>0.10114897692307692</v>
      </c>
      <c r="F22" s="590"/>
      <c r="G22" s="590"/>
      <c r="H22" s="590"/>
      <c r="I22" s="590"/>
      <c r="J22" s="590">
        <v>0</v>
      </c>
      <c r="K22" s="590">
        <v>3.3705144855144913E-2</v>
      </c>
      <c r="L22" s="590">
        <v>5.9334415584415767E-2</v>
      </c>
      <c r="M22" s="9"/>
      <c r="N22" s="730" t="s">
        <v>870</v>
      </c>
      <c r="O22" s="618" t="s">
        <v>820</v>
      </c>
      <c r="P22" s="582">
        <f>C22/$C$1</f>
        <v>1</v>
      </c>
      <c r="Q22" s="677">
        <f>1/C22</f>
        <v>13.064889778311823</v>
      </c>
      <c r="R22" s="581">
        <f>D22/$D$1</f>
        <v>1</v>
      </c>
      <c r="S22" s="677">
        <f>1/D22</f>
        <v>10.507833759074531</v>
      </c>
      <c r="T22" s="581">
        <f>E22/$E$1</f>
        <v>1</v>
      </c>
      <c r="U22" s="684">
        <f>1/E22</f>
        <v>9.8864074597659339</v>
      </c>
      <c r="V22" s="672"/>
      <c r="W22" s="681"/>
      <c r="X22" s="582"/>
      <c r="Y22" s="678"/>
      <c r="Z22" s="569"/>
      <c r="AA22" s="569"/>
      <c r="AB22" s="582"/>
      <c r="AC22" s="580"/>
      <c r="AD22" s="580"/>
      <c r="AE22" s="569"/>
      <c r="AF22" s="569">
        <f>K22/K1</f>
        <v>0.93049972627372424</v>
      </c>
      <c r="AG22" s="678"/>
    </row>
    <row r="23" spans="1:33" x14ac:dyDescent="0.25">
      <c r="A23" s="727"/>
      <c r="B23" s="589" t="s">
        <v>819</v>
      </c>
      <c r="C23" s="611"/>
      <c r="D23" s="577"/>
      <c r="E23" s="577"/>
      <c r="F23" s="577">
        <v>4.3797642829840472E-2</v>
      </c>
      <c r="G23" s="577"/>
      <c r="H23" s="577"/>
      <c r="I23" s="577"/>
      <c r="J23" s="577"/>
      <c r="K23" s="577"/>
      <c r="L23" s="577"/>
      <c r="M23" s="9"/>
      <c r="N23" s="729"/>
      <c r="O23" s="617" t="s">
        <v>819</v>
      </c>
      <c r="P23" s="582"/>
      <c r="Q23" s="678"/>
      <c r="R23" s="569"/>
      <c r="S23" s="678"/>
      <c r="T23" s="569"/>
      <c r="U23" s="685"/>
      <c r="V23" s="673">
        <f>F23/F1</f>
        <v>0.83349513708837697</v>
      </c>
      <c r="W23" s="680">
        <f>1/F23</f>
        <v>22.832278985541066</v>
      </c>
      <c r="X23" s="582"/>
      <c r="Y23" s="678"/>
      <c r="Z23" s="569"/>
      <c r="AA23" s="569"/>
      <c r="AB23" s="582"/>
      <c r="AC23" s="582"/>
      <c r="AD23" s="582"/>
      <c r="AE23" s="569"/>
      <c r="AF23" s="569"/>
      <c r="AG23" s="678"/>
    </row>
    <row r="24" spans="1:33" x14ac:dyDescent="0.25">
      <c r="A24" s="727"/>
      <c r="B24" s="589" t="s">
        <v>871</v>
      </c>
      <c r="C24" s="611"/>
      <c r="D24" s="577"/>
      <c r="E24" s="577"/>
      <c r="F24" s="577"/>
      <c r="G24" s="577">
        <v>4.8379892473118219E-2</v>
      </c>
      <c r="H24" s="577">
        <v>7.5159999999999741E-2</v>
      </c>
      <c r="I24" s="577">
        <v>0</v>
      </c>
      <c r="J24" s="577"/>
      <c r="K24" s="577"/>
      <c r="L24" s="577"/>
      <c r="M24" s="9"/>
      <c r="N24" s="729"/>
      <c r="O24" s="617" t="s">
        <v>871</v>
      </c>
      <c r="P24" s="582"/>
      <c r="Q24" s="678"/>
      <c r="R24" s="569"/>
      <c r="S24" s="678"/>
      <c r="T24" s="569"/>
      <c r="U24" s="685"/>
      <c r="V24" s="673"/>
      <c r="W24" s="680"/>
      <c r="X24" s="582">
        <f t="shared" ref="X24:X25" si="19">G24/$G$1</f>
        <v>0.92611010824751949</v>
      </c>
      <c r="Y24" s="678">
        <f t="shared" ref="Y24:Y25" si="20">1/G24</f>
        <v>20.669744161908575</v>
      </c>
      <c r="Z24" s="569">
        <f t="shared" ref="Z24:Z25" si="21">H24/$H$1</f>
        <v>0.93743541010868858</v>
      </c>
      <c r="AA24" s="678">
        <f t="shared" ref="AA24:AA25" si="22">1/H24</f>
        <v>13.30494944119217</v>
      </c>
      <c r="AB24" s="569">
        <f t="shared" ref="AB24:AB25" si="23">I24/$I$1</f>
        <v>0</v>
      </c>
      <c r="AC24" s="680"/>
      <c r="AD24" s="582"/>
      <c r="AE24" s="569"/>
      <c r="AF24" s="569"/>
      <c r="AG24" s="678"/>
    </row>
    <row r="25" spans="1:33" x14ac:dyDescent="0.25">
      <c r="A25" s="727"/>
      <c r="B25" s="589" t="s">
        <v>872</v>
      </c>
      <c r="C25" s="611"/>
      <c r="D25" s="577"/>
      <c r="E25" s="577"/>
      <c r="F25" s="577"/>
      <c r="G25" s="577">
        <v>2.3874999999999962E-2</v>
      </c>
      <c r="H25" s="577">
        <v>2.31875E-2</v>
      </c>
      <c r="I25" s="577">
        <v>2.7005333333333312E-2</v>
      </c>
      <c r="J25" s="577"/>
      <c r="K25" s="577"/>
      <c r="L25" s="577">
        <v>0.16964285714285698</v>
      </c>
      <c r="M25" s="688">
        <f>1/L25</f>
        <v>5.894736842105269</v>
      </c>
      <c r="N25" s="729"/>
      <c r="O25" s="617" t="s">
        <v>872</v>
      </c>
      <c r="P25" s="582"/>
      <c r="Q25" s="678"/>
      <c r="R25" s="569"/>
      <c r="S25" s="678"/>
      <c r="T25" s="569"/>
      <c r="U25" s="685"/>
      <c r="V25" s="673"/>
      <c r="W25" s="680"/>
      <c r="X25" s="582">
        <f t="shared" si="19"/>
        <v>0.45702620870220356</v>
      </c>
      <c r="Y25" s="678">
        <f t="shared" si="20"/>
        <v>41.884816753926771</v>
      </c>
      <c r="Z25" s="569">
        <f t="shared" si="21"/>
        <v>0.2892068064382024</v>
      </c>
      <c r="AA25" s="678">
        <f t="shared" si="22"/>
        <v>43.126684636118597</v>
      </c>
      <c r="AB25" s="569">
        <f t="shared" si="23"/>
        <v>0.46591636357960148</v>
      </c>
      <c r="AC25" s="680">
        <f t="shared" ref="AC25" si="24">1/I25</f>
        <v>37.029722523945914</v>
      </c>
      <c r="AD25" s="582"/>
      <c r="AE25" s="569"/>
      <c r="AF25" s="569"/>
      <c r="AG25" s="678"/>
    </row>
    <row r="26" spans="1:33" x14ac:dyDescent="0.25">
      <c r="A26" s="727"/>
      <c r="B26" s="589" t="s">
        <v>838</v>
      </c>
      <c r="C26" s="611"/>
      <c r="D26" s="577"/>
      <c r="E26" s="577"/>
      <c r="F26" s="577"/>
      <c r="G26" s="577"/>
      <c r="H26" s="577"/>
      <c r="I26" s="577"/>
      <c r="J26" s="577"/>
      <c r="K26" s="577"/>
      <c r="L26" s="577"/>
      <c r="M26" s="9"/>
      <c r="N26" s="729"/>
      <c r="O26" s="617" t="s">
        <v>838</v>
      </c>
      <c r="P26" s="582"/>
      <c r="Q26" s="678"/>
      <c r="R26" s="569"/>
      <c r="S26" s="678"/>
      <c r="T26" s="569"/>
      <c r="U26" s="685"/>
      <c r="V26" s="673"/>
      <c r="W26" s="582"/>
      <c r="X26" s="582"/>
      <c r="Y26" s="678"/>
      <c r="Z26" s="569"/>
      <c r="AA26" s="678"/>
      <c r="AB26" s="569"/>
      <c r="AC26" s="680"/>
      <c r="AD26" s="582"/>
      <c r="AE26" s="680"/>
      <c r="AF26" s="582"/>
      <c r="AG26" s="680"/>
    </row>
    <row r="27" spans="1:33" x14ac:dyDescent="0.25">
      <c r="A27" s="727"/>
      <c r="B27" s="585" t="s">
        <v>0</v>
      </c>
      <c r="C27" s="612"/>
      <c r="D27" s="568"/>
      <c r="E27" s="568"/>
      <c r="F27" s="568"/>
      <c r="G27" s="568"/>
      <c r="H27" s="568"/>
      <c r="I27" s="568"/>
      <c r="J27" s="568"/>
      <c r="K27" s="568"/>
      <c r="L27" s="568"/>
      <c r="M27" s="9"/>
      <c r="N27" s="729"/>
      <c r="O27" s="617" t="s">
        <v>0</v>
      </c>
      <c r="P27" s="583"/>
      <c r="Q27" s="679"/>
      <c r="R27" s="570"/>
      <c r="S27" s="679"/>
      <c r="T27" s="570"/>
      <c r="U27" s="686"/>
      <c r="V27" s="674"/>
      <c r="W27" s="583"/>
      <c r="X27" s="583"/>
      <c r="Y27" s="679"/>
      <c r="Z27" s="570"/>
      <c r="AA27" s="570"/>
      <c r="AB27" s="583"/>
      <c r="AC27" s="583"/>
      <c r="AD27" s="583" t="e">
        <f>J27/$J$1</f>
        <v>#DIV/0!</v>
      </c>
      <c r="AE27" s="682" t="e">
        <f>1/J27</f>
        <v>#DIV/0!</v>
      </c>
      <c r="AF27" s="583">
        <f>K27/$K$1</f>
        <v>0</v>
      </c>
      <c r="AG27" s="682" t="e">
        <f>1/K27</f>
        <v>#DIV/0!</v>
      </c>
    </row>
    <row r="28" spans="1:33" x14ac:dyDescent="0.25">
      <c r="Q28" s="504"/>
      <c r="S28" s="504"/>
      <c r="U28" s="504"/>
      <c r="AD28" s="9"/>
      <c r="AE28" s="9"/>
      <c r="AF28" s="9"/>
      <c r="AG28" s="9"/>
    </row>
    <row r="29" spans="1:33" x14ac:dyDescent="0.25">
      <c r="Q29" s="504"/>
      <c r="S29" s="504"/>
      <c r="U29" s="504"/>
    </row>
    <row r="30" spans="1:33" x14ac:dyDescent="0.25">
      <c r="B30" s="571" t="s">
        <v>856</v>
      </c>
      <c r="H30" s="667"/>
      <c r="I30" s="667"/>
      <c r="Q30" s="504"/>
      <c r="S30" s="504"/>
      <c r="U30" s="504"/>
    </row>
    <row r="31" spans="1:33" x14ac:dyDescent="0.25">
      <c r="B31" s="572">
        <v>42724</v>
      </c>
      <c r="G31" s="667"/>
      <c r="H31" s="667"/>
      <c r="I31" s="667"/>
      <c r="Q31" s="504"/>
      <c r="S31" s="504"/>
    </row>
    <row r="32" spans="1:33" x14ac:dyDescent="0.25">
      <c r="G32" s="667"/>
      <c r="H32" s="667"/>
      <c r="I32" s="667"/>
      <c r="Q32" s="504"/>
    </row>
    <row r="33" spans="17:17" x14ac:dyDescent="0.25">
      <c r="Q33" s="504"/>
    </row>
    <row r="34" spans="17:17" x14ac:dyDescent="0.25">
      <c r="Q34" s="504"/>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6" t="s">
        <v>316</v>
      </c>
      <c r="C2" s="526" t="s">
        <v>182</v>
      </c>
      <c r="D2" s="526" t="s">
        <v>830</v>
      </c>
      <c r="E2" s="526" t="s">
        <v>1</v>
      </c>
      <c r="F2" s="526" t="s">
        <v>2</v>
      </c>
      <c r="G2" s="526" t="s">
        <v>837</v>
      </c>
      <c r="H2" s="526" t="s">
        <v>66</v>
      </c>
      <c r="I2" s="526" t="s">
        <v>712</v>
      </c>
      <c r="J2" s="526" t="s">
        <v>838</v>
      </c>
      <c r="K2" s="526" t="s">
        <v>0</v>
      </c>
      <c r="M2" s="628">
        <v>352</v>
      </c>
      <c r="N2" s="476" t="s">
        <v>971</v>
      </c>
      <c r="O2" s="48" t="s">
        <v>841</v>
      </c>
      <c r="P2" s="48" t="s">
        <v>972</v>
      </c>
      <c r="Q2" s="48" t="s">
        <v>841</v>
      </c>
      <c r="R2" s="48" t="s">
        <v>65</v>
      </c>
      <c r="S2" s="48" t="s">
        <v>843</v>
      </c>
      <c r="T2" s="48" t="s">
        <v>844</v>
      </c>
      <c r="U2" s="48" t="s">
        <v>843</v>
      </c>
      <c r="V2" s="48" t="s">
        <v>699</v>
      </c>
      <c r="W2" s="48" t="s">
        <v>973</v>
      </c>
      <c r="X2" s="48" t="s">
        <v>974</v>
      </c>
    </row>
    <row r="3" spans="2:25" x14ac:dyDescent="0.25">
      <c r="B3" t="s">
        <v>1</v>
      </c>
      <c r="C3" t="str">
        <f>Evaluacion!A3</f>
        <v>D. Gehmacher</v>
      </c>
      <c r="D3" s="669"/>
      <c r="E3" s="290">
        <f>Evaluacion!K3</f>
        <v>16.666666666666668</v>
      </c>
      <c r="F3" s="290">
        <f>Evaluacion!L3</f>
        <v>11.832727272727276</v>
      </c>
      <c r="G3" s="290">
        <f>Evaluacion!M3</f>
        <v>2.0399999999999991</v>
      </c>
      <c r="H3" s="290">
        <f>Evaluacion!N3</f>
        <v>2.1399999999999992</v>
      </c>
      <c r="I3" s="290">
        <f>Evaluacion!O3</f>
        <v>1.0400000000000003</v>
      </c>
      <c r="J3" s="290">
        <f>Evaluacion!P3</f>
        <v>0.14055555555555557</v>
      </c>
      <c r="K3" s="290">
        <f>Evaluacion!Q3</f>
        <v>17.849999999999998</v>
      </c>
      <c r="M3" t="s">
        <v>1</v>
      </c>
      <c r="N3" s="629">
        <v>1</v>
      </c>
      <c r="O3" s="630">
        <f>Evaluacion!X3</f>
        <v>15.55277058842046</v>
      </c>
      <c r="P3" s="630">
        <f>Evaluacion!Y3</f>
        <v>22.918126477783918</v>
      </c>
      <c r="Q3" s="630">
        <f>Evaluacion!Z3</f>
        <v>15.55277058842046</v>
      </c>
      <c r="R3" s="630">
        <v>0</v>
      </c>
      <c r="S3" s="630">
        <v>0</v>
      </c>
      <c r="T3" s="630">
        <v>0</v>
      </c>
      <c r="U3" s="630">
        <v>0</v>
      </c>
      <c r="V3" s="630">
        <v>0</v>
      </c>
      <c r="W3" s="630">
        <f>Evaluacion!T3</f>
        <v>0.54252777777777772</v>
      </c>
      <c r="X3" s="630">
        <f>Evaluacion!U3</f>
        <v>1.008809090909091</v>
      </c>
      <c r="Y3" s="634"/>
    </row>
    <row r="4" spans="2:25" x14ac:dyDescent="0.25">
      <c r="B4" t="s">
        <v>967</v>
      </c>
      <c r="C4" t="str">
        <f>Evaluacion!A6</f>
        <v>E. Toney</v>
      </c>
      <c r="D4" s="669"/>
      <c r="E4" s="290">
        <f>Evaluacion!K6</f>
        <v>0</v>
      </c>
      <c r="F4" s="290">
        <f>Evaluacion!L6</f>
        <v>12.060000000000004</v>
      </c>
      <c r="G4" s="290">
        <f>Evaluacion!M6</f>
        <v>13.116555555555554</v>
      </c>
      <c r="H4" s="290">
        <f>Evaluacion!N6</f>
        <v>9.8200000000000056</v>
      </c>
      <c r="I4" s="290">
        <f>Evaluacion!O6</f>
        <v>9.6</v>
      </c>
      <c r="J4" s="290">
        <f>Evaluacion!P6</f>
        <v>3.6816666666666658</v>
      </c>
      <c r="K4" s="290">
        <f>Evaluacion!Q6</f>
        <v>16.627777777777773</v>
      </c>
      <c r="M4" t="s">
        <v>967</v>
      </c>
      <c r="N4" s="629">
        <v>1</v>
      </c>
      <c r="O4" s="630">
        <f>Evaluacion!AI6</f>
        <v>13.807801392294364</v>
      </c>
      <c r="P4" s="630">
        <f>Evaluacion!AJ6</f>
        <v>6.2135106265324627</v>
      </c>
      <c r="Q4" s="630">
        <v>0</v>
      </c>
      <c r="R4" s="630">
        <f>Evaluacion!AK6</f>
        <v>2.6828609000746879</v>
      </c>
      <c r="S4" s="630">
        <f>Evaluacion!AL6</f>
        <v>7.507866107249006</v>
      </c>
      <c r="T4" s="630">
        <v>0</v>
      </c>
      <c r="U4" s="630">
        <v>0</v>
      </c>
      <c r="V4" s="630">
        <f>Evaluacion!R6</f>
        <v>4.2825000000000006</v>
      </c>
      <c r="W4" s="630">
        <f>Evaluacion!T6</f>
        <v>0.68291666666666639</v>
      </c>
      <c r="X4" s="630">
        <f>Evaluacion!U6</f>
        <v>0.98123333333333329</v>
      </c>
    </row>
    <row r="5" spans="2:25" x14ac:dyDescent="0.25">
      <c r="B5" t="s">
        <v>968</v>
      </c>
      <c r="C5" t="str">
        <f>Evaluacion!A15</f>
        <v>E. Gross</v>
      </c>
      <c r="D5" s="669"/>
      <c r="E5" s="290">
        <f>Evaluacion!K15</f>
        <v>0</v>
      </c>
      <c r="F5" s="290">
        <f>Evaluacion!L15</f>
        <v>10.349999999999996</v>
      </c>
      <c r="G5" s="290">
        <f>Evaluacion!M15</f>
        <v>12.859777777777778</v>
      </c>
      <c r="H5" s="290">
        <f>Evaluacion!N15</f>
        <v>5.1299999999999981</v>
      </c>
      <c r="I5" s="290">
        <f>Evaluacion!O15</f>
        <v>9.24</v>
      </c>
      <c r="J5" s="290">
        <f>Evaluacion!P15</f>
        <v>2.98</v>
      </c>
      <c r="K5" s="290">
        <f>Evaluacion!Q15</f>
        <v>16.959999999999997</v>
      </c>
      <c r="M5" t="s">
        <v>968</v>
      </c>
      <c r="N5" s="629">
        <v>1</v>
      </c>
      <c r="O5" s="630">
        <f>(Evaluacion!AA15+Evaluacion!AC15)/2</f>
        <v>5.0808153584376825</v>
      </c>
      <c r="P5" s="630">
        <f>Evaluacion!AB15</f>
        <v>13.12872185642812</v>
      </c>
      <c r="Q5" s="630">
        <f>O5</f>
        <v>5.0808153584376825</v>
      </c>
      <c r="R5" s="630">
        <f>Evaluacion!AD15</f>
        <v>3.7219629129410046</v>
      </c>
      <c r="S5" s="630">
        <v>0</v>
      </c>
      <c r="T5" s="630">
        <v>0</v>
      </c>
      <c r="U5" s="630">
        <v>0</v>
      </c>
      <c r="V5" s="630">
        <f>Evaluacion!R15</f>
        <v>3.9787499999999998</v>
      </c>
      <c r="W5" s="630">
        <f>Evaluacion!T15</f>
        <v>0.65779999999999994</v>
      </c>
      <c r="X5" s="630">
        <f>Evaluacion!U15</f>
        <v>0.92279999999999984</v>
      </c>
    </row>
    <row r="6" spans="2:25" x14ac:dyDescent="0.25">
      <c r="B6" t="s">
        <v>967</v>
      </c>
      <c r="C6" t="str">
        <f>Evaluacion!A9</f>
        <v>B. Pinczehelyi</v>
      </c>
      <c r="D6" s="669" t="str">
        <f>Evaluacion!D9</f>
        <v>CAB</v>
      </c>
      <c r="E6" s="290">
        <f>Evaluacion!K9</f>
        <v>0</v>
      </c>
      <c r="F6" s="290">
        <f>Evaluacion!L9</f>
        <v>14.200000000000003</v>
      </c>
      <c r="G6" s="290">
        <f>Evaluacion!M9</f>
        <v>9.3093333333333348</v>
      </c>
      <c r="H6" s="290">
        <f>Evaluacion!N9</f>
        <v>14.291666666666663</v>
      </c>
      <c r="I6" s="290">
        <f>Evaluacion!O9</f>
        <v>9.4199999999999982</v>
      </c>
      <c r="J6" s="290">
        <f>Evaluacion!P9</f>
        <v>1.1428571428571428</v>
      </c>
      <c r="K6" s="290">
        <f>Evaluacion!Q9</f>
        <v>9.4</v>
      </c>
      <c r="M6" t="s">
        <v>967</v>
      </c>
      <c r="N6" s="629">
        <v>1</v>
      </c>
      <c r="O6" s="630">
        <v>0</v>
      </c>
      <c r="P6" s="630">
        <f>Evaluacion!AJ9</f>
        <v>6.9271689501857701</v>
      </c>
      <c r="Q6" s="630">
        <f>Evaluacion!AI9</f>
        <v>15.393708778190602</v>
      </c>
      <c r="R6" s="630">
        <f>Evaluacion!AK9</f>
        <v>1.977551455751265</v>
      </c>
      <c r="S6" s="630">
        <v>0</v>
      </c>
      <c r="T6" s="630">
        <f>0</f>
        <v>0</v>
      </c>
      <c r="U6" s="630">
        <f>Evaluacion!AL9</f>
        <v>9.8924877843218155</v>
      </c>
      <c r="V6" s="630">
        <f>Evaluacion!R9</f>
        <v>4.5049999999999999</v>
      </c>
      <c r="W6" s="630">
        <f>Evaluacion!T9</f>
        <v>0.33914285714285713</v>
      </c>
      <c r="X6" s="630">
        <f>Evaluacion!U9</f>
        <v>0.8500000000000002</v>
      </c>
    </row>
    <row r="7" spans="2:25" x14ac:dyDescent="0.25">
      <c r="B7" t="s">
        <v>596</v>
      </c>
      <c r="C7" t="str">
        <f>Evaluacion!A13</f>
        <v>S. Buschelman</v>
      </c>
      <c r="D7" s="669" t="str">
        <f>Evaluacion!D13</f>
        <v>TEC</v>
      </c>
      <c r="E7" s="290">
        <f>Evaluacion!K13</f>
        <v>0</v>
      </c>
      <c r="F7" s="290">
        <f>Evaluacion!L13</f>
        <v>9.1936666666666653</v>
      </c>
      <c r="G7" s="290">
        <f>Evaluacion!M13</f>
        <v>13.679999999999998</v>
      </c>
      <c r="H7" s="290">
        <f>Evaluacion!N13</f>
        <v>12.835000000000001</v>
      </c>
      <c r="I7" s="290">
        <f>Evaluacion!O13</f>
        <v>9.6733333333333356</v>
      </c>
      <c r="J7" s="290">
        <f>Evaluacion!P13</f>
        <v>5.0296666666666656</v>
      </c>
      <c r="K7" s="290">
        <f>Evaluacion!Q13</f>
        <v>15.2</v>
      </c>
      <c r="M7" t="s">
        <v>596</v>
      </c>
      <c r="N7" s="629">
        <v>0.82499999999999996</v>
      </c>
      <c r="O7" s="630">
        <f>Evaluacion!BE13*N7</f>
        <v>2.8928343969095391</v>
      </c>
      <c r="P7" s="630">
        <f>Evaluacion!BF13*N7</f>
        <v>3.459472062283572</v>
      </c>
      <c r="Q7" s="630">
        <v>0</v>
      </c>
      <c r="R7" s="630">
        <f>Evaluacion!BG13*N7</f>
        <v>12.018810509114445</v>
      </c>
      <c r="S7" s="630">
        <f>Evaluacion!BH13*N7</f>
        <v>10.686566152500278</v>
      </c>
      <c r="T7" s="630">
        <f>Evaluacion!BI13*N7</f>
        <v>2.4911535382481067</v>
      </c>
      <c r="U7" s="630">
        <v>0</v>
      </c>
      <c r="V7" s="630">
        <v>0</v>
      </c>
      <c r="W7" s="630">
        <f>Evaluacion!T13*N7</f>
        <v>0.58367374999999988</v>
      </c>
      <c r="X7" s="630">
        <f>Evaluacion!U13*N7</f>
        <v>0.67959099999999995</v>
      </c>
    </row>
    <row r="8" spans="2:25" x14ac:dyDescent="0.25">
      <c r="B8" t="s">
        <v>969</v>
      </c>
      <c r="C8" t="str">
        <f>Evaluacion!A16</f>
        <v>L. Bauman</v>
      </c>
      <c r="D8" s="669"/>
      <c r="E8" s="290">
        <f>Evaluacion!K16</f>
        <v>0</v>
      </c>
      <c r="F8" s="290">
        <f>Evaluacion!L16</f>
        <v>5.2811111111111115</v>
      </c>
      <c r="G8" s="290">
        <f>Evaluacion!M16</f>
        <v>14.283789947089938</v>
      </c>
      <c r="H8" s="290">
        <f>Evaluacion!N16</f>
        <v>3.5124999999999993</v>
      </c>
      <c r="I8" s="290">
        <f>Evaluacion!O16</f>
        <v>9.1400000000000041</v>
      </c>
      <c r="J8" s="290">
        <f>Evaluacion!P16</f>
        <v>7.4318888888888894</v>
      </c>
      <c r="K8" s="290">
        <f>Evaluacion!Q16</f>
        <v>16.07</v>
      </c>
      <c r="M8" t="s">
        <v>969</v>
      </c>
      <c r="N8" s="629">
        <v>0.82499999999999996</v>
      </c>
      <c r="O8" s="630">
        <f>((Evaluacion!AX16+Evaluacion!AZ16)/2)*N8</f>
        <v>0.9346640890686535</v>
      </c>
      <c r="P8" s="630">
        <f>Evaluacion!AY16*N8</f>
        <v>2.6375000749732727</v>
      </c>
      <c r="Q8" s="630">
        <f>O8</f>
        <v>0.9346640890686535</v>
      </c>
      <c r="R8" s="630">
        <f>Evaluacion!BA16*N8</f>
        <v>14.020960227115712</v>
      </c>
      <c r="S8" s="630">
        <f>((Evaluacion!BB16+Evaluacion!BD16)/2)*N8</f>
        <v>1.8552490355654465</v>
      </c>
      <c r="T8" s="630">
        <f>Evaluacion!BC16*N8</f>
        <v>5.0913805199423514</v>
      </c>
      <c r="U8" s="630">
        <f>S8</f>
        <v>1.8552490355654465</v>
      </c>
      <c r="V8" s="630">
        <v>0</v>
      </c>
      <c r="W8" s="630">
        <f>Evaluacion!T16*N8</f>
        <v>0.70429791666666663</v>
      </c>
      <c r="X8" s="630">
        <f>Evaluacion!U16*N8</f>
        <v>0.57200916666666657</v>
      </c>
    </row>
    <row r="9" spans="2:25" x14ac:dyDescent="0.25">
      <c r="B9" t="s">
        <v>596</v>
      </c>
      <c r="C9" t="str">
        <f>Evaluacion!A14</f>
        <v>C. Rojas</v>
      </c>
      <c r="D9" s="669" t="str">
        <f>Evaluacion!D14</f>
        <v>TEC</v>
      </c>
      <c r="E9" s="290">
        <f>Evaluacion!K14</f>
        <v>0</v>
      </c>
      <c r="F9" s="290">
        <f>Evaluacion!L14</f>
        <v>8.6075555555555585</v>
      </c>
      <c r="G9" s="290">
        <f>Evaluacion!M14</f>
        <v>14.190398412698405</v>
      </c>
      <c r="H9" s="290">
        <f>Evaluacion!N14</f>
        <v>9.99</v>
      </c>
      <c r="I9" s="290">
        <f>Evaluacion!O14</f>
        <v>10.09</v>
      </c>
      <c r="J9" s="290">
        <f>Evaluacion!P14</f>
        <v>4.3999999999999995</v>
      </c>
      <c r="K9" s="290">
        <f>Evaluacion!Q14</f>
        <v>16.544444444444441</v>
      </c>
      <c r="M9" t="s">
        <v>596</v>
      </c>
      <c r="N9" s="629">
        <v>0.82499999999999996</v>
      </c>
      <c r="O9" s="630">
        <v>0</v>
      </c>
      <c r="P9" s="630">
        <f>Evaluacion!BF14*N9</f>
        <v>3.3005243198785688</v>
      </c>
      <c r="Q9" s="630">
        <f>Evaluacion!BE14*N9</f>
        <v>2.7599211985191485</v>
      </c>
      <c r="R9" s="630">
        <f>Evaluacion!BG14*N9</f>
        <v>12.413387477496354</v>
      </c>
      <c r="S9" s="630">
        <v>0</v>
      </c>
      <c r="T9" s="630">
        <f>Evaluacion!BI14*N9</f>
        <v>2.5804549508354451</v>
      </c>
      <c r="U9" s="630">
        <f>Evaluacion!BH14*N9</f>
        <v>9.4714186568162262</v>
      </c>
      <c r="V9" s="630">
        <v>0</v>
      </c>
      <c r="W9" s="630">
        <f>Evaluacion!T14*N9</f>
        <v>0.59097499999999992</v>
      </c>
      <c r="X9" s="630">
        <f>Evaluacion!U14*N9</f>
        <v>0.69352433333333341</v>
      </c>
    </row>
    <row r="10" spans="2:25" x14ac:dyDescent="0.25">
      <c r="B10" t="s">
        <v>970</v>
      </c>
      <c r="C10" t="str">
        <f>Evaluacion!A10</f>
        <v>E. Romweber</v>
      </c>
      <c r="D10" s="669" t="str">
        <f>Evaluacion!D10</f>
        <v>IMP</v>
      </c>
      <c r="E10" s="290">
        <f>Evaluacion!K10</f>
        <v>0</v>
      </c>
      <c r="F10" s="290">
        <f>Evaluacion!L10</f>
        <v>11.95</v>
      </c>
      <c r="G10" s="290">
        <f>Evaluacion!M10</f>
        <v>12.489111111111114</v>
      </c>
      <c r="H10" s="290">
        <f>Evaluacion!N10</f>
        <v>13.133333333333335</v>
      </c>
      <c r="I10" s="290">
        <f>Evaluacion!O10</f>
        <v>10.91</v>
      </c>
      <c r="J10" s="290">
        <f>Evaluacion!P10</f>
        <v>7.7700000000000005</v>
      </c>
      <c r="K10" s="290">
        <f>Evaluacion!Q10</f>
        <v>17.13</v>
      </c>
      <c r="M10" t="s">
        <v>970</v>
      </c>
      <c r="N10" s="629">
        <v>1</v>
      </c>
      <c r="O10" s="630">
        <f>Evaluacion!BT10</f>
        <v>4.2325107355317177</v>
      </c>
      <c r="P10" s="630">
        <f>Evaluacion!BU10</f>
        <v>3.6363824629216173</v>
      </c>
      <c r="Q10" s="630">
        <v>0</v>
      </c>
      <c r="R10" s="630">
        <f>Evaluacion!BV10</f>
        <v>7.0262546564954587</v>
      </c>
      <c r="S10" s="630">
        <f>Evaluacion!BW10</f>
        <v>17.281393151299806</v>
      </c>
      <c r="T10" s="630">
        <f>Evaluacion!BX10</f>
        <v>1.6774480246455561</v>
      </c>
      <c r="U10" s="630">
        <v>0</v>
      </c>
      <c r="V10" s="630">
        <v>0</v>
      </c>
      <c r="W10" s="630">
        <f>Evaluacion!T10*N10</f>
        <v>0.90239999999999987</v>
      </c>
      <c r="X10" s="630">
        <f>Evaluacion!U10*N10</f>
        <v>0.9919</v>
      </c>
    </row>
    <row r="11" spans="2:25" x14ac:dyDescent="0.25">
      <c r="B11" t="s">
        <v>970</v>
      </c>
      <c r="C11" t="str">
        <f>Evaluacion!A11</f>
        <v>K. Helms</v>
      </c>
      <c r="D11" s="669" t="str">
        <f>Evaluacion!D11</f>
        <v>TEC</v>
      </c>
      <c r="E11" s="290">
        <f>Evaluacion!K11</f>
        <v>0</v>
      </c>
      <c r="F11" s="290">
        <f>Evaluacion!L11</f>
        <v>7.11</v>
      </c>
      <c r="G11" s="290">
        <f>Evaluacion!M11</f>
        <v>10.450000000000003</v>
      </c>
      <c r="H11" s="290">
        <f>Evaluacion!N11</f>
        <v>13.388333333333334</v>
      </c>
      <c r="I11" s="290">
        <f>Evaluacion!O11</f>
        <v>10.359999999999998</v>
      </c>
      <c r="J11" s="290">
        <f>Evaluacion!P11</f>
        <v>5.4050000000000002</v>
      </c>
      <c r="K11" s="290">
        <f>Evaluacion!Q11</f>
        <v>17.300000000000004</v>
      </c>
      <c r="M11" t="s">
        <v>970</v>
      </c>
      <c r="N11" s="629">
        <v>1</v>
      </c>
      <c r="O11" s="630">
        <v>0</v>
      </c>
      <c r="P11" s="630">
        <f>Evaluacion!BU11</f>
        <v>2.4303497104374157</v>
      </c>
      <c r="Q11" s="630">
        <f>Evaluacion!BT11</f>
        <v>2.8287676957550247</v>
      </c>
      <c r="R11" s="630">
        <f>Evaluacion!BV11</f>
        <v>6.0517045829878056</v>
      </c>
      <c r="S11" s="630">
        <v>0</v>
      </c>
      <c r="T11" s="630">
        <f>Evaluacion!BX11</f>
        <v>1.5984644055857675</v>
      </c>
      <c r="U11" s="630">
        <f>Evaluacion!BW11</f>
        <v>17.253658193297774</v>
      </c>
      <c r="V11" s="630">
        <v>0</v>
      </c>
      <c r="W11" s="630">
        <f>Evaluacion!T11*N11</f>
        <v>0.78925000000000023</v>
      </c>
      <c r="X11" s="630">
        <f>Evaluacion!U11*N11</f>
        <v>0.80340000000000023</v>
      </c>
    </row>
    <row r="12" spans="2:25" x14ac:dyDescent="0.25">
      <c r="B12" t="s">
        <v>67</v>
      </c>
      <c r="C12" t="str">
        <f>Evaluacion!A19</f>
        <v>J. Limon</v>
      </c>
      <c r="D12" s="669" t="str">
        <f>Evaluacion!D19</f>
        <v>RAP</v>
      </c>
      <c r="E12" s="290">
        <f>Evaluacion!K19</f>
        <v>0</v>
      </c>
      <c r="F12" s="290">
        <f>Evaluacion!L19</f>
        <v>6.8176190476190497</v>
      </c>
      <c r="G12" s="290">
        <f>Evaluacion!M19</f>
        <v>8.5</v>
      </c>
      <c r="H12" s="290">
        <f>Evaluacion!N19</f>
        <v>8.7299999999999969</v>
      </c>
      <c r="I12" s="290">
        <f>Evaluacion!O19</f>
        <v>9.6900000000000013</v>
      </c>
      <c r="J12" s="290">
        <f>Evaluacion!P19</f>
        <v>8.5625000000000018</v>
      </c>
      <c r="K12" s="290">
        <f>Evaluacion!Q19</f>
        <v>18.639999999999993</v>
      </c>
      <c r="M12" t="s">
        <v>67</v>
      </c>
      <c r="N12" s="629">
        <v>0.94499999999999995</v>
      </c>
      <c r="O12" s="630">
        <v>0</v>
      </c>
      <c r="P12" s="630">
        <v>0</v>
      </c>
      <c r="Q12" s="630">
        <v>0</v>
      </c>
      <c r="R12" s="630">
        <f>N12*Evaluacion!CK19</f>
        <v>2.6775000000000002</v>
      </c>
      <c r="S12" s="630">
        <f>N12*Evaluacion!CH19</f>
        <v>6.7725566999999991</v>
      </c>
      <c r="T12" s="630">
        <f>N12*Evaluacion!CI19</f>
        <v>15.136011450000003</v>
      </c>
      <c r="U12" s="630">
        <f>S12</f>
        <v>6.7725566999999991</v>
      </c>
      <c r="V12" s="630">
        <v>0</v>
      </c>
      <c r="W12" s="630">
        <f>Evaluacion!T19*N12</f>
        <v>0.93302212499999981</v>
      </c>
      <c r="X12" s="630">
        <f>Evaluacion!U19*N12</f>
        <v>0.7861499999999999</v>
      </c>
    </row>
    <row r="13" spans="2:25" x14ac:dyDescent="0.25">
      <c r="B13" t="s">
        <v>736</v>
      </c>
      <c r="C13" t="str">
        <f>Evaluacion!A20</f>
        <v>L. Calosso</v>
      </c>
      <c r="D13" s="669" t="str">
        <f>Evaluacion!D20</f>
        <v>TEC</v>
      </c>
      <c r="E13" s="290">
        <f>Evaluacion!K20</f>
        <v>0</v>
      </c>
      <c r="F13" s="290">
        <f>Evaluacion!L20</f>
        <v>2</v>
      </c>
      <c r="G13" s="290">
        <f>Evaluacion!M20</f>
        <v>14.127609523809523</v>
      </c>
      <c r="H13" s="290">
        <f>Evaluacion!N20</f>
        <v>3.02</v>
      </c>
      <c r="I13" s="290">
        <f>Evaluacion!O20</f>
        <v>15.02</v>
      </c>
      <c r="J13" s="290">
        <f>Evaluacion!P20</f>
        <v>10</v>
      </c>
      <c r="K13" s="290">
        <f>Evaluacion!Q20</f>
        <v>9.3000000000000007</v>
      </c>
      <c r="M13" t="s">
        <v>736</v>
      </c>
      <c r="N13" s="629">
        <f>1-0.055</f>
        <v>0.94499999999999995</v>
      </c>
      <c r="O13" s="630">
        <v>0</v>
      </c>
      <c r="P13" s="630">
        <v>0</v>
      </c>
      <c r="Q13" s="630">
        <v>0</v>
      </c>
      <c r="R13" s="630">
        <f>N13*Evaluacion!CD20</f>
        <v>6.5118044498665268</v>
      </c>
      <c r="S13" s="630">
        <f>N13*Evaluacion!CE20</f>
        <v>7.8427486660684291</v>
      </c>
      <c r="T13" s="630">
        <f>N13*Evaluacion!CF20</f>
        <v>16.243704279688938</v>
      </c>
      <c r="U13" s="630">
        <f>S13</f>
        <v>7.8427486660684291</v>
      </c>
      <c r="V13" s="630">
        <v>0</v>
      </c>
      <c r="W13" s="630">
        <f>Evaluacion!T20*N13</f>
        <v>0.736155</v>
      </c>
      <c r="X13" s="630">
        <f>Evaluacion!U20*N13</f>
        <v>0.33925499999999997</v>
      </c>
    </row>
    <row r="14" spans="2:25" x14ac:dyDescent="0.25">
      <c r="M14" s="288"/>
      <c r="N14" s="476"/>
      <c r="O14" s="631">
        <f>SUM(O3:O13)</f>
        <v>42.501396560662421</v>
      </c>
      <c r="P14" s="631">
        <f t="shared" ref="P14:X14" si="0">SUM(P3:P13)</f>
        <v>64.651756541424717</v>
      </c>
      <c r="Q14" s="631">
        <f t="shared" si="0"/>
        <v>42.550647708391573</v>
      </c>
      <c r="R14" s="631">
        <f t="shared" si="0"/>
        <v>69.102797171843264</v>
      </c>
      <c r="S14" s="631">
        <f t="shared" si="0"/>
        <v>51.946379812682963</v>
      </c>
      <c r="T14" s="631">
        <f t="shared" si="0"/>
        <v>44.818617168946169</v>
      </c>
      <c r="U14" s="631">
        <f t="shared" si="0"/>
        <v>53.088119036069685</v>
      </c>
      <c r="V14" s="687">
        <f t="shared" si="0"/>
        <v>12.766249999999999</v>
      </c>
      <c r="W14" s="687">
        <f t="shared" si="0"/>
        <v>7.4621610932539681</v>
      </c>
      <c r="X14" s="687">
        <f t="shared" si="0"/>
        <v>8.6286719242424237</v>
      </c>
    </row>
    <row r="15" spans="2:25" ht="15.75" x14ac:dyDescent="0.25">
      <c r="M15" s="288"/>
      <c r="N15" s="288" t="s">
        <v>975</v>
      </c>
      <c r="O15" s="633">
        <f>O14*0.34</f>
        <v>14.450474830625224</v>
      </c>
      <c r="P15" s="633">
        <f>P14*0.245</f>
        <v>15.839680352649056</v>
      </c>
      <c r="Q15" s="633">
        <f>Q14*0.34</f>
        <v>14.467220220853136</v>
      </c>
      <c r="R15" s="633">
        <f>R14*0.125</f>
        <v>8.637849646480408</v>
      </c>
      <c r="S15" s="633">
        <f>S14*0.25</f>
        <v>12.986594953170741</v>
      </c>
      <c r="T15" s="633">
        <f>T14*0.19</f>
        <v>8.5155372620997714</v>
      </c>
      <c r="U15" s="633">
        <f>U14*0.25</f>
        <v>13.272029759017421</v>
      </c>
    </row>
    <row r="16" spans="2:25" ht="15.75" x14ac:dyDescent="0.25">
      <c r="M16" s="288"/>
      <c r="N16" s="288" t="s">
        <v>976</v>
      </c>
      <c r="O16" s="643">
        <f>O15*1.2/1.05</f>
        <v>16.514828377857395</v>
      </c>
      <c r="P16" s="643">
        <f t="shared" ref="P16:Q16" si="1">P15*1.2/1.05</f>
        <v>18.102491831598918</v>
      </c>
      <c r="Q16" s="643">
        <f t="shared" si="1"/>
        <v>16.533965966689294</v>
      </c>
      <c r="R16" s="643">
        <f>R15</f>
        <v>8.637849646480408</v>
      </c>
      <c r="S16" s="643">
        <f>S15*0.925/1.05</f>
        <v>11.440571744459939</v>
      </c>
      <c r="T16" s="643">
        <f t="shared" ref="T16:U16" si="2">T15*0.925/1.05</f>
        <v>7.5017828261355124</v>
      </c>
      <c r="U16" s="643">
        <f t="shared" si="2"/>
        <v>11.692026216277252</v>
      </c>
    </row>
    <row r="17" spans="13:21" ht="15.75" x14ac:dyDescent="0.25">
      <c r="M17" s="288"/>
      <c r="N17" s="288" t="s">
        <v>977</v>
      </c>
      <c r="O17" s="643">
        <f>O15*0.925/1.05</f>
        <v>12.730180207931745</v>
      </c>
      <c r="P17" s="643">
        <f t="shared" ref="P17:Q17" si="3">P15*0.925/1.05</f>
        <v>13.954004120190834</v>
      </c>
      <c r="Q17" s="643">
        <f t="shared" si="3"/>
        <v>12.744932099323</v>
      </c>
      <c r="R17" s="643">
        <f>R16</f>
        <v>8.637849646480408</v>
      </c>
      <c r="S17" s="643">
        <f>S15*1.135/1.05</f>
        <v>14.037890735094086</v>
      </c>
      <c r="T17" s="643">
        <f t="shared" ref="T17:U17" si="4">T15*1.135/1.05</f>
        <v>9.2048902785554656</v>
      </c>
      <c r="U17" s="643">
        <f t="shared" si="4"/>
        <v>14.346432168080737</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6" t="s">
        <v>316</v>
      </c>
      <c r="B1" s="526" t="s">
        <v>182</v>
      </c>
      <c r="C1" s="526" t="s">
        <v>830</v>
      </c>
      <c r="D1" s="526" t="s">
        <v>1</v>
      </c>
      <c r="E1" s="526" t="s">
        <v>2</v>
      </c>
      <c r="F1" s="526" t="s">
        <v>837</v>
      </c>
      <c r="G1" s="526" t="s">
        <v>66</v>
      </c>
      <c r="H1" s="526" t="s">
        <v>712</v>
      </c>
      <c r="I1" s="526" t="s">
        <v>838</v>
      </c>
      <c r="J1" s="526" t="s">
        <v>0</v>
      </c>
      <c r="L1" s="628">
        <v>541</v>
      </c>
      <c r="M1" s="476" t="s">
        <v>971</v>
      </c>
      <c r="N1" s="48" t="s">
        <v>841</v>
      </c>
      <c r="O1" s="48" t="s">
        <v>972</v>
      </c>
      <c r="P1" s="48" t="s">
        <v>841</v>
      </c>
      <c r="Q1" s="48" t="s">
        <v>65</v>
      </c>
      <c r="R1" s="48" t="s">
        <v>843</v>
      </c>
      <c r="S1" s="48" t="s">
        <v>844</v>
      </c>
      <c r="T1" s="48" t="s">
        <v>843</v>
      </c>
      <c r="U1" s="48" t="s">
        <v>699</v>
      </c>
      <c r="V1" s="48" t="s">
        <v>973</v>
      </c>
      <c r="W1" s="48" t="s">
        <v>974</v>
      </c>
    </row>
    <row r="2" spans="1:27" x14ac:dyDescent="0.25">
      <c r="A2" t="s">
        <v>1</v>
      </c>
      <c r="B2" t="str">
        <f>Evaluacion!A3</f>
        <v>D. Gehmacher</v>
      </c>
      <c r="C2">
        <f>Evaluacion!D3</f>
        <v>0</v>
      </c>
      <c r="D2" s="290">
        <f>Evaluacion!K3</f>
        <v>16.666666666666668</v>
      </c>
      <c r="E2" s="290">
        <f>Evaluacion!L3</f>
        <v>11.832727272727276</v>
      </c>
      <c r="F2" s="290">
        <f>Evaluacion!M3</f>
        <v>2.0399999999999991</v>
      </c>
      <c r="G2" s="290">
        <f>Evaluacion!N3</f>
        <v>2.1399999999999992</v>
      </c>
      <c r="H2" s="290">
        <f>Evaluacion!O3</f>
        <v>1.0400000000000003</v>
      </c>
      <c r="I2" s="290">
        <f>Evaluacion!P3</f>
        <v>0.14055555555555557</v>
      </c>
      <c r="J2" s="290">
        <f>Evaluacion!Q3</f>
        <v>17.849999999999998</v>
      </c>
      <c r="L2" t="str">
        <f>A2</f>
        <v>POR</v>
      </c>
      <c r="M2" s="629">
        <v>1</v>
      </c>
      <c r="N2" s="630">
        <f>Evaluacion!X3</f>
        <v>15.55277058842046</v>
      </c>
      <c r="O2" s="630">
        <f>Evaluacion!Y3</f>
        <v>22.918126477783918</v>
      </c>
      <c r="P2" s="630">
        <f>Evaluacion!Z3</f>
        <v>15.55277058842046</v>
      </c>
      <c r="Q2" s="630">
        <v>0</v>
      </c>
      <c r="R2" s="630">
        <v>0</v>
      </c>
      <c r="S2" s="630">
        <v>0</v>
      </c>
      <c r="T2" s="630">
        <v>0</v>
      </c>
      <c r="U2" s="630">
        <v>0</v>
      </c>
      <c r="V2" s="630">
        <f>Evaluacion!T3</f>
        <v>0.54252777777777772</v>
      </c>
      <c r="W2" s="630">
        <f>Evaluacion!U3</f>
        <v>1.008809090909091</v>
      </c>
      <c r="AA2" s="635"/>
    </row>
    <row r="3" spans="1:27" x14ac:dyDescent="0.25">
      <c r="A3" t="s">
        <v>967</v>
      </c>
      <c r="B3" t="str">
        <f>Evaluacion!A9</f>
        <v>B. Pinczehelyi</v>
      </c>
      <c r="C3" t="str">
        <f>Evaluacion!D9</f>
        <v>CAB</v>
      </c>
      <c r="D3" s="290">
        <f>Evaluacion!K9</f>
        <v>0</v>
      </c>
      <c r="E3" s="290">
        <f>Evaluacion!L9</f>
        <v>14.200000000000003</v>
      </c>
      <c r="F3" s="290">
        <f>Evaluacion!M9</f>
        <v>9.3093333333333348</v>
      </c>
      <c r="G3" s="290">
        <f>Evaluacion!N9</f>
        <v>14.291666666666663</v>
      </c>
      <c r="H3" s="290">
        <f>Evaluacion!O9</f>
        <v>9.4199999999999982</v>
      </c>
      <c r="I3" s="290">
        <f>Evaluacion!P9</f>
        <v>1.1428571428571428</v>
      </c>
      <c r="J3" s="290">
        <f>Evaluacion!Q9</f>
        <v>9.4</v>
      </c>
      <c r="L3" t="str">
        <f t="shared" ref="L3:L12" si="0">A3</f>
        <v>LATN</v>
      </c>
      <c r="M3" s="629">
        <v>1</v>
      </c>
      <c r="N3" s="630">
        <f>Evaluacion!AI9</f>
        <v>15.393708778190602</v>
      </c>
      <c r="O3" s="630">
        <f>Evaluacion!AJ9</f>
        <v>6.9271689501857701</v>
      </c>
      <c r="P3" s="630">
        <v>0</v>
      </c>
      <c r="Q3" s="630">
        <f>Evaluacion!AK9</f>
        <v>1.977551455751265</v>
      </c>
      <c r="R3" s="630">
        <f>Evaluacion!AL9</f>
        <v>9.8924877843218155</v>
      </c>
      <c r="S3" s="630">
        <v>0</v>
      </c>
      <c r="T3" s="630">
        <v>0</v>
      </c>
      <c r="U3" s="630">
        <f>Evaluacion!R9</f>
        <v>4.5049999999999999</v>
      </c>
      <c r="V3" s="630">
        <f>Evaluacion!T9</f>
        <v>0.33914285714285713</v>
      </c>
      <c r="W3" s="630">
        <f>Evaluacion!U9</f>
        <v>0.8500000000000002</v>
      </c>
      <c r="AA3" s="636"/>
    </row>
    <row r="4" spans="1:27" x14ac:dyDescent="0.25">
      <c r="A4" t="s">
        <v>979</v>
      </c>
      <c r="B4" t="str">
        <f>Evaluacion!A7</f>
        <v>B. Bartolache</v>
      </c>
      <c r="C4">
        <f>Evaluacion!D7</f>
        <v>0</v>
      </c>
      <c r="D4" s="290">
        <f>Evaluacion!K7</f>
        <v>0</v>
      </c>
      <c r="E4" s="290">
        <f>Evaluacion!L7</f>
        <v>11.649999999999997</v>
      </c>
      <c r="F4" s="290">
        <f>Evaluacion!M7</f>
        <v>6.700000000000002</v>
      </c>
      <c r="G4" s="290">
        <f>Evaluacion!N7</f>
        <v>7.4300000000000015</v>
      </c>
      <c r="H4" s="290">
        <f>Evaluacion!O7</f>
        <v>9.0199999999999978</v>
      </c>
      <c r="I4" s="290">
        <f>Evaluacion!P7</f>
        <v>4.6199999999999966</v>
      </c>
      <c r="J4" s="290">
        <f>Evaluacion!Q7</f>
        <v>15.6</v>
      </c>
      <c r="L4" t="str">
        <f t="shared" si="0"/>
        <v>DCHL</v>
      </c>
      <c r="M4" s="629">
        <v>0.9</v>
      </c>
      <c r="N4" s="630">
        <f>M4*Evaluacion!AM7</f>
        <v>9.7998733718515982</v>
      </c>
      <c r="O4" s="630">
        <f>M4*Evaluacion!AN7</f>
        <v>9.2020031130914219</v>
      </c>
      <c r="P4" s="630">
        <v>0</v>
      </c>
      <c r="Q4" s="630">
        <f>M4*Evaluacion!AO7</f>
        <v>2.764213982890209</v>
      </c>
      <c r="R4" s="630">
        <f>M4*Evaluacion!AP7</f>
        <v>1.7826637070202398</v>
      </c>
      <c r="S4" s="630">
        <v>0</v>
      </c>
      <c r="T4" s="630">
        <v>0</v>
      </c>
      <c r="U4" s="630">
        <f>Evaluacion!R7</f>
        <v>4.0862499999999988</v>
      </c>
      <c r="V4" s="630">
        <f>Evaluacion!T7*M4</f>
        <v>0.62909999999999988</v>
      </c>
      <c r="W4" s="630">
        <f>Evaluacion!U7*M4</f>
        <v>0.84060000000000001</v>
      </c>
      <c r="AA4" s="636"/>
    </row>
    <row r="5" spans="1:27" x14ac:dyDescent="0.25">
      <c r="A5" t="s">
        <v>978</v>
      </c>
      <c r="B5" t="str">
        <f>Evaluacion!A6</f>
        <v>E. Toney</v>
      </c>
      <c r="C5">
        <f>Evaluacion!D6</f>
        <v>0</v>
      </c>
      <c r="D5" s="290">
        <f>Evaluacion!K6</f>
        <v>0</v>
      </c>
      <c r="E5" s="290">
        <f>Evaluacion!L6</f>
        <v>12.060000000000004</v>
      </c>
      <c r="F5" s="290">
        <f>Evaluacion!M6</f>
        <v>13.116555555555554</v>
      </c>
      <c r="G5" s="290">
        <f>Evaluacion!N6</f>
        <v>9.8200000000000056</v>
      </c>
      <c r="H5" s="290">
        <f>Evaluacion!O6</f>
        <v>9.6</v>
      </c>
      <c r="I5" s="290">
        <f>Evaluacion!P6</f>
        <v>3.6816666666666658</v>
      </c>
      <c r="J5" s="290">
        <f>Evaluacion!Q6</f>
        <v>16.627777777777773</v>
      </c>
      <c r="L5" t="str">
        <f t="shared" si="0"/>
        <v>DCN</v>
      </c>
      <c r="M5" s="629">
        <v>0.9</v>
      </c>
      <c r="N5" s="630">
        <f>M5*(Evaluacion!AA6+Evaluacion!AC6)/2</f>
        <v>5.2274535053653555</v>
      </c>
      <c r="O5" s="630">
        <f>M5*Evaluacion!AB6</f>
        <v>13.507631796809703</v>
      </c>
      <c r="P5" s="630">
        <f>N5</f>
        <v>5.2274535053653555</v>
      </c>
      <c r="Q5" s="630">
        <f>M5*Evaluacion!AD6</f>
        <v>3.4411305676407071</v>
      </c>
      <c r="R5" s="630">
        <v>0</v>
      </c>
      <c r="S5" s="630">
        <f>0</f>
        <v>0</v>
      </c>
      <c r="T5" s="630">
        <v>0</v>
      </c>
      <c r="U5" s="630">
        <f>Evaluacion!R6</f>
        <v>4.2825000000000006</v>
      </c>
      <c r="V5" s="630">
        <f>Evaluacion!T6*M5</f>
        <v>0.61462499999999975</v>
      </c>
      <c r="W5" s="630">
        <f>Evaluacion!U6*M5</f>
        <v>0.88310999999999995</v>
      </c>
      <c r="AA5" s="636"/>
    </row>
    <row r="6" spans="1:27" x14ac:dyDescent="0.25">
      <c r="A6" t="s">
        <v>979</v>
      </c>
      <c r="B6" t="str">
        <f>Evaluacion!A5</f>
        <v>D. Toh</v>
      </c>
      <c r="C6" t="str">
        <f>Evaluacion!D5</f>
        <v>CAB</v>
      </c>
      <c r="D6" s="290">
        <f>Evaluacion!K5</f>
        <v>0</v>
      </c>
      <c r="E6" s="290">
        <f>Evaluacion!L5</f>
        <v>11</v>
      </c>
      <c r="F6" s="290">
        <f>Evaluacion!M5</f>
        <v>6.1894444444444412</v>
      </c>
      <c r="G6" s="290">
        <f>Evaluacion!N5</f>
        <v>6.04</v>
      </c>
      <c r="H6" s="290">
        <f>Evaluacion!O5</f>
        <v>7.7227777777777789</v>
      </c>
      <c r="I6" s="290">
        <f>Evaluacion!P5</f>
        <v>4.383333333333332</v>
      </c>
      <c r="J6" s="290">
        <f>Evaluacion!Q5</f>
        <v>15.349999999999998</v>
      </c>
      <c r="L6" t="str">
        <f t="shared" si="0"/>
        <v>DCHL</v>
      </c>
      <c r="M6" s="629">
        <v>0.9</v>
      </c>
      <c r="N6" s="630">
        <v>0</v>
      </c>
      <c r="O6" s="630">
        <f>M6*Evaluacion!AN5</f>
        <v>8.7084520493775894</v>
      </c>
      <c r="P6" s="630">
        <f>M6*Evaluacion!AM5</f>
        <v>9.2742554311168117</v>
      </c>
      <c r="Q6" s="630">
        <f>M6*Evaluacion!AO5</f>
        <v>2.7079172771836966</v>
      </c>
      <c r="R6" s="630">
        <v>0</v>
      </c>
      <c r="S6" s="630">
        <v>0</v>
      </c>
      <c r="T6" s="630">
        <f>M6*Evaluacion!AP5</f>
        <v>1.6452571726281715</v>
      </c>
      <c r="U6" s="630">
        <f>Evaluacion!R5</f>
        <v>3.6806944444444447</v>
      </c>
      <c r="V6" s="630">
        <f>Evaluacion!T5*M6</f>
        <v>0.61169999999999991</v>
      </c>
      <c r="W6" s="630">
        <f>Evaluacion!U5*M6</f>
        <v>0.81044999999999989</v>
      </c>
      <c r="AA6" s="636"/>
    </row>
    <row r="7" spans="1:27" x14ac:dyDescent="0.25">
      <c r="A7" t="s">
        <v>967</v>
      </c>
      <c r="B7" t="str">
        <f>Evaluacion!A10</f>
        <v>E. Romweber</v>
      </c>
      <c r="C7" t="str">
        <f>Evaluacion!D10</f>
        <v>IMP</v>
      </c>
      <c r="D7" s="290">
        <f>Evaluacion!K10</f>
        <v>0</v>
      </c>
      <c r="E7" s="290">
        <f>Evaluacion!L10</f>
        <v>11.95</v>
      </c>
      <c r="F7" s="290">
        <f>Evaluacion!M10</f>
        <v>12.489111111111114</v>
      </c>
      <c r="G7" s="290">
        <f>Evaluacion!N10</f>
        <v>13.133333333333335</v>
      </c>
      <c r="H7" s="290">
        <f>Evaluacion!O10</f>
        <v>10.91</v>
      </c>
      <c r="I7" s="290">
        <f>Evaluacion!P10</f>
        <v>7.7700000000000005</v>
      </c>
      <c r="J7" s="290">
        <f>Evaluacion!Q10</f>
        <v>17.13</v>
      </c>
      <c r="L7" t="str">
        <f t="shared" si="0"/>
        <v>LATN</v>
      </c>
      <c r="M7" s="629">
        <v>1</v>
      </c>
      <c r="N7" s="630">
        <v>0</v>
      </c>
      <c r="O7" s="630">
        <f>Evaluacion!AJ10</f>
        <v>6.1699276215145469</v>
      </c>
      <c r="P7" s="630">
        <f>Evaluacion!AI10</f>
        <v>13.710950270032328</v>
      </c>
      <c r="Q7" s="630">
        <f>Evaluacion!AK10</f>
        <v>2.5788670937027289</v>
      </c>
      <c r="R7" s="630">
        <v>0</v>
      </c>
      <c r="S7" s="630">
        <v>0</v>
      </c>
      <c r="T7" s="630">
        <f>Evaluacion!AL10</f>
        <v>9.4588856073684884</v>
      </c>
      <c r="U7" s="630">
        <f>Evaluacion!R10</f>
        <v>4.5962499999999995</v>
      </c>
      <c r="V7" s="630">
        <f>Evaluacion!T10</f>
        <v>0.90239999999999987</v>
      </c>
      <c r="W7" s="630">
        <f>Evaluacion!U10</f>
        <v>0.9919</v>
      </c>
      <c r="AA7" s="636"/>
    </row>
    <row r="8" spans="1:27" x14ac:dyDescent="0.25">
      <c r="A8" t="s">
        <v>596</v>
      </c>
      <c r="B8" t="str">
        <f>Evaluacion!A14</f>
        <v>C. Rojas</v>
      </c>
      <c r="C8" t="str">
        <f>Evaluacion!D14</f>
        <v>TEC</v>
      </c>
      <c r="D8" s="290">
        <f>Evaluacion!K14</f>
        <v>0</v>
      </c>
      <c r="E8" s="290">
        <f>Evaluacion!L14</f>
        <v>8.6075555555555585</v>
      </c>
      <c r="F8" s="290">
        <f>Evaluacion!M14</f>
        <v>14.190398412698405</v>
      </c>
      <c r="G8" s="290">
        <f>Evaluacion!N14</f>
        <v>9.99</v>
      </c>
      <c r="H8" s="290">
        <f>Evaluacion!O14</f>
        <v>10.09</v>
      </c>
      <c r="I8" s="290">
        <f>Evaluacion!P14</f>
        <v>4.3999999999999995</v>
      </c>
      <c r="J8" s="290">
        <f>Evaluacion!Q14</f>
        <v>16.544444444444441</v>
      </c>
      <c r="L8" t="str">
        <f t="shared" si="0"/>
        <v>IHL</v>
      </c>
      <c r="M8" s="629">
        <f>1-0.065</f>
        <v>0.93500000000000005</v>
      </c>
      <c r="N8" s="630">
        <f>M8*Evaluacion!BE14</f>
        <v>3.127910691655035</v>
      </c>
      <c r="O8" s="630">
        <f>M8*Evaluacion!BF14</f>
        <v>3.7405942291957119</v>
      </c>
      <c r="P8" s="630">
        <v>0</v>
      </c>
      <c r="Q8" s="630">
        <f>Evaluacion!BG14*M8</f>
        <v>14.068505807829201</v>
      </c>
      <c r="R8" s="630">
        <f>Evaluacion!BH14*M8</f>
        <v>10.734274477725059</v>
      </c>
      <c r="S8" s="630">
        <f>Evaluacion!BI14*M8</f>
        <v>2.9245156109468384</v>
      </c>
      <c r="T8" s="630">
        <v>0</v>
      </c>
      <c r="U8" s="630">
        <v>0</v>
      </c>
      <c r="V8" s="630">
        <f>Evaluacion!T14*M8</f>
        <v>0.66977166666666665</v>
      </c>
      <c r="W8" s="630">
        <f>Evaluacion!U14*M8</f>
        <v>0.78599424444444466</v>
      </c>
      <c r="AA8" s="636"/>
    </row>
    <row r="9" spans="1:27" x14ac:dyDescent="0.25">
      <c r="A9" t="s">
        <v>596</v>
      </c>
      <c r="B9" t="str">
        <f>Evaluacion!A13</f>
        <v>S. Buschelman</v>
      </c>
      <c r="C9" t="str">
        <f>Evaluacion!D13</f>
        <v>TEC</v>
      </c>
      <c r="D9" s="290">
        <f>Evaluacion!K13</f>
        <v>0</v>
      </c>
      <c r="E9" s="290">
        <f>Evaluacion!L13</f>
        <v>9.1936666666666653</v>
      </c>
      <c r="F9" s="290">
        <f>Evaluacion!M13</f>
        <v>13.679999999999998</v>
      </c>
      <c r="G9" s="290">
        <f>Evaluacion!N13</f>
        <v>12.835000000000001</v>
      </c>
      <c r="H9" s="290">
        <f>Evaluacion!O13</f>
        <v>9.6733333333333356</v>
      </c>
      <c r="I9" s="290">
        <f>Evaluacion!P13</f>
        <v>5.0296666666666656</v>
      </c>
      <c r="J9" s="290">
        <f>Evaluacion!Q13</f>
        <v>15.2</v>
      </c>
      <c r="L9" t="str">
        <f t="shared" si="0"/>
        <v>IHL</v>
      </c>
      <c r="M9" s="629">
        <f>1-0.065</f>
        <v>0.93500000000000005</v>
      </c>
      <c r="N9" s="630">
        <v>0</v>
      </c>
      <c r="O9" s="630">
        <f>M9*Evaluacion!BF13</f>
        <v>3.920735003921382</v>
      </c>
      <c r="P9" s="630">
        <f>M9*Evaluacion!BE13</f>
        <v>3.2785456498308112</v>
      </c>
      <c r="Q9" s="630">
        <f>Evaluacion!BG13*M9</f>
        <v>13.621318576996373</v>
      </c>
      <c r="R9" s="630">
        <v>0</v>
      </c>
      <c r="S9" s="630">
        <f>Evaluacion!BI13*M9</f>
        <v>2.8233073433478548</v>
      </c>
      <c r="T9" s="630">
        <f>Evaluacion!BH13*M9</f>
        <v>12.111441639500317</v>
      </c>
      <c r="U9" s="630">
        <v>0</v>
      </c>
      <c r="V9" s="630">
        <f>Evaluacion!T13*M9</f>
        <v>0.66149691666666666</v>
      </c>
      <c r="W9" s="630">
        <f>Evaluacion!U13*M9</f>
        <v>0.77020313333333335</v>
      </c>
      <c r="AA9" s="636"/>
    </row>
    <row r="10" spans="1:27" x14ac:dyDescent="0.25">
      <c r="A10" t="s">
        <v>970</v>
      </c>
      <c r="B10" t="str">
        <f>Evaluacion!A11</f>
        <v>K. Helms</v>
      </c>
      <c r="C10" t="str">
        <f>Evaluacion!D11</f>
        <v>TEC</v>
      </c>
      <c r="D10" s="290">
        <f>Evaluacion!K11</f>
        <v>0</v>
      </c>
      <c r="E10" s="290">
        <f>Evaluacion!L11</f>
        <v>7.11</v>
      </c>
      <c r="F10" s="290">
        <f>Evaluacion!M11</f>
        <v>10.450000000000003</v>
      </c>
      <c r="G10" s="290">
        <f>Evaluacion!N11</f>
        <v>13.388333333333334</v>
      </c>
      <c r="H10" s="290">
        <f>Evaluacion!O11</f>
        <v>10.359999999999998</v>
      </c>
      <c r="I10" s="290">
        <f>Evaluacion!P11</f>
        <v>5.4050000000000002</v>
      </c>
      <c r="J10" s="290">
        <f>Evaluacion!Q11</f>
        <v>17.300000000000004</v>
      </c>
      <c r="L10" t="str">
        <f t="shared" si="0"/>
        <v>EXTN</v>
      </c>
      <c r="M10" s="629">
        <v>1</v>
      </c>
      <c r="N10" s="630">
        <f>Evaluacion!BT11</f>
        <v>2.8287676957550247</v>
      </c>
      <c r="O10" s="630">
        <f>Evaluacion!BU11</f>
        <v>2.4303497104374157</v>
      </c>
      <c r="P10" s="630">
        <v>0</v>
      </c>
      <c r="Q10" s="630">
        <f>Evaluacion!BV11</f>
        <v>6.0517045829878056</v>
      </c>
      <c r="R10" s="630">
        <f>Evaluacion!BW11</f>
        <v>17.253658193297774</v>
      </c>
      <c r="S10" s="630">
        <f>Evaluacion!BX11</f>
        <v>1.5984644055857675</v>
      </c>
      <c r="T10" s="630">
        <v>0</v>
      </c>
      <c r="U10" s="630">
        <v>0</v>
      </c>
      <c r="V10" s="630">
        <f>Evaluacion!T11</f>
        <v>0.78925000000000023</v>
      </c>
      <c r="W10" s="630">
        <f>Evaluacion!U11</f>
        <v>0.80340000000000023</v>
      </c>
      <c r="AA10" s="636"/>
    </row>
    <row r="11" spans="1:27" x14ac:dyDescent="0.25">
      <c r="A11" t="s">
        <v>970</v>
      </c>
      <c r="B11" t="str">
        <f>Evaluacion!A12</f>
        <v>S. Zobbe</v>
      </c>
      <c r="C11" t="str">
        <f>Evaluacion!D12</f>
        <v>CAB</v>
      </c>
      <c r="D11" s="290">
        <f>Evaluacion!K12</f>
        <v>0</v>
      </c>
      <c r="E11" s="290">
        <f>Evaluacion!L12</f>
        <v>8.1199999999999992</v>
      </c>
      <c r="F11" s="290">
        <f>Evaluacion!M12</f>
        <v>12.058412698412699</v>
      </c>
      <c r="G11" s="290">
        <f>Evaluacion!N12</f>
        <v>12.25</v>
      </c>
      <c r="H11" s="290">
        <f>Evaluacion!O12</f>
        <v>10.24</v>
      </c>
      <c r="I11" s="290">
        <f>Evaluacion!P12</f>
        <v>7.4766666666666666</v>
      </c>
      <c r="J11" s="290">
        <f>Evaluacion!Q12</f>
        <v>15.270000000000001</v>
      </c>
      <c r="L11" t="str">
        <f t="shared" si="0"/>
        <v>EXTN</v>
      </c>
      <c r="M11" s="629">
        <v>1</v>
      </c>
      <c r="N11" s="630">
        <v>0</v>
      </c>
      <c r="O11" s="630">
        <f>Evaluacion!BU12</f>
        <v>2.6529369301852568</v>
      </c>
      <c r="P11" s="630">
        <f>Evaluacion!BT12</f>
        <v>3.0878446236582495</v>
      </c>
      <c r="Q11" s="630">
        <f>Evaluacion!BV12</f>
        <v>6.7390527910330738</v>
      </c>
      <c r="R11" s="630">
        <v>0</v>
      </c>
      <c r="S11" s="630">
        <f>Evaluacion!BX12</f>
        <v>1.5721157727558037</v>
      </c>
      <c r="T11" s="630">
        <f>Evaluacion!BW12</f>
        <v>16.132543109201908</v>
      </c>
      <c r="U11" s="630">
        <v>0</v>
      </c>
      <c r="V11" s="630">
        <f>Evaluacion!T12</f>
        <v>0.8319333333333333</v>
      </c>
      <c r="W11" s="630">
        <f>Evaluacion!U12</f>
        <v>0.78290000000000004</v>
      </c>
      <c r="AA11" s="636"/>
    </row>
    <row r="12" spans="1:27" x14ac:dyDescent="0.25">
      <c r="A12" t="s">
        <v>736</v>
      </c>
      <c r="B12" t="str">
        <f>Evaluacion!A20</f>
        <v>L. Calosso</v>
      </c>
      <c r="C12" t="str">
        <f>Evaluacion!D20</f>
        <v>TEC</v>
      </c>
      <c r="D12" s="290">
        <f>Evaluacion!K20</f>
        <v>0</v>
      </c>
      <c r="E12" s="290">
        <f>Evaluacion!L20</f>
        <v>2</v>
      </c>
      <c r="F12" s="290">
        <f>Evaluacion!M20</f>
        <v>14.127609523809523</v>
      </c>
      <c r="G12" s="290">
        <f>Evaluacion!N20</f>
        <v>3.02</v>
      </c>
      <c r="H12" s="290">
        <f>Evaluacion!O20</f>
        <v>15.02</v>
      </c>
      <c r="I12" s="290">
        <f>Evaluacion!P20</f>
        <v>10</v>
      </c>
      <c r="J12" s="290">
        <f>Evaluacion!Q20</f>
        <v>9.3000000000000007</v>
      </c>
      <c r="L12" t="str">
        <f t="shared" si="0"/>
        <v>DD</v>
      </c>
      <c r="M12" s="629">
        <v>1</v>
      </c>
      <c r="N12" s="630">
        <v>0</v>
      </c>
      <c r="O12" s="630">
        <v>0</v>
      </c>
      <c r="P12" s="630">
        <v>0</v>
      </c>
      <c r="Q12" s="630">
        <f>M12*Evaluacion!CD20</f>
        <v>6.8907983596471185</v>
      </c>
      <c r="R12" s="630">
        <f>M12*Evaluacion!CE20</f>
        <v>8.2992049376385495</v>
      </c>
      <c r="S12" s="630">
        <f>M12*Evaluacion!CF20</f>
        <v>17.189105057871892</v>
      </c>
      <c r="T12" s="630">
        <f>R12</f>
        <v>8.2992049376385495</v>
      </c>
      <c r="U12" s="630">
        <v>0</v>
      </c>
      <c r="V12" s="630">
        <f>Evaluacion!T20*M12</f>
        <v>0.77900000000000003</v>
      </c>
      <c r="W12" s="630">
        <f>Evaluacion!U20*M12</f>
        <v>0.35899999999999999</v>
      </c>
      <c r="AA12" s="636"/>
    </row>
    <row r="13" spans="1:27" x14ac:dyDescent="0.25">
      <c r="L13" s="288"/>
      <c r="M13" s="476"/>
      <c r="N13" s="631">
        <f>SUM(N2:N12)</f>
        <v>51.930484631238073</v>
      </c>
      <c r="O13" s="631">
        <f t="shared" ref="O13:W13" si="1">SUM(O2:O12)</f>
        <v>80.17792588250272</v>
      </c>
      <c r="P13" s="631">
        <f t="shared" si="1"/>
        <v>50.131820068424013</v>
      </c>
      <c r="Q13" s="631">
        <f t="shared" si="1"/>
        <v>60.841060495662184</v>
      </c>
      <c r="R13" s="631">
        <f t="shared" si="1"/>
        <v>47.962289100003439</v>
      </c>
      <c r="S13" s="631">
        <f t="shared" si="1"/>
        <v>26.107508190508156</v>
      </c>
      <c r="T13" s="631">
        <f t="shared" si="1"/>
        <v>47.647332466337431</v>
      </c>
      <c r="U13" s="632">
        <f t="shared" si="1"/>
        <v>21.15069444444444</v>
      </c>
      <c r="V13" s="632">
        <f t="shared" si="1"/>
        <v>7.3709475515873013</v>
      </c>
      <c r="W13" s="632">
        <f t="shared" si="1"/>
        <v>8.8863664686868695</v>
      </c>
    </row>
    <row r="14" spans="1:27" ht="15.75" x14ac:dyDescent="0.25">
      <c r="L14" s="288"/>
      <c r="M14" s="288" t="s">
        <v>975</v>
      </c>
      <c r="N14" s="633">
        <f>N13*0.34</f>
        <v>17.656364774620947</v>
      </c>
      <c r="O14" s="633">
        <f>O13*0.245</f>
        <v>19.643591841213166</v>
      </c>
      <c r="P14" s="633">
        <f>P13*0.34</f>
        <v>17.044818823264166</v>
      </c>
      <c r="Q14" s="633">
        <f>Q13*0.125</f>
        <v>7.605132561957773</v>
      </c>
      <c r="R14" s="633">
        <f>R13*0.25</f>
        <v>11.99057227500086</v>
      </c>
      <c r="S14" s="633">
        <f>S13*0.19</f>
        <v>4.9604265561965502</v>
      </c>
      <c r="T14" s="633">
        <f>T13*0.25</f>
        <v>11.911833116584358</v>
      </c>
    </row>
    <row r="15" spans="1:27" ht="15.75" x14ac:dyDescent="0.25">
      <c r="L15" s="288"/>
      <c r="M15" s="288" t="s">
        <v>976</v>
      </c>
      <c r="N15" s="643">
        <f>N14*1.2/1.05</f>
        <v>20.178702599566794</v>
      </c>
      <c r="O15" s="643">
        <f t="shared" ref="O15:P15" si="2">O14*1.2/1.05</f>
        <v>22.449819247100759</v>
      </c>
      <c r="P15" s="643">
        <f t="shared" si="2"/>
        <v>19.479792940873331</v>
      </c>
      <c r="Q15" s="643">
        <f>Q14</f>
        <v>7.605132561957773</v>
      </c>
      <c r="R15" s="643">
        <f>R14*0.925/1.05</f>
        <v>10.563123194643616</v>
      </c>
      <c r="S15" s="643">
        <f t="shared" ref="S15:T15" si="3">S14*0.925/1.05</f>
        <v>4.3698995852207698</v>
      </c>
      <c r="T15" s="643">
        <f t="shared" si="3"/>
        <v>10.49375774556241</v>
      </c>
    </row>
    <row r="16" spans="1:27" ht="15.75" x14ac:dyDescent="0.25">
      <c r="L16" s="288"/>
      <c r="M16" s="288" t="s">
        <v>977</v>
      </c>
      <c r="N16" s="643">
        <f>N14*0.925/1.05</f>
        <v>15.55441658716607</v>
      </c>
      <c r="O16" s="643">
        <f t="shared" ref="O16:P16" si="4">O14*0.925/1.05</f>
        <v>17.305069002973504</v>
      </c>
      <c r="P16" s="643">
        <f t="shared" si="4"/>
        <v>15.015673725256528</v>
      </c>
      <c r="Q16" s="643">
        <f>Q15</f>
        <v>7.605132561957773</v>
      </c>
      <c r="R16" s="643">
        <f>R14*1.135/1.05</f>
        <v>12.961237649643785</v>
      </c>
      <c r="S16" s="643">
        <f t="shared" ref="S16:T16" si="5">S14*1.135/1.05</f>
        <v>5.3619848964600809</v>
      </c>
      <c r="T16" s="643">
        <f t="shared" si="5"/>
        <v>12.876124368879282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AA16" sqref="AA16"/>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44" bestFit="1" customWidth="1"/>
    <col min="13" max="13" width="6.5703125" style="650" customWidth="1"/>
    <col min="14" max="14" width="8.28515625" style="64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SUM(Y4:Y12)</f>
        <v>0.23658764552873529</v>
      </c>
      <c r="Z2" s="652">
        <f>SUM(Z4:Z12)</f>
        <v>0.33824859010884656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9" t="s">
        <v>1</v>
      </c>
      <c r="P3" s="647" t="s">
        <v>968</v>
      </c>
      <c r="Q3" s="646" t="s">
        <v>998</v>
      </c>
      <c r="R3" s="646" t="s">
        <v>1004</v>
      </c>
      <c r="S3" s="646" t="s">
        <v>999</v>
      </c>
      <c r="T3" s="646" t="s">
        <v>969</v>
      </c>
      <c r="U3" s="646" t="s">
        <v>596</v>
      </c>
      <c r="V3" s="646" t="s">
        <v>1003</v>
      </c>
      <c r="W3" s="647" t="s">
        <v>736</v>
      </c>
      <c r="X3" s="647" t="s">
        <v>67</v>
      </c>
      <c r="Y3" s="646" t="s">
        <v>1001</v>
      </c>
      <c r="Z3" s="649" t="s">
        <v>1002</v>
      </c>
      <c r="AA3" s="649" t="s">
        <v>1007</v>
      </c>
      <c r="AD3" t="s">
        <v>1</v>
      </c>
      <c r="AE3" t="s">
        <v>928</v>
      </c>
      <c r="AG3" t="s">
        <v>1</v>
      </c>
      <c r="AH3" t="s">
        <v>928</v>
      </c>
    </row>
    <row r="4" spans="1:34" x14ac:dyDescent="0.25">
      <c r="A4" s="312" t="str">
        <f>PLANTILLA!A17</f>
        <v>#12</v>
      </c>
      <c r="B4" s="170" t="str">
        <f>PLANTILLA!D17</f>
        <v>E. Gross</v>
      </c>
      <c r="C4" s="5">
        <f>PLANTILLA!E17</f>
        <v>30</v>
      </c>
      <c r="D4" s="5">
        <f ca="1">PLANTILLA!F17</f>
        <v>74</v>
      </c>
      <c r="E4" s="163">
        <f>PLANTILLA!X17</f>
        <v>0</v>
      </c>
      <c r="F4" s="163">
        <f>PLANTILLA!Y17</f>
        <v>10.349999999999996</v>
      </c>
      <c r="G4" s="163">
        <f>PLANTILLA!Z17</f>
        <v>12.859777777777778</v>
      </c>
      <c r="H4" s="163">
        <f>PLANTILLA!AA17</f>
        <v>5.1299999999999981</v>
      </c>
      <c r="I4" s="163">
        <f>PLANTILLA!AB17</f>
        <v>9.24</v>
      </c>
      <c r="J4" s="163">
        <f>PLANTILLA!AC17</f>
        <v>2.98</v>
      </c>
      <c r="K4" s="163">
        <f>PLANTILLA!AD17</f>
        <v>16.959999999999997</v>
      </c>
      <c r="L4" s="363">
        <f>1/13</f>
        <v>7.6923076923076927E-2</v>
      </c>
      <c r="M4" s="363"/>
      <c r="N4" s="36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38">
        <f>P4</f>
        <v>6.6819197896120994E-2</v>
      </c>
      <c r="Z4" s="438">
        <f>P4</f>
        <v>6.6819197896120994E-2</v>
      </c>
      <c r="AA4" s="438">
        <f t="shared" ref="AA4:AA23" si="9">MAX(Z4,Y4)</f>
        <v>6.6819197896120994E-2</v>
      </c>
      <c r="AD4" t="s">
        <v>967</v>
      </c>
      <c r="AE4" s="668" t="s">
        <v>1020</v>
      </c>
      <c r="AG4" t="s">
        <v>967</v>
      </c>
      <c r="AH4" s="668" t="str">
        <f>AE4</f>
        <v>B. Pinczehelyi</v>
      </c>
    </row>
    <row r="5" spans="1:34" x14ac:dyDescent="0.25">
      <c r="A5" s="312" t="str">
        <f>PLANTILLA!A10</f>
        <v>#3</v>
      </c>
      <c r="B5" s="170" t="str">
        <f>PLANTILLA!D10</f>
        <v>B. Bartolache</v>
      </c>
      <c r="C5" s="5">
        <f>PLANTILLA!E10</f>
        <v>30</v>
      </c>
      <c r="D5" s="5">
        <f ca="1">PLANTILLA!F10</f>
        <v>110</v>
      </c>
      <c r="E5" s="163">
        <f>PLANTILLA!X10</f>
        <v>0</v>
      </c>
      <c r="F5" s="163">
        <f>PLANTILLA!Y10</f>
        <v>11.649999999999997</v>
      </c>
      <c r="G5" s="163">
        <f>PLANTILLA!Z10</f>
        <v>6.700000000000002</v>
      </c>
      <c r="H5" s="163">
        <f>PLANTILLA!AA10</f>
        <v>7.4300000000000015</v>
      </c>
      <c r="I5" s="163">
        <f>PLANTILLA!AB10</f>
        <v>9.0199999999999978</v>
      </c>
      <c r="J5" s="163">
        <f>PLANTILLA!AC10</f>
        <v>4.6199999999999966</v>
      </c>
      <c r="K5" s="163">
        <f>PLANTILLA!AD10</f>
        <v>15.6</v>
      </c>
      <c r="L5" s="363">
        <f>1/15</f>
        <v>6.6666666666666666E-2</v>
      </c>
      <c r="M5" s="363"/>
      <c r="N5" s="36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38"/>
      <c r="Z5" s="438">
        <f>R5</f>
        <v>4.8982336182336182E-2</v>
      </c>
      <c r="AA5" s="438">
        <f t="shared" si="9"/>
        <v>4.8982336182336182E-2</v>
      </c>
      <c r="AD5" t="s">
        <v>968</v>
      </c>
      <c r="AE5" t="s">
        <v>312</v>
      </c>
      <c r="AG5" t="s">
        <v>979</v>
      </c>
      <c r="AH5" t="s">
        <v>313</v>
      </c>
    </row>
    <row r="6" spans="1:34" x14ac:dyDescent="0.25">
      <c r="A6" s="312" t="str">
        <f>PLANTILLA!A8</f>
        <v>#8</v>
      </c>
      <c r="B6" s="170" t="str">
        <f>PLANTILLA!D8</f>
        <v>D. Toh</v>
      </c>
      <c r="C6" s="5">
        <f>PLANTILLA!E8</f>
        <v>31</v>
      </c>
      <c r="D6" s="5">
        <f ca="1">PLANTILLA!F8</f>
        <v>59</v>
      </c>
      <c r="E6" s="163">
        <f>PLANTILLA!X8</f>
        <v>0</v>
      </c>
      <c r="F6" s="163">
        <f>PLANTILLA!Y8</f>
        <v>11</v>
      </c>
      <c r="G6" s="163">
        <f>PLANTILLA!Z8</f>
        <v>6.1894444444444412</v>
      </c>
      <c r="H6" s="163">
        <f>PLANTILLA!AA8</f>
        <v>6.04</v>
      </c>
      <c r="I6" s="163">
        <f>PLANTILLA!AB8</f>
        <v>7.7227777777777789</v>
      </c>
      <c r="J6" s="163">
        <f>PLANTILLA!AC8</f>
        <v>4.383333333333332</v>
      </c>
      <c r="K6" s="163">
        <f>PLANTILLA!AD8</f>
        <v>15.349999999999998</v>
      </c>
      <c r="L6" s="363">
        <f>1/15</f>
        <v>6.6666666666666666E-2</v>
      </c>
      <c r="M6" s="363"/>
      <c r="N6" s="36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38"/>
      <c r="Z6" s="438">
        <f>R6</f>
        <v>4.8982336182336182E-2</v>
      </c>
      <c r="AA6" s="438">
        <f t="shared" si="9"/>
        <v>4.8982336182336182E-2</v>
      </c>
      <c r="AD6" t="s">
        <v>967</v>
      </c>
      <c r="AE6" t="s">
        <v>309</v>
      </c>
      <c r="AG6" t="s">
        <v>978</v>
      </c>
      <c r="AH6" t="s">
        <v>309</v>
      </c>
    </row>
    <row r="7" spans="1:34" x14ac:dyDescent="0.25">
      <c r="A7" s="312" t="str">
        <f>PLANTILLA!A9</f>
        <v>#2</v>
      </c>
      <c r="B7" s="170" t="str">
        <f>PLANTILLA!D9</f>
        <v>E. Toney</v>
      </c>
      <c r="C7" s="5">
        <f>PLANTILLA!E9</f>
        <v>31</v>
      </c>
      <c r="D7" s="5">
        <f ca="1">PLANTILLA!F9</f>
        <v>13</v>
      </c>
      <c r="E7" s="163">
        <f>PLANTILLA!X9</f>
        <v>0</v>
      </c>
      <c r="F7" s="163">
        <f>PLANTILLA!Y9</f>
        <v>12.060000000000004</v>
      </c>
      <c r="G7" s="163">
        <f>PLANTILLA!Z9</f>
        <v>13.116555555555554</v>
      </c>
      <c r="H7" s="163">
        <f>PLANTILLA!AA9</f>
        <v>9.8200000000000056</v>
      </c>
      <c r="I7" s="163">
        <f>PLANTILLA!AB9</f>
        <v>9.6</v>
      </c>
      <c r="J7" s="163">
        <f>PLANTILLA!AC9</f>
        <v>3.6816666666666658</v>
      </c>
      <c r="K7" s="163">
        <f>PLANTILLA!AD9</f>
        <v>16.627777777777773</v>
      </c>
      <c r="L7" s="363">
        <f>1/18</f>
        <v>5.5555555555555552E-2</v>
      </c>
      <c r="M7" s="363"/>
      <c r="N7" s="36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38">
        <f>S7</f>
        <v>3.930579297245964E-2</v>
      </c>
      <c r="Z7" s="438">
        <f>R7</f>
        <v>4.0818613485280153E-2</v>
      </c>
      <c r="AA7" s="438">
        <f t="shared" si="9"/>
        <v>4.0818613485280153E-2</v>
      </c>
      <c r="AD7" t="s">
        <v>596</v>
      </c>
      <c r="AE7" t="s">
        <v>752</v>
      </c>
      <c r="AG7" t="s">
        <v>979</v>
      </c>
      <c r="AH7" t="s">
        <v>315</v>
      </c>
    </row>
    <row r="8" spans="1:34" x14ac:dyDescent="0.25">
      <c r="A8" s="312" t="str">
        <f>PLANTILLA!A12</f>
        <v>#7</v>
      </c>
      <c r="B8" s="170" t="str">
        <f>PLANTILLA!D12</f>
        <v>E. Romweber</v>
      </c>
      <c r="C8" s="5">
        <f>PLANTILLA!E12</f>
        <v>30</v>
      </c>
      <c r="D8" s="5">
        <f ca="1">PLANTILLA!F12</f>
        <v>87</v>
      </c>
      <c r="E8" s="163">
        <f>PLANTILLA!X12</f>
        <v>0</v>
      </c>
      <c r="F8" s="163">
        <f>PLANTILLA!Y12</f>
        <v>11.95</v>
      </c>
      <c r="G8" s="163">
        <f>PLANTILLA!Z12</f>
        <v>12.489111111111114</v>
      </c>
      <c r="H8" s="163">
        <f>PLANTILLA!AA12</f>
        <v>13.133333333333335</v>
      </c>
      <c r="I8" s="163">
        <f>PLANTILLA!AB12</f>
        <v>10.91</v>
      </c>
      <c r="J8" s="163">
        <f>PLANTILLA!AC12</f>
        <v>7.7700000000000005</v>
      </c>
      <c r="K8" s="163">
        <f>PLANTILLA!AD12</f>
        <v>17.13</v>
      </c>
      <c r="L8" s="363">
        <f>1/18</f>
        <v>5.5555555555555552E-2</v>
      </c>
      <c r="M8" s="363"/>
      <c r="N8" s="36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38">
        <f>V8</f>
        <v>9.3280555555555547E-3</v>
      </c>
      <c r="Z8" s="438">
        <f>S8</f>
        <v>3.930579297245964E-2</v>
      </c>
      <c r="AA8" s="438">
        <f t="shared" si="9"/>
        <v>3.930579297245964E-2</v>
      </c>
      <c r="AD8" t="s">
        <v>969</v>
      </c>
      <c r="AE8" t="s">
        <v>440</v>
      </c>
      <c r="AG8" t="s">
        <v>967</v>
      </c>
      <c r="AH8" t="s">
        <v>980</v>
      </c>
    </row>
    <row r="9" spans="1:34" x14ac:dyDescent="0.25">
      <c r="A9" s="312" t="str">
        <f>PLANTILLA!A21</f>
        <v>#19</v>
      </c>
      <c r="B9" s="170" t="str">
        <f>PLANTILLA!D21</f>
        <v>G. Kerschl</v>
      </c>
      <c r="C9" s="5">
        <f>PLANTILLA!E21</f>
        <v>28</v>
      </c>
      <c r="D9" s="5">
        <f ca="1">PLANTILLA!F21</f>
        <v>76</v>
      </c>
      <c r="E9" s="163">
        <f>PLANTILLA!X21</f>
        <v>0</v>
      </c>
      <c r="F9" s="163">
        <f>PLANTILLA!Y21</f>
        <v>2</v>
      </c>
      <c r="G9" s="163">
        <f>PLANTILLA!Z21</f>
        <v>14.55</v>
      </c>
      <c r="H9" s="163">
        <f>PLANTILLA!AA21</f>
        <v>12.01</v>
      </c>
      <c r="I9" s="163">
        <f>PLANTILLA!AB21</f>
        <v>12</v>
      </c>
      <c r="J9" s="163">
        <f>PLANTILLA!AC21</f>
        <v>8</v>
      </c>
      <c r="K9" s="163">
        <f>PLANTILLA!AD21</f>
        <v>2</v>
      </c>
      <c r="L9" s="363">
        <f>1/5</f>
        <v>0.2</v>
      </c>
      <c r="M9" s="363"/>
      <c r="N9" s="36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38">
        <f>U9</f>
        <v>3.6839999999999998E-2</v>
      </c>
      <c r="Z9" s="438">
        <f>U9</f>
        <v>3.6839999999999998E-2</v>
      </c>
      <c r="AA9" s="438">
        <f t="shared" si="9"/>
        <v>3.6839999999999998E-2</v>
      </c>
      <c r="AD9" t="s">
        <v>596</v>
      </c>
      <c r="AE9" t="s">
        <v>325</v>
      </c>
      <c r="AG9" t="s">
        <v>596</v>
      </c>
      <c r="AH9" t="s">
        <v>325</v>
      </c>
    </row>
    <row r="10" spans="1:34" x14ac:dyDescent="0.25">
      <c r="A10" s="312" t="str">
        <f>PLANTILLA!A7</f>
        <v>#17</v>
      </c>
      <c r="B10" s="170" t="str">
        <f>PLANTILLA!D7</f>
        <v>B. Pinczehelyi</v>
      </c>
      <c r="C10" s="5">
        <f>PLANTILLA!E7</f>
        <v>30</v>
      </c>
      <c r="D10" s="5">
        <f ca="1">PLANTILLA!F7</f>
        <v>14</v>
      </c>
      <c r="E10" s="163">
        <f>PLANTILLA!X7</f>
        <v>0</v>
      </c>
      <c r="F10" s="163">
        <f>PLANTILLA!Y7</f>
        <v>14.200000000000003</v>
      </c>
      <c r="G10" s="163">
        <f>PLANTILLA!Z7</f>
        <v>9.3093333333333348</v>
      </c>
      <c r="H10" s="163">
        <f>PLANTILLA!AA7</f>
        <v>14.291666666666663</v>
      </c>
      <c r="I10" s="163">
        <f>PLANTILLA!AB7</f>
        <v>9.4199999999999982</v>
      </c>
      <c r="J10" s="163">
        <f>PLANTILLA!AC7</f>
        <v>1.1428571428571428</v>
      </c>
      <c r="K10" s="163">
        <f>PLANTILLA!AD7</f>
        <v>9.4</v>
      </c>
      <c r="L10" s="363">
        <f>1/25</f>
        <v>0.04</v>
      </c>
      <c r="M10" s="363"/>
      <c r="N10" s="36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38">
        <f>S10</f>
        <v>2.8300170940170941E-2</v>
      </c>
      <c r="Z10" s="438">
        <f>S10</f>
        <v>2.8300170940170941E-2</v>
      </c>
      <c r="AA10" s="438">
        <f t="shared" si="9"/>
        <v>2.8300170940170941E-2</v>
      </c>
      <c r="AD10" t="s">
        <v>970</v>
      </c>
      <c r="AE10" t="s">
        <v>980</v>
      </c>
      <c r="AG10" t="s">
        <v>596</v>
      </c>
      <c r="AH10" t="s">
        <v>752</v>
      </c>
    </row>
    <row r="11" spans="1:34" x14ac:dyDescent="0.25">
      <c r="A11" s="312" t="str">
        <f>PLANTILLA!A5</f>
        <v>#1</v>
      </c>
      <c r="B11" s="170" t="str">
        <f>PLANTILLA!D5</f>
        <v>D. Gehmacher</v>
      </c>
      <c r="C11" s="5">
        <f>PLANTILLA!E5</f>
        <v>30</v>
      </c>
      <c r="D11" s="5">
        <f ca="1">PLANTILLA!F5</f>
        <v>2</v>
      </c>
      <c r="E11" s="163">
        <f>PLANTILLA!X5</f>
        <v>16.666666666666668</v>
      </c>
      <c r="F11" s="163">
        <f>PLANTILLA!Y5</f>
        <v>11.832727272727276</v>
      </c>
      <c r="G11" s="163">
        <f>PLANTILLA!Z5</f>
        <v>2.0399999999999991</v>
      </c>
      <c r="H11" s="163">
        <f>PLANTILLA!AA5</f>
        <v>2.1399999999999992</v>
      </c>
      <c r="I11" s="163">
        <f>PLANTILLA!AB5</f>
        <v>1.0400000000000003</v>
      </c>
      <c r="J11" s="163">
        <f>PLANTILLA!AC5</f>
        <v>0.14055555555555557</v>
      </c>
      <c r="K11" s="163">
        <f>PLANTILLA!AD5</f>
        <v>17.849999999999998</v>
      </c>
      <c r="L11" s="363">
        <f>1/12</f>
        <v>8.3333333333333329E-2</v>
      </c>
      <c r="M11" s="363"/>
      <c r="N11" s="36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38">
        <f>O11</f>
        <v>2.8200142450142449E-2</v>
      </c>
      <c r="Z11" s="438">
        <f>O11</f>
        <v>2.8200142450142449E-2</v>
      </c>
      <c r="AA11" s="438">
        <f t="shared" si="9"/>
        <v>2.8200142450142449E-2</v>
      </c>
      <c r="AD11" t="s">
        <v>970</v>
      </c>
      <c r="AE11" t="s">
        <v>338</v>
      </c>
      <c r="AG11" t="s">
        <v>970</v>
      </c>
      <c r="AH11" t="s">
        <v>338</v>
      </c>
    </row>
    <row r="12" spans="1:34" x14ac:dyDescent="0.25">
      <c r="A12" s="312" t="str">
        <f>PLANTILLA!A18</f>
        <v>#5</v>
      </c>
      <c r="B12" s="170" t="str">
        <f>PLANTILLA!D18</f>
        <v>L. Bauman</v>
      </c>
      <c r="C12" s="5">
        <f>PLANTILLA!E18</f>
        <v>30</v>
      </c>
      <c r="D12" s="5">
        <f ca="1">PLANTILLA!F18</f>
        <v>49</v>
      </c>
      <c r="E12" s="163">
        <f>PLANTILLA!X18</f>
        <v>0</v>
      </c>
      <c r="F12" s="163">
        <f>PLANTILLA!Y18</f>
        <v>5.2811111111111115</v>
      </c>
      <c r="G12" s="163">
        <f>PLANTILLA!Z18</f>
        <v>14.283789947089938</v>
      </c>
      <c r="H12" s="163">
        <f>PLANTILLA!AA18</f>
        <v>3.5124999999999993</v>
      </c>
      <c r="I12" s="163">
        <f>PLANTILLA!AB18</f>
        <v>9.1400000000000041</v>
      </c>
      <c r="J12" s="163">
        <f>PLANTILLA!AC18</f>
        <v>7.4318888888888894</v>
      </c>
      <c r="K12" s="163">
        <f>PLANTILLA!AD18</f>
        <v>16.07</v>
      </c>
      <c r="L12" s="363">
        <f>1/7</f>
        <v>0.14285714285714285</v>
      </c>
      <c r="M12" s="363"/>
      <c r="N12" s="36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38">
        <f>T12</f>
        <v>2.7794285714285716E-2</v>
      </c>
      <c r="Z12" s="438">
        <f>W12</f>
        <v>0</v>
      </c>
      <c r="AA12" s="438">
        <f t="shared" si="9"/>
        <v>2.7794285714285716E-2</v>
      </c>
      <c r="AD12" t="s">
        <v>67</v>
      </c>
      <c r="AE12" t="s">
        <v>327</v>
      </c>
      <c r="AG12" t="s">
        <v>970</v>
      </c>
      <c r="AH12" t="s">
        <v>600</v>
      </c>
    </row>
    <row r="13" spans="1:34" x14ac:dyDescent="0.25">
      <c r="A13" s="312" t="str">
        <f>PLANTILLA!A13</f>
        <v>#11</v>
      </c>
      <c r="B13" s="237" t="str">
        <f>PLANTILLA!D13</f>
        <v>K. Helms</v>
      </c>
      <c r="C13" s="5">
        <f>PLANTILLA!E13</f>
        <v>30</v>
      </c>
      <c r="D13" s="5">
        <f ca="1">PLANTILLA!F13</f>
        <v>34</v>
      </c>
      <c r="E13" s="163">
        <f>PLANTILLA!X13</f>
        <v>0</v>
      </c>
      <c r="F13" s="163">
        <f>PLANTILLA!Y13</f>
        <v>7.11</v>
      </c>
      <c r="G13" s="163">
        <f>PLANTILLA!Z13</f>
        <v>10.450000000000003</v>
      </c>
      <c r="H13" s="163">
        <f>PLANTILLA!AA13</f>
        <v>13.388333333333334</v>
      </c>
      <c r="I13" s="163">
        <f>PLANTILLA!AB13</f>
        <v>10.359999999999998</v>
      </c>
      <c r="J13" s="163">
        <f>PLANTILLA!AC13</f>
        <v>5.4050000000000002</v>
      </c>
      <c r="K13" s="163">
        <f>PLANTILLA!AD13</f>
        <v>17.300000000000004</v>
      </c>
      <c r="L13" s="363">
        <f>1/8</f>
        <v>0.125</v>
      </c>
      <c r="M13" s="363"/>
      <c r="N13" s="36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38">
        <f>V13</f>
        <v>2.0988125E-2</v>
      </c>
      <c r="Z13" s="438">
        <f>V13</f>
        <v>2.0988125E-2</v>
      </c>
      <c r="AA13" s="438">
        <f t="shared" si="9"/>
        <v>2.0988125E-2</v>
      </c>
      <c r="AD13" t="s">
        <v>67</v>
      </c>
      <c r="AE13" t="s">
        <v>600</v>
      </c>
      <c r="AG13" t="s">
        <v>67</v>
      </c>
      <c r="AH13" t="s">
        <v>327</v>
      </c>
    </row>
    <row r="14" spans="1:34" x14ac:dyDescent="0.25">
      <c r="A14" s="312" t="str">
        <f>PLANTILLA!A14</f>
        <v>#10</v>
      </c>
      <c r="B14" s="237" t="str">
        <f>PLANTILLA!D14</f>
        <v>S. Zobbe</v>
      </c>
      <c r="C14" s="5">
        <f>PLANTILLA!E14</f>
        <v>27</v>
      </c>
      <c r="D14" s="5">
        <f ca="1">PLANTILLA!F14</f>
        <v>49</v>
      </c>
      <c r="E14" s="163">
        <f>PLANTILLA!X14</f>
        <v>0</v>
      </c>
      <c r="F14" s="163">
        <f>PLANTILLA!Y14</f>
        <v>8.1199999999999992</v>
      </c>
      <c r="G14" s="163">
        <f>PLANTILLA!Z14</f>
        <v>12.058412698412699</v>
      </c>
      <c r="H14" s="163">
        <f>PLANTILLA!AA14</f>
        <v>12.25</v>
      </c>
      <c r="I14" s="163">
        <f>PLANTILLA!AB14</f>
        <v>10.24</v>
      </c>
      <c r="J14" s="163">
        <f>PLANTILLA!AC14</f>
        <v>7.4766666666666666</v>
      </c>
      <c r="K14" s="163">
        <f>PLANTILLA!AD14</f>
        <v>15.270000000000001</v>
      </c>
      <c r="L14" s="363">
        <f>1/9</f>
        <v>0.1111111111111111</v>
      </c>
      <c r="M14" s="363"/>
      <c r="N14" s="36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38">
        <f>V14</f>
        <v>1.8656111111111109E-2</v>
      </c>
      <c r="Z14" s="438">
        <f>V14</f>
        <v>1.8656111111111109E-2</v>
      </c>
      <c r="AA14" s="438">
        <f t="shared" si="9"/>
        <v>1.8656111111111109E-2</v>
      </c>
    </row>
    <row r="15" spans="1:34" x14ac:dyDescent="0.25">
      <c r="A15" s="312" t="str">
        <f>PLANTILLA!A15</f>
        <v>#6</v>
      </c>
      <c r="B15" s="237" t="str">
        <f>PLANTILLA!D15</f>
        <v>S. Buschelman</v>
      </c>
      <c r="C15" s="5">
        <f>PLANTILLA!E15</f>
        <v>29</v>
      </c>
      <c r="D15" s="5">
        <f ca="1">PLANTILLA!F15</f>
        <v>46</v>
      </c>
      <c r="E15" s="163">
        <f>PLANTILLA!X15</f>
        <v>0</v>
      </c>
      <c r="F15" s="163">
        <f>PLANTILLA!Y15</f>
        <v>9.1936666666666653</v>
      </c>
      <c r="G15" s="163">
        <f>PLANTILLA!Z15</f>
        <v>13.679999999999998</v>
      </c>
      <c r="H15" s="163">
        <f>PLANTILLA!AA15</f>
        <v>12.835000000000001</v>
      </c>
      <c r="I15" s="163">
        <f>PLANTILLA!AB15</f>
        <v>9.6733333333333356</v>
      </c>
      <c r="J15" s="163">
        <f>PLANTILLA!AC15</f>
        <v>5.0296666666666656</v>
      </c>
      <c r="K15" s="163">
        <f>PLANTILLA!AD15</f>
        <v>15.2</v>
      </c>
      <c r="L15" s="363">
        <f>1/10</f>
        <v>0.1</v>
      </c>
      <c r="M15" s="363"/>
      <c r="N15" s="36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38">
        <f>U15</f>
        <v>1.8419999999999999E-2</v>
      </c>
      <c r="Z15" s="438">
        <f>U15</f>
        <v>1.8419999999999999E-2</v>
      </c>
      <c r="AA15" s="438">
        <f t="shared" si="9"/>
        <v>1.8419999999999999E-2</v>
      </c>
    </row>
    <row r="16" spans="1:34" x14ac:dyDescent="0.25">
      <c r="A16" s="312" t="str">
        <f>PLANTILLA!A16</f>
        <v>#4</v>
      </c>
      <c r="B16" s="237" t="str">
        <f>PLANTILLA!D16</f>
        <v>C. Rojas</v>
      </c>
      <c r="C16" s="5">
        <f>PLANTILLA!E16</f>
        <v>31</v>
      </c>
      <c r="D16" s="5">
        <f ca="1">PLANTILLA!F16</f>
        <v>80</v>
      </c>
      <c r="E16" s="163">
        <f>PLANTILLA!X16</f>
        <v>0</v>
      </c>
      <c r="F16" s="163">
        <f>PLANTILLA!Y16</f>
        <v>8.6075555555555585</v>
      </c>
      <c r="G16" s="163">
        <f>PLANTILLA!Z16</f>
        <v>14.190398412698405</v>
      </c>
      <c r="H16" s="163">
        <f>PLANTILLA!AA16</f>
        <v>9.99</v>
      </c>
      <c r="I16" s="163">
        <f>PLANTILLA!AB16</f>
        <v>10.09</v>
      </c>
      <c r="J16" s="163">
        <f>PLANTILLA!AC16</f>
        <v>4.3999999999999995</v>
      </c>
      <c r="K16" s="163">
        <f>PLANTILLA!AD16</f>
        <v>16.544444444444441</v>
      </c>
      <c r="L16" s="363">
        <f>1/11</f>
        <v>9.0909090909090912E-2</v>
      </c>
      <c r="M16" s="363"/>
      <c r="N16" s="36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38">
        <f>U16</f>
        <v>1.6745454545454543E-2</v>
      </c>
      <c r="Z16" s="438">
        <f>U16</f>
        <v>1.6745454545454543E-2</v>
      </c>
      <c r="AA16" s="438">
        <f t="shared" si="9"/>
        <v>1.6745454545454543E-2</v>
      </c>
    </row>
    <row r="17" spans="1:27" x14ac:dyDescent="0.25">
      <c r="A17" s="312" t="str">
        <f>PLANTILLA!A22</f>
        <v>#9</v>
      </c>
      <c r="B17" s="312" t="str">
        <f>PLANTILLA!D22</f>
        <v>J. Limon</v>
      </c>
      <c r="C17" s="5">
        <f>PLANTILLA!E22</f>
        <v>29</v>
      </c>
      <c r="D17" s="5">
        <f ca="1">PLANTILLA!F22</f>
        <v>86</v>
      </c>
      <c r="E17" s="163">
        <f>PLANTILLA!X22</f>
        <v>0</v>
      </c>
      <c r="F17" s="163">
        <f>PLANTILLA!Y22</f>
        <v>6.8176190476190497</v>
      </c>
      <c r="G17" s="163">
        <f>PLANTILLA!Z22</f>
        <v>8.5</v>
      </c>
      <c r="H17" s="163">
        <f>PLANTILLA!AA22</f>
        <v>8.7299999999999969</v>
      </c>
      <c r="I17" s="163">
        <f>PLANTILLA!AB22</f>
        <v>9.6900000000000013</v>
      </c>
      <c r="J17" s="163">
        <f>PLANTILLA!AC22</f>
        <v>8.5625000000000018</v>
      </c>
      <c r="K17" s="163">
        <f>PLANTILLA!AD22</f>
        <v>18.639999999999993</v>
      </c>
      <c r="L17" s="363">
        <f>1/8</f>
        <v>0.125</v>
      </c>
      <c r="M17" s="363"/>
      <c r="N17" s="36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38">
        <v>0</v>
      </c>
      <c r="Z17" s="438">
        <v>0</v>
      </c>
      <c r="AA17" s="438">
        <f t="shared" si="9"/>
        <v>0</v>
      </c>
    </row>
    <row r="18" spans="1:27" x14ac:dyDescent="0.25">
      <c r="A18" s="312" t="str">
        <f>PLANTILLA!A24</f>
        <v>#15</v>
      </c>
      <c r="B18" s="312" t="str">
        <f>PLANTILLA!D24</f>
        <v>P .Trivadi</v>
      </c>
      <c r="C18" s="5">
        <f>PLANTILLA!E24</f>
        <v>27</v>
      </c>
      <c r="D18" s="5">
        <f ca="1">PLANTILLA!F24</f>
        <v>5</v>
      </c>
      <c r="E18" s="163">
        <f>PLANTILLA!X24</f>
        <v>0</v>
      </c>
      <c r="F18" s="163">
        <f>PLANTILLA!Y24</f>
        <v>4</v>
      </c>
      <c r="G18" s="163">
        <f>PLANTILLA!Z24</f>
        <v>5.5438722222222205</v>
      </c>
      <c r="H18" s="163">
        <f>PLANTILLA!AA24</f>
        <v>5.4899999999999993</v>
      </c>
      <c r="I18" s="163">
        <f>PLANTILLA!AB24</f>
        <v>10.799999999999999</v>
      </c>
      <c r="J18" s="163">
        <f>PLANTILLA!AC24</f>
        <v>8.384500000000001</v>
      </c>
      <c r="K18" s="163">
        <f>PLANTILLA!AD24</f>
        <v>13.566666666666668</v>
      </c>
      <c r="L18" s="363">
        <f>1/6</f>
        <v>0.16666666666666666</v>
      </c>
      <c r="M18" s="363"/>
      <c r="N18" s="36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38">
        <v>0</v>
      </c>
      <c r="Z18" s="438">
        <v>0</v>
      </c>
      <c r="AA18" s="438">
        <f t="shared" si="9"/>
        <v>0</v>
      </c>
    </row>
    <row r="19" spans="1:27" x14ac:dyDescent="0.25">
      <c r="A19" s="312" t="str">
        <f>PLANTILLA!A23</f>
        <v>#18</v>
      </c>
      <c r="B19" s="312" t="str">
        <f>PLANTILLA!D23</f>
        <v>L. Calosso</v>
      </c>
      <c r="C19" s="5">
        <f>PLANTILLA!E23</f>
        <v>30</v>
      </c>
      <c r="D19" s="5">
        <f ca="1">PLANTILLA!F23</f>
        <v>43</v>
      </c>
      <c r="E19" s="163">
        <f>PLANTILLA!X23</f>
        <v>0</v>
      </c>
      <c r="F19" s="163">
        <f>PLANTILLA!Y23</f>
        <v>2</v>
      </c>
      <c r="G19" s="163">
        <f>PLANTILLA!Z23</f>
        <v>14.127609523809523</v>
      </c>
      <c r="H19" s="163">
        <f>PLANTILLA!AA23</f>
        <v>3.02</v>
      </c>
      <c r="I19" s="163">
        <f>PLANTILLA!AB23</f>
        <v>15.02</v>
      </c>
      <c r="J19" s="163">
        <f>PLANTILLA!AC23</f>
        <v>10</v>
      </c>
      <c r="K19" s="163">
        <f>PLANTILLA!AD23</f>
        <v>9.3000000000000007</v>
      </c>
      <c r="L19" s="363">
        <f>1/5</f>
        <v>0.2</v>
      </c>
      <c r="M19" s="363"/>
      <c r="N19" s="36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38">
        <v>0</v>
      </c>
      <c r="Z19" s="438">
        <v>0</v>
      </c>
      <c r="AA19" s="438">
        <f t="shared" si="9"/>
        <v>0</v>
      </c>
    </row>
    <row r="20" spans="1:27" x14ac:dyDescent="0.25">
      <c r="A20" s="312" t="str">
        <f>PLANTILLA!A11</f>
        <v>#13</v>
      </c>
      <c r="B20" s="312" t="str">
        <f>PLANTILLA!D11</f>
        <v>F. Lasprilla</v>
      </c>
      <c r="C20" s="5">
        <f>PLANTILLA!E11</f>
        <v>27</v>
      </c>
      <c r="D20" s="5">
        <f ca="1">PLANTILLA!F11</f>
        <v>21</v>
      </c>
      <c r="E20" s="163">
        <f>PLANTILLA!X11</f>
        <v>0</v>
      </c>
      <c r="F20" s="163">
        <f>PLANTILLA!Y11</f>
        <v>9.5796666666666663</v>
      </c>
      <c r="G20" s="163">
        <f>PLANTILLA!Z11</f>
        <v>7.7407222222222227</v>
      </c>
      <c r="H20" s="163">
        <f>PLANTILLA!AA11</f>
        <v>6.1499999999999986</v>
      </c>
      <c r="I20" s="163">
        <f>PLANTILLA!AB11</f>
        <v>8.8633333333333315</v>
      </c>
      <c r="J20" s="163">
        <f>PLANTILLA!AC11</f>
        <v>3.2566666666666673</v>
      </c>
      <c r="K20" s="163">
        <f>PLANTILLA!AD11</f>
        <v>13.238888888888889</v>
      </c>
      <c r="L20" s="363"/>
      <c r="M20" s="363"/>
      <c r="N20" s="36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38"/>
      <c r="Z20" s="438"/>
      <c r="AA20" s="438">
        <f t="shared" si="9"/>
        <v>0</v>
      </c>
    </row>
    <row r="21" spans="1:27" x14ac:dyDescent="0.25">
      <c r="A21" s="312" t="str">
        <f>PLANTILLA!A19</f>
        <v>#14</v>
      </c>
      <c r="B21" s="312" t="str">
        <f>PLANTILLA!D19</f>
        <v>W. Gelifini</v>
      </c>
      <c r="C21" s="5">
        <f>PLANTILLA!E19</f>
        <v>28</v>
      </c>
      <c r="D21" s="5">
        <f ca="1">PLANTILLA!F19</f>
        <v>111</v>
      </c>
      <c r="E21" s="163">
        <f>PLANTILLA!X19</f>
        <v>0</v>
      </c>
      <c r="F21" s="163">
        <f>PLANTILLA!Y19</f>
        <v>5.6315555555555523</v>
      </c>
      <c r="G21" s="163">
        <f>PLANTILLA!Z19</f>
        <v>9.8523388888888874</v>
      </c>
      <c r="H21" s="163">
        <f>PLANTILLA!AA19</f>
        <v>7.0726666666666667</v>
      </c>
      <c r="I21" s="163">
        <f>PLANTILLA!AB19</f>
        <v>9.2666666666666639</v>
      </c>
      <c r="J21" s="163">
        <f>PLANTILLA!AC19</f>
        <v>3.5417777777777766</v>
      </c>
      <c r="K21" s="163">
        <f>PLANTILLA!AD19</f>
        <v>12.450000000000001</v>
      </c>
      <c r="L21" s="363"/>
      <c r="M21" s="363"/>
      <c r="N21" s="36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38"/>
      <c r="Z21" s="438"/>
      <c r="AA21" s="438">
        <f t="shared" si="9"/>
        <v>0</v>
      </c>
    </row>
    <row r="22" spans="1:27" x14ac:dyDescent="0.25">
      <c r="A22" s="312" t="str">
        <f>PLANTILLA!A6</f>
        <v>#16</v>
      </c>
      <c r="B22" s="312" t="str">
        <f>PLANTILLA!D6</f>
        <v>T. Hammond</v>
      </c>
      <c r="C22" s="5">
        <f>PLANTILLA!E6</f>
        <v>34</v>
      </c>
      <c r="D22" s="5">
        <f ca="1">PLANTILLA!F6</f>
        <v>11</v>
      </c>
      <c r="E22" s="163">
        <f>PLANTILLA!X6</f>
        <v>10.3</v>
      </c>
      <c r="F22" s="163">
        <f>PLANTILLA!Y6</f>
        <v>10.794999999999998</v>
      </c>
      <c r="G22" s="163">
        <f>PLANTILLA!Z6</f>
        <v>4.6300000000000008</v>
      </c>
      <c r="H22" s="163">
        <f>PLANTILLA!AA6</f>
        <v>4.95</v>
      </c>
      <c r="I22" s="163">
        <f>PLANTILLA!AB6</f>
        <v>6.5444444444444434</v>
      </c>
      <c r="J22" s="163">
        <f>PLANTILLA!AC6</f>
        <v>3.99</v>
      </c>
      <c r="K22" s="163">
        <f>PLANTILLA!AD6</f>
        <v>15.778888888888888</v>
      </c>
      <c r="L22" s="363"/>
      <c r="M22" s="363"/>
      <c r="N22" s="36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38"/>
      <c r="Z22" s="438"/>
      <c r="AA22" s="438">
        <f t="shared" si="9"/>
        <v>0</v>
      </c>
    </row>
    <row r="23" spans="1:27" x14ac:dyDescent="0.25">
      <c r="A23" s="312" t="str">
        <f>PLANTILLA!A20</f>
        <v>#89</v>
      </c>
      <c r="B23" s="312" t="str">
        <f>PLANTILLA!D20</f>
        <v>M. Amico</v>
      </c>
      <c r="C23" s="5">
        <f>PLANTILLA!E20</f>
        <v>29</v>
      </c>
      <c r="D23" s="5">
        <f ca="1">PLANTILLA!F20</f>
        <v>6</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s="363"/>
      <c r="M23" s="363"/>
      <c r="N23" s="36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38"/>
      <c r="Z23" s="438"/>
      <c r="AA23" s="438">
        <f t="shared" si="9"/>
        <v>0</v>
      </c>
    </row>
    <row r="26" spans="1:27" x14ac:dyDescent="0.25">
      <c r="B26" s="31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B11" activeCellId="3" sqref="B6 B7 B9 B11"/>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44" bestFit="1" customWidth="1"/>
    <col min="14" max="14" width="8.28515625" style="644"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42584</v>
      </c>
      <c r="Y2" s="652">
        <f>SUM(Y4:Y22)</f>
        <v>0.38669362836502424</v>
      </c>
      <c r="Z2" s="652">
        <f>SUM(Z4:Z22)</f>
        <v>0.36442744206594319</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997</v>
      </c>
      <c r="O3" s="647" t="s">
        <v>1</v>
      </c>
      <c r="P3" s="647" t="s">
        <v>968</v>
      </c>
      <c r="Q3" s="646" t="s">
        <v>998</v>
      </c>
      <c r="R3" s="646" t="s">
        <v>1004</v>
      </c>
      <c r="S3" s="646" t="s">
        <v>999</v>
      </c>
      <c r="T3" s="646" t="s">
        <v>969</v>
      </c>
      <c r="U3" s="646" t="s">
        <v>596</v>
      </c>
      <c r="V3" s="646" t="s">
        <v>1003</v>
      </c>
      <c r="W3" s="647" t="s">
        <v>736</v>
      </c>
      <c r="X3" s="651" t="s">
        <v>67</v>
      </c>
      <c r="Y3" s="649" t="s">
        <v>1001</v>
      </c>
      <c r="Z3" s="649" t="s">
        <v>1002</v>
      </c>
      <c r="AA3" s="649" t="s">
        <v>1007</v>
      </c>
      <c r="AD3" t="s">
        <v>1</v>
      </c>
      <c r="AE3" t="s">
        <v>928</v>
      </c>
      <c r="AG3" t="s">
        <v>1</v>
      </c>
      <c r="AH3" t="s">
        <v>928</v>
      </c>
    </row>
    <row r="4" spans="1:34" x14ac:dyDescent="0.25">
      <c r="A4" s="312" t="str">
        <f>PLANTILLA!A15</f>
        <v>#6</v>
      </c>
      <c r="B4" s="170" t="str">
        <f>PLANTILLA!D15</f>
        <v>S. Buschelman</v>
      </c>
      <c r="C4" s="312">
        <f>PLANTILLA!E15</f>
        <v>29</v>
      </c>
      <c r="D4" s="312">
        <f ca="1">PLANTILLA!F15</f>
        <v>46</v>
      </c>
      <c r="E4" s="163">
        <f>PLANTILLA!X15</f>
        <v>0</v>
      </c>
      <c r="F4" s="163">
        <f>PLANTILLA!Y15</f>
        <v>9.1936666666666653</v>
      </c>
      <c r="G4" s="163">
        <f>PLANTILLA!Z15</f>
        <v>13.679999999999998</v>
      </c>
      <c r="H4" s="163">
        <f>PLANTILLA!AA15</f>
        <v>12.835000000000001</v>
      </c>
      <c r="I4" s="163">
        <f>PLANTILLA!AB15</f>
        <v>9.6733333333333356</v>
      </c>
      <c r="J4" s="163">
        <f>PLANTILLA!AC15</f>
        <v>5.0296666666666656</v>
      </c>
      <c r="K4" s="163">
        <f>PLANTILLA!AD15</f>
        <v>15.2</v>
      </c>
      <c r="L4" s="648">
        <f>1/16</f>
        <v>6.25E-2</v>
      </c>
      <c r="M4" s="363">
        <f t="shared" ref="M4:M23" si="0">L4*0.5</f>
        <v>3.125E-2</v>
      </c>
      <c r="N4" s="36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38">
        <f>U4</f>
        <v>5.50625E-2</v>
      </c>
      <c r="Z4" s="438">
        <f>U4</f>
        <v>5.50625E-2</v>
      </c>
      <c r="AA4" s="438">
        <f t="shared" ref="AA4:AA23" si="11">MAX(Z4,Y4)</f>
        <v>5.50625E-2</v>
      </c>
      <c r="AD4" t="s">
        <v>967</v>
      </c>
      <c r="AE4" s="668" t="s">
        <v>1020</v>
      </c>
      <c r="AG4" t="s">
        <v>967</v>
      </c>
      <c r="AH4" s="668" t="str">
        <f>AE4</f>
        <v>B. Pinczehelyi</v>
      </c>
    </row>
    <row r="5" spans="1:34" x14ac:dyDescent="0.25">
      <c r="A5" s="312" t="str">
        <f>PLANTILLA!A18</f>
        <v>#5</v>
      </c>
      <c r="B5" s="170" t="str">
        <f>PLANTILLA!D18</f>
        <v>L. Bauman</v>
      </c>
      <c r="C5" s="312">
        <f>PLANTILLA!E18</f>
        <v>30</v>
      </c>
      <c r="D5" s="312">
        <f ca="1">PLANTILLA!F18</f>
        <v>49</v>
      </c>
      <c r="E5" s="163">
        <f>PLANTILLA!X18</f>
        <v>0</v>
      </c>
      <c r="F5" s="163">
        <f>PLANTILLA!Y18</f>
        <v>5.2811111111111115</v>
      </c>
      <c r="G5" s="163">
        <f>PLANTILLA!Z18</f>
        <v>14.283789947089938</v>
      </c>
      <c r="H5" s="163">
        <f>PLANTILLA!AA18</f>
        <v>3.5124999999999993</v>
      </c>
      <c r="I5" s="163">
        <f>PLANTILLA!AB18</f>
        <v>9.1400000000000041</v>
      </c>
      <c r="J5" s="163">
        <f>PLANTILLA!AC18</f>
        <v>7.4318888888888894</v>
      </c>
      <c r="K5" s="163">
        <f>PLANTILLA!AD18</f>
        <v>16.07</v>
      </c>
      <c r="L5" s="648">
        <f>1/21</f>
        <v>4.7619047619047616E-2</v>
      </c>
      <c r="M5" s="363">
        <f t="shared" si="0"/>
        <v>2.3809523809523808E-2</v>
      </c>
      <c r="N5" s="36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38">
        <f>T5</f>
        <v>4.7619047619047616E-2</v>
      </c>
      <c r="Z5" s="438">
        <f>W5</f>
        <v>1.9333333333333334E-2</v>
      </c>
      <c r="AA5" s="438">
        <f t="shared" si="11"/>
        <v>4.7619047619047616E-2</v>
      </c>
      <c r="AD5" t="s">
        <v>968</v>
      </c>
      <c r="AE5" t="s">
        <v>312</v>
      </c>
      <c r="AG5" t="s">
        <v>979</v>
      </c>
      <c r="AH5" t="s">
        <v>313</v>
      </c>
    </row>
    <row r="6" spans="1:34" x14ac:dyDescent="0.25">
      <c r="A6" s="312" t="str">
        <f>PLANTILLA!A22</f>
        <v>#9</v>
      </c>
      <c r="B6" s="170" t="str">
        <f>PLANTILLA!D22</f>
        <v>J. Limon</v>
      </c>
      <c r="C6" s="312">
        <f>PLANTILLA!E22</f>
        <v>29</v>
      </c>
      <c r="D6" s="312">
        <f ca="1">PLANTILLA!F22</f>
        <v>86</v>
      </c>
      <c r="E6" s="163">
        <f>PLANTILLA!X22</f>
        <v>0</v>
      </c>
      <c r="F6" s="163">
        <f>PLANTILLA!Y22</f>
        <v>6.8176190476190497</v>
      </c>
      <c r="G6" s="163">
        <f>PLANTILLA!Z22</f>
        <v>8.5</v>
      </c>
      <c r="H6" s="163">
        <f>PLANTILLA!AA22</f>
        <v>8.7299999999999969</v>
      </c>
      <c r="I6" s="163">
        <f>PLANTILLA!AB22</f>
        <v>9.6900000000000013</v>
      </c>
      <c r="J6" s="163">
        <f>PLANTILLA!AC22</f>
        <v>8.5625000000000018</v>
      </c>
      <c r="K6" s="163">
        <f>PLANTILLA!AD22</f>
        <v>18.639999999999993</v>
      </c>
      <c r="L6" s="363">
        <f>1/9</f>
        <v>0.1111111111111111</v>
      </c>
      <c r="M6" s="363">
        <f t="shared" si="0"/>
        <v>5.5555555555555552E-2</v>
      </c>
      <c r="N6" s="36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38">
        <f>W6</f>
        <v>4.5111111111111109E-2</v>
      </c>
      <c r="Z6" s="438"/>
      <c r="AA6" s="438">
        <f t="shared" si="11"/>
        <v>4.5111111111111109E-2</v>
      </c>
      <c r="AD6" t="s">
        <v>967</v>
      </c>
      <c r="AE6" t="s">
        <v>309</v>
      </c>
      <c r="AG6" t="s">
        <v>978</v>
      </c>
      <c r="AH6" t="s">
        <v>309</v>
      </c>
    </row>
    <row r="7" spans="1:34" x14ac:dyDescent="0.25">
      <c r="A7" s="312" t="str">
        <f>PLANTILLA!A21</f>
        <v>#19</v>
      </c>
      <c r="B7" s="170" t="str">
        <f>PLANTILLA!D21</f>
        <v>G. Kerschl</v>
      </c>
      <c r="C7" s="312">
        <f>PLANTILLA!E21</f>
        <v>28</v>
      </c>
      <c r="D7" s="312">
        <f ca="1">PLANTILLA!F21</f>
        <v>76</v>
      </c>
      <c r="E7" s="163">
        <f>PLANTILLA!X21</f>
        <v>0</v>
      </c>
      <c r="F7" s="163">
        <f>PLANTILLA!Y21</f>
        <v>2</v>
      </c>
      <c r="G7" s="163">
        <f>PLANTILLA!Z21</f>
        <v>14.55</v>
      </c>
      <c r="H7" s="163">
        <f>PLANTILLA!AA21</f>
        <v>12.01</v>
      </c>
      <c r="I7" s="163">
        <f>PLANTILLA!AB21</f>
        <v>12</v>
      </c>
      <c r="J7" s="163">
        <f>PLANTILLA!AC21</f>
        <v>8</v>
      </c>
      <c r="K7" s="163">
        <f>PLANTILLA!AD21</f>
        <v>2</v>
      </c>
      <c r="L7">
        <f>1/20</f>
        <v>0.05</v>
      </c>
      <c r="M7" s="363">
        <f t="shared" si="0"/>
        <v>2.5000000000000001E-2</v>
      </c>
      <c r="N7" s="36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38">
        <f>U7</f>
        <v>4.4050000000000006E-2</v>
      </c>
      <c r="Z7" s="438">
        <f>U7</f>
        <v>4.4050000000000006E-2</v>
      </c>
      <c r="AA7" s="438">
        <f t="shared" si="11"/>
        <v>4.4050000000000006E-2</v>
      </c>
      <c r="AD7" t="s">
        <v>596</v>
      </c>
      <c r="AE7" t="s">
        <v>752</v>
      </c>
      <c r="AG7" t="s">
        <v>979</v>
      </c>
      <c r="AH7" t="s">
        <v>315</v>
      </c>
    </row>
    <row r="8" spans="1:34" x14ac:dyDescent="0.25">
      <c r="A8" s="312" t="str">
        <f>PLANTILLA!A13</f>
        <v>#11</v>
      </c>
      <c r="B8" s="170" t="str">
        <f>PLANTILLA!D13</f>
        <v>K. Helms</v>
      </c>
      <c r="C8" s="312">
        <f>PLANTILLA!E13</f>
        <v>30</v>
      </c>
      <c r="D8" s="312">
        <f ca="1">PLANTILLA!F13</f>
        <v>34</v>
      </c>
      <c r="E8" s="163">
        <f>PLANTILLA!X13</f>
        <v>0</v>
      </c>
      <c r="F8" s="163">
        <f>PLANTILLA!Y13</f>
        <v>7.11</v>
      </c>
      <c r="G8" s="163">
        <f>PLANTILLA!Z13</f>
        <v>10.450000000000003</v>
      </c>
      <c r="H8" s="163">
        <f>PLANTILLA!AA13</f>
        <v>13.388333333333334</v>
      </c>
      <c r="I8" s="163">
        <f>PLANTILLA!AB13</f>
        <v>10.359999999999998</v>
      </c>
      <c r="J8" s="163">
        <f>PLANTILLA!AC13</f>
        <v>5.4050000000000002</v>
      </c>
      <c r="K8" s="163">
        <f>PLANTILLA!AD13</f>
        <v>17.300000000000004</v>
      </c>
      <c r="L8" s="648">
        <f>1/12</f>
        <v>8.3333333333333329E-2</v>
      </c>
      <c r="M8" s="363">
        <f t="shared" si="0"/>
        <v>4.1666666666666664E-2</v>
      </c>
      <c r="N8" s="36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38">
        <f>V8</f>
        <v>3.7916666666666668E-2</v>
      </c>
      <c r="Z8" s="438">
        <f>V8</f>
        <v>3.7916666666666668E-2</v>
      </c>
      <c r="AA8" s="438">
        <f t="shared" si="11"/>
        <v>3.7916666666666668E-2</v>
      </c>
      <c r="AD8" t="s">
        <v>969</v>
      </c>
      <c r="AE8" t="s">
        <v>440</v>
      </c>
      <c r="AG8" t="s">
        <v>967</v>
      </c>
      <c r="AH8" t="s">
        <v>980</v>
      </c>
    </row>
    <row r="9" spans="1:34" x14ac:dyDescent="0.25">
      <c r="A9" s="312" t="str">
        <f>PLANTILLA!A16</f>
        <v>#4</v>
      </c>
      <c r="B9" s="170" t="str">
        <f>PLANTILLA!D16</f>
        <v>C. Rojas</v>
      </c>
      <c r="C9" s="312">
        <f>PLANTILLA!E16</f>
        <v>31</v>
      </c>
      <c r="D9" s="312">
        <f ca="1">PLANTILLA!F16</f>
        <v>80</v>
      </c>
      <c r="E9" s="163">
        <f>PLANTILLA!X16</f>
        <v>0</v>
      </c>
      <c r="F9" s="163">
        <f>PLANTILLA!Y16</f>
        <v>8.6075555555555585</v>
      </c>
      <c r="G9" s="163">
        <f>PLANTILLA!Z16</f>
        <v>14.190398412698405</v>
      </c>
      <c r="H9" s="163">
        <f>PLANTILLA!AA16</f>
        <v>9.99</v>
      </c>
      <c r="I9" s="163">
        <f>PLANTILLA!AB16</f>
        <v>10.09</v>
      </c>
      <c r="J9" s="163">
        <f>PLANTILLA!AC16</f>
        <v>4.3999999999999995</v>
      </c>
      <c r="K9" s="163">
        <f>PLANTILLA!AD16</f>
        <v>16.544444444444441</v>
      </c>
      <c r="L9" s="648">
        <f>1/26</f>
        <v>3.8461538461538464E-2</v>
      </c>
      <c r="M9" s="363">
        <f t="shared" si="0"/>
        <v>1.9230769230769232E-2</v>
      </c>
      <c r="N9" s="36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38">
        <f>U9</f>
        <v>3.3884615384615388E-2</v>
      </c>
      <c r="Z9" s="438">
        <f>U9</f>
        <v>3.3884615384615388E-2</v>
      </c>
      <c r="AA9" s="438">
        <f t="shared" si="11"/>
        <v>3.3884615384615388E-2</v>
      </c>
      <c r="AD9" t="s">
        <v>596</v>
      </c>
      <c r="AE9" t="s">
        <v>325</v>
      </c>
      <c r="AG9" t="s">
        <v>596</v>
      </c>
      <c r="AH9" t="s">
        <v>325</v>
      </c>
    </row>
    <row r="10" spans="1:34" x14ac:dyDescent="0.25">
      <c r="A10" s="312" t="str">
        <f>PLANTILLA!A14</f>
        <v>#10</v>
      </c>
      <c r="B10" s="704" t="str">
        <f>PLANTILLA!D14</f>
        <v>S. Zobbe</v>
      </c>
      <c r="C10" s="312">
        <f>PLANTILLA!E14</f>
        <v>27</v>
      </c>
      <c r="D10" s="312">
        <f ca="1">PLANTILLA!F14</f>
        <v>49</v>
      </c>
      <c r="E10" s="163">
        <f>PLANTILLA!X14</f>
        <v>0</v>
      </c>
      <c r="F10" s="163">
        <f>PLANTILLA!Y14</f>
        <v>8.1199999999999992</v>
      </c>
      <c r="G10" s="163">
        <f>PLANTILLA!Z14</f>
        <v>12.058412698412699</v>
      </c>
      <c r="H10" s="163">
        <f>PLANTILLA!AA14</f>
        <v>12.25</v>
      </c>
      <c r="I10" s="163">
        <f>PLANTILLA!AB14</f>
        <v>10.24</v>
      </c>
      <c r="J10" s="163">
        <f>PLANTILLA!AC14</f>
        <v>7.4766666666666666</v>
      </c>
      <c r="K10" s="163">
        <f>PLANTILLA!AD14</f>
        <v>15.270000000000001</v>
      </c>
      <c r="L10" s="648">
        <f>1/14</f>
        <v>7.1428571428571425E-2</v>
      </c>
      <c r="M10" s="363">
        <f t="shared" si="0"/>
        <v>3.5714285714285712E-2</v>
      </c>
      <c r="N10" s="36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38">
        <f>V10</f>
        <v>3.2500000000000001E-2</v>
      </c>
      <c r="Z10" s="438">
        <f>V10</f>
        <v>3.2500000000000001E-2</v>
      </c>
      <c r="AA10" s="438">
        <f t="shared" si="11"/>
        <v>3.2500000000000001E-2</v>
      </c>
      <c r="AD10" t="s">
        <v>970</v>
      </c>
      <c r="AE10" t="s">
        <v>980</v>
      </c>
      <c r="AG10" t="s">
        <v>596</v>
      </c>
      <c r="AH10" t="s">
        <v>752</v>
      </c>
    </row>
    <row r="11" spans="1:34" x14ac:dyDescent="0.25">
      <c r="A11" s="312" t="str">
        <f>PLANTILLA!A12</f>
        <v>#7</v>
      </c>
      <c r="B11" s="704" t="str">
        <f>PLANTILLA!D12</f>
        <v>E. Romweber</v>
      </c>
      <c r="C11" s="312">
        <f>PLANTILLA!E12</f>
        <v>30</v>
      </c>
      <c r="D11" s="312">
        <f ca="1">PLANTILLA!F12</f>
        <v>87</v>
      </c>
      <c r="E11" s="163">
        <f>PLANTILLA!X12</f>
        <v>0</v>
      </c>
      <c r="F11" s="163">
        <f>PLANTILLA!Y12</f>
        <v>11.95</v>
      </c>
      <c r="G11" s="163">
        <f>PLANTILLA!Z12</f>
        <v>12.489111111111114</v>
      </c>
      <c r="H11" s="163">
        <f>PLANTILLA!AA12</f>
        <v>13.133333333333335</v>
      </c>
      <c r="I11" s="163">
        <f>PLANTILLA!AB12</f>
        <v>10.91</v>
      </c>
      <c r="J11" s="163">
        <f>PLANTILLA!AC12</f>
        <v>7.7700000000000005</v>
      </c>
      <c r="K11" s="163">
        <f>PLANTILLA!AD12</f>
        <v>17.13</v>
      </c>
      <c r="L11" s="648">
        <f>1/16</f>
        <v>6.25E-2</v>
      </c>
      <c r="M11" s="363">
        <f t="shared" si="0"/>
        <v>3.125E-2</v>
      </c>
      <c r="N11" s="36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38">
        <f>V11</f>
        <v>2.8437500000000001E-2</v>
      </c>
      <c r="Z11" s="438">
        <f>V11</f>
        <v>2.8437500000000001E-2</v>
      </c>
      <c r="AA11" s="438">
        <f t="shared" si="11"/>
        <v>2.8437500000000001E-2</v>
      </c>
      <c r="AD11" t="s">
        <v>970</v>
      </c>
      <c r="AE11" t="s">
        <v>338</v>
      </c>
      <c r="AG11" t="s">
        <v>970</v>
      </c>
      <c r="AH11" t="s">
        <v>338</v>
      </c>
    </row>
    <row r="12" spans="1:34" x14ac:dyDescent="0.25">
      <c r="A12" s="312" t="str">
        <f>PLANTILLA!A8</f>
        <v>#8</v>
      </c>
      <c r="B12" s="237" t="str">
        <f>PLANTILLA!D8</f>
        <v>D. Toh</v>
      </c>
      <c r="C12" s="312">
        <f>PLANTILLA!E8</f>
        <v>31</v>
      </c>
      <c r="D12" s="312">
        <f ca="1">PLANTILLA!F8</f>
        <v>59</v>
      </c>
      <c r="E12" s="163">
        <f>PLANTILLA!X8</f>
        <v>0</v>
      </c>
      <c r="F12" s="163">
        <f>PLANTILLA!Y8</f>
        <v>11</v>
      </c>
      <c r="G12" s="163">
        <f>PLANTILLA!Z8</f>
        <v>6.1894444444444412</v>
      </c>
      <c r="H12" s="163">
        <f>PLANTILLA!AA8</f>
        <v>6.04</v>
      </c>
      <c r="I12" s="163">
        <f>PLANTILLA!AB8</f>
        <v>7.7227777777777789</v>
      </c>
      <c r="J12" s="163">
        <f>PLANTILLA!AC8</f>
        <v>4.383333333333332</v>
      </c>
      <c r="K12" s="163">
        <f>PLANTILLA!AD8</f>
        <v>15.349999999999998</v>
      </c>
      <c r="L12" s="648">
        <f>1/7</f>
        <v>0.14285714285714285</v>
      </c>
      <c r="M12" s="363">
        <f t="shared" si="0"/>
        <v>7.1428571428571425E-2</v>
      </c>
      <c r="N12" s="36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38"/>
      <c r="Z12" s="438">
        <f>R12</f>
        <v>2.357142857142857E-2</v>
      </c>
      <c r="AA12" s="438">
        <f t="shared" si="11"/>
        <v>2.357142857142857E-2</v>
      </c>
      <c r="AD12" t="s">
        <v>67</v>
      </c>
      <c r="AE12" t="s">
        <v>327</v>
      </c>
      <c r="AG12" t="s">
        <v>970</v>
      </c>
      <c r="AH12" t="s">
        <v>600</v>
      </c>
    </row>
    <row r="13" spans="1:34" x14ac:dyDescent="0.25">
      <c r="A13" s="312" t="str">
        <f>PLANTILLA!A10</f>
        <v>#3</v>
      </c>
      <c r="B13" s="237" t="str">
        <f>PLANTILLA!D10</f>
        <v>B. Bartolache</v>
      </c>
      <c r="C13" s="312">
        <f>PLANTILLA!E10</f>
        <v>30</v>
      </c>
      <c r="D13" s="312">
        <f ca="1">PLANTILLA!F10</f>
        <v>110</v>
      </c>
      <c r="E13" s="163">
        <f>PLANTILLA!X10</f>
        <v>0</v>
      </c>
      <c r="F13" s="163">
        <f>PLANTILLA!Y10</f>
        <v>11.649999999999997</v>
      </c>
      <c r="G13" s="163">
        <f>PLANTILLA!Z10</f>
        <v>6.700000000000002</v>
      </c>
      <c r="H13" s="163">
        <f>PLANTILLA!AA10</f>
        <v>7.4300000000000015</v>
      </c>
      <c r="I13" s="163">
        <f>PLANTILLA!AB10</f>
        <v>9.0199999999999978</v>
      </c>
      <c r="J13" s="163">
        <f>PLANTILLA!AC10</f>
        <v>4.6199999999999966</v>
      </c>
      <c r="K13" s="163">
        <f>PLANTILLA!AD10</f>
        <v>15.6</v>
      </c>
      <c r="L13" s="648">
        <f>1/8</f>
        <v>0.125</v>
      </c>
      <c r="M13" s="363">
        <f t="shared" si="0"/>
        <v>6.25E-2</v>
      </c>
      <c r="N13" s="36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38"/>
      <c r="Z13" s="438">
        <f>S13</f>
        <v>2.0875000000000001E-2</v>
      </c>
      <c r="AA13" s="438">
        <f t="shared" si="11"/>
        <v>2.0875000000000001E-2</v>
      </c>
      <c r="AD13" t="s">
        <v>67</v>
      </c>
      <c r="AE13" t="s">
        <v>600</v>
      </c>
      <c r="AG13" t="s">
        <v>67</v>
      </c>
      <c r="AH13" t="s">
        <v>327</v>
      </c>
    </row>
    <row r="14" spans="1:34" x14ac:dyDescent="0.25">
      <c r="A14" s="312" t="str">
        <f>PLANTILLA!A9</f>
        <v>#2</v>
      </c>
      <c r="B14" s="704" t="str">
        <f>PLANTILLA!D9</f>
        <v>E. Toney</v>
      </c>
      <c r="C14" s="312">
        <f>PLANTILLA!E9</f>
        <v>31</v>
      </c>
      <c r="D14" s="312">
        <f ca="1">PLANTILLA!F9</f>
        <v>13</v>
      </c>
      <c r="E14" s="163">
        <f>PLANTILLA!X9</f>
        <v>0</v>
      </c>
      <c r="F14" s="163">
        <f>PLANTILLA!Y9</f>
        <v>12.060000000000004</v>
      </c>
      <c r="G14" s="163">
        <f>PLANTILLA!Z9</f>
        <v>13.116555555555554</v>
      </c>
      <c r="H14" s="163">
        <f>PLANTILLA!AA9</f>
        <v>9.8200000000000056</v>
      </c>
      <c r="I14" s="163">
        <f>PLANTILLA!AB9</f>
        <v>9.6</v>
      </c>
      <c r="J14" s="163">
        <f>PLANTILLA!AC9</f>
        <v>3.6816666666666658</v>
      </c>
      <c r="K14" s="163">
        <f>PLANTILLA!AD9</f>
        <v>16.627777777777773</v>
      </c>
      <c r="L14" s="648">
        <f>1/19</f>
        <v>5.2631578947368418E-2</v>
      </c>
      <c r="M14" s="363">
        <f t="shared" si="0"/>
        <v>2.6315789473684209E-2</v>
      </c>
      <c r="N14" s="36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38">
        <f>P14</f>
        <v>1.2421052631578946E-2</v>
      </c>
      <c r="Z14" s="438">
        <f>Q14</f>
        <v>1.9105263157894736E-2</v>
      </c>
      <c r="AA14" s="438">
        <f t="shared" si="11"/>
        <v>1.9105263157894736E-2</v>
      </c>
    </row>
    <row r="15" spans="1:34" x14ac:dyDescent="0.25">
      <c r="A15" s="312" t="str">
        <f>PLANTILLA!A23</f>
        <v>#18</v>
      </c>
      <c r="B15" s="704" t="str">
        <f>PLANTILLA!D23</f>
        <v>L. Calosso</v>
      </c>
      <c r="C15" s="312">
        <f>PLANTILLA!E23</f>
        <v>30</v>
      </c>
      <c r="D15" s="312">
        <f ca="1">PLANTILLA!F23</f>
        <v>43</v>
      </c>
      <c r="E15" s="163">
        <f>PLANTILLA!X23</f>
        <v>0</v>
      </c>
      <c r="F15" s="163">
        <f>PLANTILLA!Y23</f>
        <v>2</v>
      </c>
      <c r="G15" s="163">
        <f>PLANTILLA!Z23</f>
        <v>14.127609523809523</v>
      </c>
      <c r="H15" s="163">
        <f>PLANTILLA!AA23</f>
        <v>3.02</v>
      </c>
      <c r="I15" s="163">
        <f>PLANTILLA!AB23</f>
        <v>15.02</v>
      </c>
      <c r="J15" s="163">
        <f>PLANTILLA!AC23</f>
        <v>10</v>
      </c>
      <c r="K15" s="163">
        <f>PLANTILLA!AD23</f>
        <v>9.3000000000000007</v>
      </c>
      <c r="L15" s="648">
        <f>1/23</f>
        <v>4.3478260869565216E-2</v>
      </c>
      <c r="M15" s="363">
        <f t="shared" si="0"/>
        <v>2.1739130434782608E-2</v>
      </c>
      <c r="N15" s="36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38">
        <f>W15</f>
        <v>1.7652173913043478E-2</v>
      </c>
      <c r="Z15" s="438">
        <f>W15</f>
        <v>1.7652173913043478E-2</v>
      </c>
      <c r="AA15" s="438">
        <f t="shared" si="11"/>
        <v>1.7652173913043478E-2</v>
      </c>
    </row>
    <row r="16" spans="1:34" x14ac:dyDescent="0.25">
      <c r="A16" s="312" t="str">
        <f>PLANTILLA!A17</f>
        <v>#12</v>
      </c>
      <c r="B16" s="237" t="str">
        <f>PLANTILLA!D17</f>
        <v>E. Gross</v>
      </c>
      <c r="C16" s="312">
        <f>PLANTILLA!E17</f>
        <v>30</v>
      </c>
      <c r="D16" s="312">
        <f ca="1">PLANTILLA!F17</f>
        <v>74</v>
      </c>
      <c r="E16" s="163">
        <f>PLANTILLA!X17</f>
        <v>0</v>
      </c>
      <c r="F16" s="163">
        <f>PLANTILLA!Y17</f>
        <v>10.349999999999996</v>
      </c>
      <c r="G16" s="163">
        <f>PLANTILLA!Z17</f>
        <v>12.859777777777778</v>
      </c>
      <c r="H16" s="163">
        <f>PLANTILLA!AA17</f>
        <v>5.1299999999999981</v>
      </c>
      <c r="I16" s="163">
        <f>PLANTILLA!AB17</f>
        <v>9.24</v>
      </c>
      <c r="J16" s="163">
        <f>PLANTILLA!AC17</f>
        <v>2.98</v>
      </c>
      <c r="K16" s="163">
        <f>PLANTILLA!AD17</f>
        <v>16.959999999999997</v>
      </c>
      <c r="L16" s="648">
        <f>1/14</f>
        <v>7.1428571428571425E-2</v>
      </c>
      <c r="M16" s="363">
        <f t="shared" si="0"/>
        <v>3.5714285714285712E-2</v>
      </c>
      <c r="N16" s="36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38">
        <f>P16</f>
        <v>1.6857142857142855E-2</v>
      </c>
      <c r="Z16" s="438">
        <f>P16</f>
        <v>1.6857142857142855E-2</v>
      </c>
      <c r="AA16" s="438">
        <f t="shared" si="11"/>
        <v>1.6857142857142855E-2</v>
      </c>
    </row>
    <row r="17" spans="1:27" x14ac:dyDescent="0.25">
      <c r="A17" s="312" t="str">
        <f>PLANTILLA!A7</f>
        <v>#17</v>
      </c>
      <c r="B17" s="237" t="str">
        <f>PLANTILLA!D7</f>
        <v>B. Pinczehelyi</v>
      </c>
      <c r="C17" s="312">
        <f>PLANTILLA!E7</f>
        <v>30</v>
      </c>
      <c r="D17" s="312">
        <f ca="1">PLANTILLA!F7</f>
        <v>14</v>
      </c>
      <c r="E17" s="163">
        <f>PLANTILLA!X7</f>
        <v>0</v>
      </c>
      <c r="F17" s="163">
        <f>PLANTILLA!Y7</f>
        <v>14.200000000000003</v>
      </c>
      <c r="G17" s="163">
        <f>PLANTILLA!Z7</f>
        <v>9.3093333333333348</v>
      </c>
      <c r="H17" s="163">
        <f>PLANTILLA!AA7</f>
        <v>14.291666666666663</v>
      </c>
      <c r="I17" s="163">
        <f>PLANTILLA!AB7</f>
        <v>9.4199999999999982</v>
      </c>
      <c r="J17" s="163">
        <f>PLANTILLA!AC7</f>
        <v>1.1428571428571428</v>
      </c>
      <c r="K17" s="163">
        <f>PLANTILLA!AD7</f>
        <v>9.4</v>
      </c>
      <c r="L17" s="648">
        <f>1/11</f>
        <v>9.0909090909090912E-2</v>
      </c>
      <c r="M17" s="363">
        <f t="shared" si="0"/>
        <v>4.5454545454545456E-2</v>
      </c>
      <c r="N17" s="36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38">
        <f>S17</f>
        <v>1.5181818181818183E-2</v>
      </c>
      <c r="Z17" s="438">
        <f>S17</f>
        <v>1.5181818181818183E-2</v>
      </c>
      <c r="AA17" s="438">
        <f t="shared" si="11"/>
        <v>1.5181818181818183E-2</v>
      </c>
    </row>
    <row r="18" spans="1:27" x14ac:dyDescent="0.25">
      <c r="A18" s="312" t="str">
        <f>PLANTILLA!A24</f>
        <v>#15</v>
      </c>
      <c r="B18" s="312" t="str">
        <f>PLANTILLA!D24</f>
        <v>P .Trivadi</v>
      </c>
      <c r="C18" s="312">
        <f>PLANTILLA!E24</f>
        <v>27</v>
      </c>
      <c r="D18" s="312">
        <f ca="1">PLANTILLA!F24</f>
        <v>5</v>
      </c>
      <c r="E18" s="163">
        <f>PLANTILLA!X24</f>
        <v>0</v>
      </c>
      <c r="F18" s="163">
        <f>PLANTILLA!Y24</f>
        <v>4</v>
      </c>
      <c r="G18" s="163">
        <f>PLANTILLA!Z24</f>
        <v>5.5438722222222205</v>
      </c>
      <c r="H18" s="163">
        <f>PLANTILLA!AA24</f>
        <v>5.4899999999999993</v>
      </c>
      <c r="I18" s="163">
        <f>PLANTILLA!AB24</f>
        <v>10.799999999999999</v>
      </c>
      <c r="J18" s="163">
        <f>PLANTILLA!AC24</f>
        <v>8.384500000000001</v>
      </c>
      <c r="K18" s="163">
        <f>PLANTILLA!AD24</f>
        <v>13.566666666666668</v>
      </c>
      <c r="L18" s="648">
        <f>1/6</f>
        <v>0.16666666666666666</v>
      </c>
      <c r="M18" s="363">
        <f t="shared" si="0"/>
        <v>8.3333333333333329E-2</v>
      </c>
      <c r="N18" s="36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38">
        <v>0</v>
      </c>
      <c r="Z18" s="438">
        <v>0</v>
      </c>
      <c r="AA18" s="438">
        <f t="shared" si="11"/>
        <v>0</v>
      </c>
    </row>
    <row r="19" spans="1:27" x14ac:dyDescent="0.25">
      <c r="A19" s="312" t="str">
        <f>PLANTILLA!A5</f>
        <v>#1</v>
      </c>
      <c r="B19" s="312" t="str">
        <f>PLANTILLA!D5</f>
        <v>D. Gehmacher</v>
      </c>
      <c r="C19" s="312">
        <f>PLANTILLA!E5</f>
        <v>30</v>
      </c>
      <c r="D19" s="312">
        <f ca="1">PLANTILLA!F5</f>
        <v>2</v>
      </c>
      <c r="E19" s="163">
        <f>PLANTILLA!X5</f>
        <v>16.666666666666668</v>
      </c>
      <c r="F19" s="163">
        <f>PLANTILLA!Y5</f>
        <v>11.832727272727276</v>
      </c>
      <c r="G19" s="163">
        <f>PLANTILLA!Z5</f>
        <v>2.0399999999999991</v>
      </c>
      <c r="H19" s="163">
        <f>PLANTILLA!AA5</f>
        <v>2.1399999999999992</v>
      </c>
      <c r="I19" s="163">
        <f>PLANTILLA!AB5</f>
        <v>1.0400000000000003</v>
      </c>
      <c r="J19" s="163">
        <f>PLANTILLA!AC5</f>
        <v>0.14055555555555557</v>
      </c>
      <c r="K19" s="163">
        <f>PLANTILLA!AD5</f>
        <v>17.849999999999998</v>
      </c>
      <c r="L19" s="648">
        <v>0</v>
      </c>
      <c r="M19" s="363">
        <f t="shared" si="0"/>
        <v>0</v>
      </c>
      <c r="N19" s="36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38">
        <f>O19</f>
        <v>0</v>
      </c>
      <c r="Z19" s="438">
        <f>O19</f>
        <v>0</v>
      </c>
      <c r="AA19" s="438">
        <f t="shared" si="11"/>
        <v>0</v>
      </c>
    </row>
    <row r="20" spans="1:27" x14ac:dyDescent="0.25">
      <c r="A20" s="312" t="str">
        <f>PLANTILLA!A6</f>
        <v>#16</v>
      </c>
      <c r="B20" s="312" t="str">
        <f>PLANTILLA!D6</f>
        <v>T. Hammond</v>
      </c>
      <c r="C20" s="312">
        <f>PLANTILLA!E6</f>
        <v>34</v>
      </c>
      <c r="D20" s="312">
        <f ca="1">PLANTILLA!F6</f>
        <v>11</v>
      </c>
      <c r="E20" s="163">
        <f>PLANTILLA!X6</f>
        <v>10.3</v>
      </c>
      <c r="F20" s="163">
        <f>PLANTILLA!Y6</f>
        <v>10.794999999999998</v>
      </c>
      <c r="G20" s="163">
        <f>PLANTILLA!Z6</f>
        <v>4.6300000000000008</v>
      </c>
      <c r="H20" s="163">
        <f>PLANTILLA!AA6</f>
        <v>4.95</v>
      </c>
      <c r="I20" s="163">
        <f>PLANTILLA!AB6</f>
        <v>6.5444444444444434</v>
      </c>
      <c r="J20" s="163">
        <f>PLANTILLA!AC6</f>
        <v>3.99</v>
      </c>
      <c r="K20" s="163">
        <f>PLANTILLA!AD6</f>
        <v>15.778888888888888</v>
      </c>
      <c r="L20" s="648"/>
      <c r="M20" s="363">
        <f t="shared" si="0"/>
        <v>0</v>
      </c>
      <c r="N20" s="36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38"/>
      <c r="Z20" s="438"/>
      <c r="AA20" s="438">
        <f t="shared" si="11"/>
        <v>0</v>
      </c>
    </row>
    <row r="21" spans="1:27" x14ac:dyDescent="0.25">
      <c r="A21" s="312" t="str">
        <f>PLANTILLA!A11</f>
        <v>#13</v>
      </c>
      <c r="B21" s="312" t="str">
        <f>PLANTILLA!D11</f>
        <v>F. Lasprilla</v>
      </c>
      <c r="C21" s="312">
        <f>PLANTILLA!E11</f>
        <v>27</v>
      </c>
      <c r="D21" s="312">
        <f ca="1">PLANTILLA!F11</f>
        <v>21</v>
      </c>
      <c r="E21" s="163">
        <f>PLANTILLA!X11</f>
        <v>0</v>
      </c>
      <c r="F21" s="163">
        <f>PLANTILLA!Y11</f>
        <v>9.5796666666666663</v>
      </c>
      <c r="G21" s="163">
        <f>PLANTILLA!Z11</f>
        <v>7.7407222222222227</v>
      </c>
      <c r="H21" s="163">
        <f>PLANTILLA!AA11</f>
        <v>6.1499999999999986</v>
      </c>
      <c r="I21" s="163">
        <f>PLANTILLA!AB11</f>
        <v>8.8633333333333315</v>
      </c>
      <c r="J21" s="163">
        <f>PLANTILLA!AC11</f>
        <v>3.2566666666666673</v>
      </c>
      <c r="K21" s="163">
        <f>PLANTILLA!AD11</f>
        <v>13.238888888888889</v>
      </c>
      <c r="L21" s="648"/>
      <c r="M21" s="363">
        <f t="shared" si="0"/>
        <v>0</v>
      </c>
      <c r="N21" s="36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38"/>
      <c r="Z21" s="438"/>
      <c r="AA21" s="438">
        <f t="shared" si="11"/>
        <v>0</v>
      </c>
    </row>
    <row r="22" spans="1:27" x14ac:dyDescent="0.25">
      <c r="A22" s="312" t="str">
        <f>PLANTILLA!A19</f>
        <v>#14</v>
      </c>
      <c r="B22" s="312" t="str">
        <f>PLANTILLA!D19</f>
        <v>W. Gelifini</v>
      </c>
      <c r="C22" s="312">
        <f>PLANTILLA!E19</f>
        <v>28</v>
      </c>
      <c r="D22" s="312">
        <f ca="1">PLANTILLA!F19</f>
        <v>111</v>
      </c>
      <c r="E22" s="163">
        <f>PLANTILLA!X19</f>
        <v>0</v>
      </c>
      <c r="F22" s="163">
        <f>PLANTILLA!Y19</f>
        <v>5.6315555555555523</v>
      </c>
      <c r="G22" s="163">
        <f>PLANTILLA!Z19</f>
        <v>9.8523388888888874</v>
      </c>
      <c r="H22" s="163">
        <f>PLANTILLA!AA19</f>
        <v>7.0726666666666667</v>
      </c>
      <c r="I22" s="163">
        <f>PLANTILLA!AB19</f>
        <v>9.2666666666666639</v>
      </c>
      <c r="J22" s="163">
        <f>PLANTILLA!AC19</f>
        <v>3.5417777777777766</v>
      </c>
      <c r="K22" s="163">
        <f>PLANTILLA!AD19</f>
        <v>12.450000000000001</v>
      </c>
      <c r="L22" s="648"/>
      <c r="M22" s="363">
        <f t="shared" si="0"/>
        <v>0</v>
      </c>
      <c r="N22" s="36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38"/>
      <c r="Z22" s="438"/>
      <c r="AA22" s="438">
        <f t="shared" si="11"/>
        <v>0</v>
      </c>
    </row>
    <row r="23" spans="1:27" x14ac:dyDescent="0.25">
      <c r="A23" s="312" t="str">
        <f>PLANTILLA!A20</f>
        <v>#89</v>
      </c>
      <c r="B23" s="312" t="str">
        <f>PLANTILLA!D20</f>
        <v>M. Amico</v>
      </c>
      <c r="C23" s="312">
        <f>PLANTILLA!E20</f>
        <v>29</v>
      </c>
      <c r="D23" s="312">
        <f ca="1">PLANTILLA!F20</f>
        <v>6</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c r="M23" s="363">
        <f t="shared" si="0"/>
        <v>0</v>
      </c>
      <c r="N23" s="36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38"/>
      <c r="Z23" s="438"/>
      <c r="AA23" s="438">
        <f t="shared" si="11"/>
        <v>0</v>
      </c>
    </row>
    <row r="26" spans="1:27" x14ac:dyDescent="0.25">
      <c r="B26" s="31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42585</v>
      </c>
      <c r="Y2" s="652">
        <f>SUM(Y4:Y22)</f>
        <v>0.24062111707736711</v>
      </c>
      <c r="Z2" s="652">
        <f>SUM(Z4:Z22)</f>
        <v>0.19504062465312466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PLANTILLA!A22</f>
        <v>#9</v>
      </c>
      <c r="B4" s="703" t="str">
        <f>PLANTILLA!D22</f>
        <v>J. Limon</v>
      </c>
      <c r="C4" s="312">
        <f>PLANTILLA!E22</f>
        <v>29</v>
      </c>
      <c r="D4" s="312">
        <f ca="1">PLANTILLA!F22</f>
        <v>86</v>
      </c>
      <c r="E4" s="163">
        <f>PLANTILLA!X22</f>
        <v>0</v>
      </c>
      <c r="F4" s="163">
        <f>PLANTILLA!Y22</f>
        <v>6.8176190476190497</v>
      </c>
      <c r="G4" s="163">
        <f>PLANTILLA!Z22</f>
        <v>8.5</v>
      </c>
      <c r="H4" s="163">
        <f>PLANTILLA!AA22</f>
        <v>8.7299999999999969</v>
      </c>
      <c r="I4" s="163">
        <f>PLANTILLA!AB22</f>
        <v>9.6900000000000013</v>
      </c>
      <c r="J4" s="163">
        <f>PLANTILLA!AC22</f>
        <v>8.5625000000000018</v>
      </c>
      <c r="K4" s="163">
        <f>PLANTILLA!AD22</f>
        <v>18.639999999999993</v>
      </c>
      <c r="L4" s="363">
        <f>1/8</f>
        <v>0.125</v>
      </c>
      <c r="M4" s="363"/>
      <c r="N4" s="36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38">
        <f>W4</f>
        <v>4.7065340909090911E-2</v>
      </c>
      <c r="Z4" s="438"/>
      <c r="AA4" s="438">
        <f t="shared" ref="AA4:AA23" si="6">MAX(Z4,Y4)</f>
        <v>4.7065340909090911E-2</v>
      </c>
      <c r="AD4" t="s">
        <v>967</v>
      </c>
      <c r="AE4" s="668" t="s">
        <v>1020</v>
      </c>
      <c r="AG4" t="s">
        <v>967</v>
      </c>
      <c r="AH4" s="668" t="str">
        <f>AE4</f>
        <v>B. Pinczehelyi</v>
      </c>
    </row>
    <row r="5" spans="1:34" x14ac:dyDescent="0.25">
      <c r="A5" s="312" t="str">
        <f>PLANTILLA!A18</f>
        <v>#5</v>
      </c>
      <c r="B5" s="703" t="str">
        <f>PLANTILLA!D18</f>
        <v>L. Bauman</v>
      </c>
      <c r="C5" s="312">
        <f>PLANTILLA!E18</f>
        <v>30</v>
      </c>
      <c r="D5" s="312">
        <f ca="1">PLANTILLA!F18</f>
        <v>49</v>
      </c>
      <c r="E5" s="163">
        <f>PLANTILLA!X18</f>
        <v>0</v>
      </c>
      <c r="F5" s="163">
        <f>PLANTILLA!Y18</f>
        <v>5.2811111111111115</v>
      </c>
      <c r="G5" s="163">
        <f>PLANTILLA!Z18</f>
        <v>14.283789947089938</v>
      </c>
      <c r="H5" s="163">
        <f>PLANTILLA!AA18</f>
        <v>3.5124999999999993</v>
      </c>
      <c r="I5" s="163">
        <f>PLANTILLA!AB18</f>
        <v>9.1400000000000041</v>
      </c>
      <c r="J5" s="163">
        <f>PLANTILLA!AC18</f>
        <v>7.4318888888888894</v>
      </c>
      <c r="K5" s="163">
        <f>PLANTILLA!AD18</f>
        <v>16.07</v>
      </c>
      <c r="L5" s="363">
        <f>1/9</f>
        <v>0.1111111111111111</v>
      </c>
      <c r="M5" s="363"/>
      <c r="N5" s="36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38">
        <f>T5</f>
        <v>4.0351010101010096E-2</v>
      </c>
      <c r="Z5" s="438">
        <f>W5</f>
        <v>4.183585858585858E-2</v>
      </c>
      <c r="AA5" s="438">
        <f t="shared" si="6"/>
        <v>4.183585858585858E-2</v>
      </c>
      <c r="AD5" t="s">
        <v>968</v>
      </c>
      <c r="AE5" t="s">
        <v>312</v>
      </c>
      <c r="AG5" t="s">
        <v>979</v>
      </c>
      <c r="AH5" t="s">
        <v>313</v>
      </c>
    </row>
    <row r="6" spans="1:34" x14ac:dyDescent="0.25">
      <c r="A6" s="312" t="str">
        <f>PLANTILLA!A15</f>
        <v>#6</v>
      </c>
      <c r="B6" s="703" t="str">
        <f>PLANTILLA!D15</f>
        <v>S. Buschelman</v>
      </c>
      <c r="C6" s="312">
        <f>PLANTILLA!E15</f>
        <v>29</v>
      </c>
      <c r="D6" s="312">
        <f ca="1">PLANTILLA!F15</f>
        <v>46</v>
      </c>
      <c r="E6" s="163">
        <f>PLANTILLA!X15</f>
        <v>0</v>
      </c>
      <c r="F6" s="163">
        <f>PLANTILLA!Y15</f>
        <v>9.1936666666666653</v>
      </c>
      <c r="G6" s="163">
        <f>PLANTILLA!Z15</f>
        <v>13.679999999999998</v>
      </c>
      <c r="H6" s="163">
        <f>PLANTILLA!AA15</f>
        <v>12.835000000000001</v>
      </c>
      <c r="I6" s="163">
        <f>PLANTILLA!AB15</f>
        <v>9.6733333333333356</v>
      </c>
      <c r="J6" s="163">
        <f>PLANTILLA!AC15</f>
        <v>5.0296666666666656</v>
      </c>
      <c r="K6" s="163">
        <f>PLANTILLA!AD15</f>
        <v>15.2</v>
      </c>
      <c r="L6" s="363">
        <f>1/8</f>
        <v>0.125</v>
      </c>
      <c r="M6" s="363"/>
      <c r="N6" s="36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38">
        <f>U6</f>
        <v>3.5380681818181818E-2</v>
      </c>
      <c r="Z6" s="438">
        <f>U6</f>
        <v>3.5380681818181818E-2</v>
      </c>
      <c r="AA6" s="438">
        <f t="shared" si="6"/>
        <v>3.5380681818181818E-2</v>
      </c>
      <c r="AD6" t="s">
        <v>967</v>
      </c>
      <c r="AE6" t="s">
        <v>309</v>
      </c>
      <c r="AG6" t="s">
        <v>978</v>
      </c>
      <c r="AH6" t="s">
        <v>309</v>
      </c>
    </row>
    <row r="7" spans="1:34" x14ac:dyDescent="0.25">
      <c r="A7" s="312" t="str">
        <f>PLANTILLA!A21</f>
        <v>#19</v>
      </c>
      <c r="B7" s="703" t="str">
        <f>PLANTILLA!D21</f>
        <v>G. Kerschl</v>
      </c>
      <c r="C7" s="312">
        <f>PLANTILLA!E21</f>
        <v>28</v>
      </c>
      <c r="D7" s="312">
        <f ca="1">PLANTILLA!F21</f>
        <v>76</v>
      </c>
      <c r="E7" s="163">
        <f>PLANTILLA!X21</f>
        <v>0</v>
      </c>
      <c r="F7" s="163">
        <f>PLANTILLA!Y21</f>
        <v>2</v>
      </c>
      <c r="G7" s="163">
        <f>PLANTILLA!Z21</f>
        <v>14.55</v>
      </c>
      <c r="H7" s="163">
        <f>PLANTILLA!AA21</f>
        <v>12.01</v>
      </c>
      <c r="I7" s="163">
        <f>PLANTILLA!AB21</f>
        <v>12</v>
      </c>
      <c r="J7" s="163">
        <f>PLANTILLA!AC21</f>
        <v>8</v>
      </c>
      <c r="K7" s="163">
        <f>PLANTILLA!AD21</f>
        <v>2</v>
      </c>
      <c r="L7" s="363">
        <f>1/14</f>
        <v>7.1428571428571425E-2</v>
      </c>
      <c r="M7" s="363"/>
      <c r="N7" s="36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38">
        <f>W7</f>
        <v>2.6894480519480523E-2</v>
      </c>
      <c r="Z7" s="438">
        <f>W7</f>
        <v>2.6894480519480523E-2</v>
      </c>
      <c r="AA7" s="438">
        <f t="shared" si="6"/>
        <v>2.6894480519480523E-2</v>
      </c>
      <c r="AD7" t="s">
        <v>596</v>
      </c>
      <c r="AE7" t="s">
        <v>752</v>
      </c>
      <c r="AG7" t="s">
        <v>979</v>
      </c>
      <c r="AH7" t="s">
        <v>315</v>
      </c>
    </row>
    <row r="8" spans="1:34" x14ac:dyDescent="0.25">
      <c r="A8" s="312" t="str">
        <f>PLANTILLA!A16</f>
        <v>#4</v>
      </c>
      <c r="B8" s="703" t="str">
        <f>PLANTILLA!D16</f>
        <v>C. Rojas</v>
      </c>
      <c r="C8" s="312">
        <f>PLANTILLA!E16</f>
        <v>31</v>
      </c>
      <c r="D8" s="312">
        <f ca="1">PLANTILLA!F16</f>
        <v>80</v>
      </c>
      <c r="E8" s="163">
        <f>PLANTILLA!X16</f>
        <v>0</v>
      </c>
      <c r="F8" s="163">
        <f>PLANTILLA!Y16</f>
        <v>8.6075555555555585</v>
      </c>
      <c r="G8" s="163">
        <f>PLANTILLA!Z16</f>
        <v>14.190398412698405</v>
      </c>
      <c r="H8" s="163">
        <f>PLANTILLA!AA16</f>
        <v>9.99</v>
      </c>
      <c r="I8" s="163">
        <f>PLANTILLA!AB16</f>
        <v>10.09</v>
      </c>
      <c r="J8" s="163">
        <f>PLANTILLA!AC16</f>
        <v>4.3999999999999995</v>
      </c>
      <c r="K8" s="163">
        <f>PLANTILLA!AD16</f>
        <v>16.544444444444441</v>
      </c>
      <c r="L8" s="363">
        <f>1/12</f>
        <v>8.3333333333333329E-2</v>
      </c>
      <c r="M8" s="363"/>
      <c r="N8" s="36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38">
        <f>U8</f>
        <v>2.3587121212121212E-2</v>
      </c>
      <c r="Z8" s="438">
        <f>U8</f>
        <v>2.3587121212121212E-2</v>
      </c>
      <c r="AA8" s="438">
        <f t="shared" si="6"/>
        <v>2.3587121212121212E-2</v>
      </c>
      <c r="AD8" t="s">
        <v>969</v>
      </c>
      <c r="AE8" t="s">
        <v>440</v>
      </c>
      <c r="AG8" t="s">
        <v>967</v>
      </c>
      <c r="AH8" t="s">
        <v>980</v>
      </c>
    </row>
    <row r="9" spans="1:34" x14ac:dyDescent="0.25">
      <c r="A9" s="312" t="str">
        <f>PLANTILLA!A13</f>
        <v>#11</v>
      </c>
      <c r="B9" s="703" t="str">
        <f>PLANTILLA!D13</f>
        <v>K. Helms</v>
      </c>
      <c r="C9" s="312">
        <f>PLANTILLA!E13</f>
        <v>30</v>
      </c>
      <c r="D9" s="312">
        <f ca="1">PLANTILLA!F13</f>
        <v>34</v>
      </c>
      <c r="E9" s="163">
        <f>PLANTILLA!X13</f>
        <v>0</v>
      </c>
      <c r="F9" s="163">
        <f>PLANTILLA!Y13</f>
        <v>7.11</v>
      </c>
      <c r="G9" s="163">
        <f>PLANTILLA!Z13</f>
        <v>10.450000000000003</v>
      </c>
      <c r="H9" s="163">
        <f>PLANTILLA!AA13</f>
        <v>13.388333333333334</v>
      </c>
      <c r="I9" s="163">
        <f>PLANTILLA!AB13</f>
        <v>10.359999999999998</v>
      </c>
      <c r="J9" s="163">
        <f>PLANTILLA!AC13</f>
        <v>5.4050000000000002</v>
      </c>
      <c r="K9" s="163">
        <f>PLANTILLA!AD13</f>
        <v>17.300000000000004</v>
      </c>
      <c r="L9" s="363">
        <f>1/10</f>
        <v>0.1</v>
      </c>
      <c r="M9" s="363"/>
      <c r="N9" s="36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38">
        <f>V9</f>
        <v>1.9088636363636363E-2</v>
      </c>
      <c r="Z9" s="438">
        <f>V9</f>
        <v>1.9088636363636363E-2</v>
      </c>
      <c r="AA9" s="438">
        <f t="shared" si="6"/>
        <v>1.9088636363636363E-2</v>
      </c>
      <c r="AD9" t="s">
        <v>596</v>
      </c>
      <c r="AE9" t="s">
        <v>325</v>
      </c>
      <c r="AG9" t="s">
        <v>596</v>
      </c>
      <c r="AH9" t="s">
        <v>325</v>
      </c>
    </row>
    <row r="10" spans="1:34" x14ac:dyDescent="0.25">
      <c r="A10" s="312" t="str">
        <f>PLANTILLA!A14</f>
        <v>#10</v>
      </c>
      <c r="B10" s="703" t="str">
        <f>PLANTILLA!D14</f>
        <v>S. Zobbe</v>
      </c>
      <c r="C10" s="312">
        <f>PLANTILLA!E14</f>
        <v>27</v>
      </c>
      <c r="D10" s="312">
        <f ca="1">PLANTILLA!F14</f>
        <v>49</v>
      </c>
      <c r="E10" s="163">
        <f>PLANTILLA!X14</f>
        <v>0</v>
      </c>
      <c r="F10" s="163">
        <f>PLANTILLA!Y14</f>
        <v>8.1199999999999992</v>
      </c>
      <c r="G10" s="163">
        <f>PLANTILLA!Z14</f>
        <v>12.058412698412699</v>
      </c>
      <c r="H10" s="163">
        <f>PLANTILLA!AA14</f>
        <v>12.25</v>
      </c>
      <c r="I10" s="163">
        <f>PLANTILLA!AB14</f>
        <v>10.24</v>
      </c>
      <c r="J10" s="163">
        <f>PLANTILLA!AC14</f>
        <v>7.4766666666666666</v>
      </c>
      <c r="K10" s="163">
        <f>PLANTILLA!AD14</f>
        <v>15.270000000000001</v>
      </c>
      <c r="L10" s="363">
        <f>1/10</f>
        <v>0.1</v>
      </c>
      <c r="M10" s="363"/>
      <c r="N10" s="36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38">
        <f>V10</f>
        <v>1.9088636363636363E-2</v>
      </c>
      <c r="Z10" s="438">
        <f>V10</f>
        <v>1.9088636363636363E-2</v>
      </c>
      <c r="AA10" s="438">
        <f t="shared" si="6"/>
        <v>1.9088636363636363E-2</v>
      </c>
      <c r="AD10" t="s">
        <v>970</v>
      </c>
      <c r="AE10" t="s">
        <v>980</v>
      </c>
      <c r="AG10" t="s">
        <v>596</v>
      </c>
      <c r="AH10" t="s">
        <v>752</v>
      </c>
    </row>
    <row r="11" spans="1:34" x14ac:dyDescent="0.25">
      <c r="A11" s="312" t="str">
        <f>PLANTILLA!A12</f>
        <v>#7</v>
      </c>
      <c r="B11" s="703" t="str">
        <f>PLANTILLA!D12</f>
        <v>E. Romweber</v>
      </c>
      <c r="C11" s="312">
        <f>PLANTILLA!E12</f>
        <v>30</v>
      </c>
      <c r="D11" s="312">
        <f ca="1">PLANTILLA!F12</f>
        <v>87</v>
      </c>
      <c r="E11" s="163">
        <f>PLANTILLA!X12</f>
        <v>0</v>
      </c>
      <c r="F11" s="163">
        <f>PLANTILLA!Y12</f>
        <v>11.95</v>
      </c>
      <c r="G11" s="163">
        <f>PLANTILLA!Z12</f>
        <v>12.489111111111114</v>
      </c>
      <c r="H11" s="163">
        <f>PLANTILLA!AA12</f>
        <v>13.133333333333335</v>
      </c>
      <c r="I11" s="163">
        <f>PLANTILLA!AB12</f>
        <v>10.91</v>
      </c>
      <c r="J11" s="163">
        <f>PLANTILLA!AC12</f>
        <v>7.7700000000000005</v>
      </c>
      <c r="K11" s="163">
        <f>PLANTILLA!AD12</f>
        <v>17.13</v>
      </c>
      <c r="L11" s="363">
        <f>1/13</f>
        <v>7.6923076923076927E-2</v>
      </c>
      <c r="M11" s="363"/>
      <c r="N11" s="36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38">
        <f>V11</f>
        <v>1.4683566433566433E-2</v>
      </c>
      <c r="Z11" s="438">
        <f>V11</f>
        <v>1.4683566433566433E-2</v>
      </c>
      <c r="AA11" s="438">
        <f t="shared" si="6"/>
        <v>1.4683566433566433E-2</v>
      </c>
      <c r="AD11" t="s">
        <v>970</v>
      </c>
      <c r="AE11" t="s">
        <v>338</v>
      </c>
      <c r="AG11" t="s">
        <v>970</v>
      </c>
      <c r="AH11" t="s">
        <v>338</v>
      </c>
    </row>
    <row r="12" spans="1:34" x14ac:dyDescent="0.25">
      <c r="A12" s="312" t="str">
        <f>PLANTILLA!A23</f>
        <v>#18</v>
      </c>
      <c r="B12" s="703" t="str">
        <f>PLANTILLA!D23</f>
        <v>L. Calosso</v>
      </c>
      <c r="C12" s="312">
        <f>PLANTILLA!E23</f>
        <v>30</v>
      </c>
      <c r="D12" s="312">
        <f ca="1">PLANTILLA!F23</f>
        <v>43</v>
      </c>
      <c r="E12" s="163">
        <f>PLANTILLA!X23</f>
        <v>0</v>
      </c>
      <c r="F12" s="163">
        <f>PLANTILLA!Y23</f>
        <v>2</v>
      </c>
      <c r="G12" s="163">
        <f>PLANTILLA!Z23</f>
        <v>14.127609523809523</v>
      </c>
      <c r="H12" s="163">
        <f>PLANTILLA!AA23</f>
        <v>3.02</v>
      </c>
      <c r="I12" s="163">
        <f>PLANTILLA!AB23</f>
        <v>15.02</v>
      </c>
      <c r="J12" s="163">
        <f>PLANTILLA!AC23</f>
        <v>10</v>
      </c>
      <c r="K12" s="163">
        <f>PLANTILLA!AD23</f>
        <v>9.3000000000000007</v>
      </c>
      <c r="L12" s="363">
        <f>1/26</f>
        <v>3.8461538461538464E-2</v>
      </c>
      <c r="M12" s="363"/>
      <c r="N12" s="36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38">
        <f>W12</f>
        <v>1.448164335664336E-2</v>
      </c>
      <c r="Z12" s="438">
        <f>W12</f>
        <v>1.448164335664336E-2</v>
      </c>
      <c r="AA12" s="438">
        <f t="shared" si="6"/>
        <v>1.448164335664336E-2</v>
      </c>
      <c r="AD12" t="s">
        <v>67</v>
      </c>
      <c r="AE12" t="s">
        <v>327</v>
      </c>
      <c r="AG12" t="s">
        <v>970</v>
      </c>
      <c r="AH12" t="s">
        <v>600</v>
      </c>
    </row>
    <row r="13" spans="1:34" x14ac:dyDescent="0.25">
      <c r="A13" s="312" t="str">
        <f>PLANTILLA!A24</f>
        <v>#15</v>
      </c>
      <c r="B13" s="703" t="str">
        <f>PLANTILLA!D24</f>
        <v>P .Trivadi</v>
      </c>
      <c r="C13" s="312">
        <f>PLANTILLA!E24</f>
        <v>27</v>
      </c>
      <c r="D13" s="312">
        <f ca="1">PLANTILLA!F24</f>
        <v>5</v>
      </c>
      <c r="E13" s="163">
        <f>PLANTILLA!X24</f>
        <v>0</v>
      </c>
      <c r="F13" s="163">
        <f>PLANTILLA!Y24</f>
        <v>4</v>
      </c>
      <c r="G13" s="163">
        <f>PLANTILLA!Z24</f>
        <v>5.5438722222222205</v>
      </c>
      <c r="H13" s="163">
        <f>PLANTILLA!AA24</f>
        <v>5.4899999999999993</v>
      </c>
      <c r="I13" s="163">
        <f>PLANTILLA!AB24</f>
        <v>10.799999999999999</v>
      </c>
      <c r="J13" s="163">
        <f>PLANTILLA!AC24</f>
        <v>8.384500000000001</v>
      </c>
      <c r="K13" s="163">
        <f>PLANTILLA!AD24</f>
        <v>13.566666666666668</v>
      </c>
      <c r="L13" s="363">
        <f>1/9</f>
        <v>0.1111111111111111</v>
      </c>
      <c r="M13" s="363"/>
      <c r="N13" s="36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38">
        <v>0</v>
      </c>
      <c r="Z13" s="438">
        <v>0</v>
      </c>
      <c r="AA13" s="438">
        <f t="shared" si="6"/>
        <v>0</v>
      </c>
      <c r="AD13" t="s">
        <v>67</v>
      </c>
      <c r="AE13" t="s">
        <v>600</v>
      </c>
      <c r="AG13" t="s">
        <v>67</v>
      </c>
      <c r="AH13" t="s">
        <v>327</v>
      </c>
    </row>
    <row r="14" spans="1:34" x14ac:dyDescent="0.25">
      <c r="A14" s="312" t="str">
        <f>PLANTILLA!A5</f>
        <v>#1</v>
      </c>
      <c r="B14" s="312" t="str">
        <f>PLANTILLA!D5</f>
        <v>D. Gehmacher</v>
      </c>
      <c r="C14" s="312">
        <f>PLANTILLA!E5</f>
        <v>30</v>
      </c>
      <c r="D14" s="312">
        <f ca="1">PLANTILLA!F5</f>
        <v>2</v>
      </c>
      <c r="E14" s="163">
        <f>PLANTILLA!X5</f>
        <v>16.666666666666668</v>
      </c>
      <c r="F14" s="163">
        <f>PLANTILLA!Y5</f>
        <v>11.832727272727276</v>
      </c>
      <c r="G14" s="163">
        <f>PLANTILLA!Z5</f>
        <v>2.0399999999999991</v>
      </c>
      <c r="H14" s="163">
        <f>PLANTILLA!AA5</f>
        <v>2.1399999999999992</v>
      </c>
      <c r="I14" s="163">
        <f>PLANTILLA!AB5</f>
        <v>1.0400000000000003</v>
      </c>
      <c r="J14" s="163">
        <f>PLANTILLA!AC5</f>
        <v>0.14055555555555557</v>
      </c>
      <c r="K14" s="163">
        <f>PLANTILLA!AD5</f>
        <v>17.849999999999998</v>
      </c>
      <c r="L14" s="363">
        <v>0</v>
      </c>
      <c r="M14" s="363"/>
      <c r="N14" s="36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38">
        <f>L14</f>
        <v>0</v>
      </c>
      <c r="Z14" s="438">
        <f>L14</f>
        <v>0</v>
      </c>
      <c r="AA14" s="438">
        <f t="shared" si="6"/>
        <v>0</v>
      </c>
    </row>
    <row r="15" spans="1:34" x14ac:dyDescent="0.25">
      <c r="A15" s="312" t="str">
        <f>PLANTILLA!A7</f>
        <v>#17</v>
      </c>
      <c r="B15" s="703" t="str">
        <f>PLANTILLA!D7</f>
        <v>B. Pinczehelyi</v>
      </c>
      <c r="C15" s="312">
        <f>PLANTILLA!E7</f>
        <v>30</v>
      </c>
      <c r="D15" s="312">
        <f ca="1">PLANTILLA!F7</f>
        <v>14</v>
      </c>
      <c r="E15" s="163">
        <f>PLANTILLA!X7</f>
        <v>0</v>
      </c>
      <c r="F15" s="163">
        <f>PLANTILLA!Y7</f>
        <v>14.200000000000003</v>
      </c>
      <c r="G15" s="163">
        <f>PLANTILLA!Z7</f>
        <v>9.3093333333333348</v>
      </c>
      <c r="H15" s="163">
        <f>PLANTILLA!AA7</f>
        <v>14.291666666666663</v>
      </c>
      <c r="I15" s="163">
        <f>PLANTILLA!AB7</f>
        <v>9.4199999999999982</v>
      </c>
      <c r="J15" s="163">
        <f>PLANTILLA!AC7</f>
        <v>1.1428571428571428</v>
      </c>
      <c r="K15" s="163">
        <f>PLANTILLA!AD7</f>
        <v>9.4</v>
      </c>
      <c r="L15" s="363">
        <f>1/10</f>
        <v>0.1</v>
      </c>
      <c r="M15" s="363"/>
      <c r="N15" s="36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38">
        <v>0</v>
      </c>
      <c r="Z15" s="438">
        <v>0</v>
      </c>
      <c r="AA15" s="438">
        <f t="shared" si="6"/>
        <v>0</v>
      </c>
    </row>
    <row r="16" spans="1:34" x14ac:dyDescent="0.25">
      <c r="A16" s="312" t="str">
        <f>PLANTILLA!A8</f>
        <v>#8</v>
      </c>
      <c r="B16" s="703" t="str">
        <f>PLANTILLA!D8</f>
        <v>D. Toh</v>
      </c>
      <c r="C16" s="312">
        <f>PLANTILLA!E8</f>
        <v>31</v>
      </c>
      <c r="D16" s="312">
        <f ca="1">PLANTILLA!F8</f>
        <v>59</v>
      </c>
      <c r="E16" s="163">
        <f>PLANTILLA!X8</f>
        <v>0</v>
      </c>
      <c r="F16" s="163">
        <f>PLANTILLA!Y8</f>
        <v>11</v>
      </c>
      <c r="G16" s="163">
        <f>PLANTILLA!Z8</f>
        <v>6.1894444444444412</v>
      </c>
      <c r="H16" s="163">
        <f>PLANTILLA!AA8</f>
        <v>6.04</v>
      </c>
      <c r="I16" s="163">
        <f>PLANTILLA!AB8</f>
        <v>7.7227777777777789</v>
      </c>
      <c r="J16" s="163">
        <f>PLANTILLA!AC8</f>
        <v>4.383333333333332</v>
      </c>
      <c r="K16" s="163">
        <f>PLANTILLA!AD8</f>
        <v>15.349999999999998</v>
      </c>
      <c r="L16" s="363">
        <f>1/8</f>
        <v>0.125</v>
      </c>
      <c r="M16" s="363"/>
      <c r="N16" s="36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38">
        <v>0</v>
      </c>
      <c r="Z16" s="438">
        <v>0</v>
      </c>
      <c r="AA16" s="438">
        <f t="shared" si="6"/>
        <v>0</v>
      </c>
    </row>
    <row r="17" spans="1:27" x14ac:dyDescent="0.25">
      <c r="A17" s="312" t="str">
        <f>PLANTILLA!A9</f>
        <v>#2</v>
      </c>
      <c r="B17" s="703" t="str">
        <f>PLANTILLA!D9</f>
        <v>E. Toney</v>
      </c>
      <c r="C17" s="312">
        <f>PLANTILLA!E9</f>
        <v>31</v>
      </c>
      <c r="D17" s="312">
        <f ca="1">PLANTILLA!F9</f>
        <v>13</v>
      </c>
      <c r="E17" s="163">
        <f>PLANTILLA!X9</f>
        <v>0</v>
      </c>
      <c r="F17" s="163">
        <f>PLANTILLA!Y9</f>
        <v>12.060000000000004</v>
      </c>
      <c r="G17" s="163">
        <f>PLANTILLA!Z9</f>
        <v>13.116555555555554</v>
      </c>
      <c r="H17" s="163">
        <f>PLANTILLA!AA9</f>
        <v>9.8200000000000056</v>
      </c>
      <c r="I17" s="163">
        <f>PLANTILLA!AB9</f>
        <v>9.6</v>
      </c>
      <c r="J17" s="163">
        <f>PLANTILLA!AC9</f>
        <v>3.6816666666666658</v>
      </c>
      <c r="K17" s="163">
        <f>PLANTILLA!AD9</f>
        <v>16.627777777777773</v>
      </c>
      <c r="L17" s="363">
        <f>1/11</f>
        <v>9.0909090909090912E-2</v>
      </c>
      <c r="M17" s="363"/>
      <c r="N17" s="36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38">
        <f>S17</f>
        <v>0</v>
      </c>
      <c r="Z17" s="438">
        <f>S17</f>
        <v>0</v>
      </c>
      <c r="AA17" s="438">
        <f t="shared" si="6"/>
        <v>0</v>
      </c>
    </row>
    <row r="18" spans="1:27" x14ac:dyDescent="0.25">
      <c r="A18" s="312" t="str">
        <f>PLANTILLA!A17</f>
        <v>#12</v>
      </c>
      <c r="B18" s="703" t="str">
        <f>PLANTILLA!D17</f>
        <v>E. Gross</v>
      </c>
      <c r="C18" s="312">
        <f>PLANTILLA!E17</f>
        <v>30</v>
      </c>
      <c r="D18" s="312">
        <f ca="1">PLANTILLA!F17</f>
        <v>74</v>
      </c>
      <c r="E18" s="163">
        <f>PLANTILLA!X17</f>
        <v>0</v>
      </c>
      <c r="F18" s="163">
        <f>PLANTILLA!Y17</f>
        <v>10.349999999999996</v>
      </c>
      <c r="G18" s="163">
        <f>PLANTILLA!Z17</f>
        <v>12.859777777777778</v>
      </c>
      <c r="H18" s="163">
        <f>PLANTILLA!AA17</f>
        <v>5.1299999999999981</v>
      </c>
      <c r="I18" s="163">
        <f>PLANTILLA!AB17</f>
        <v>9.24</v>
      </c>
      <c r="J18" s="163">
        <f>PLANTILLA!AC17</f>
        <v>2.98</v>
      </c>
      <c r="K18" s="163">
        <f>PLANTILLA!AD17</f>
        <v>16.959999999999997</v>
      </c>
      <c r="L18" s="363">
        <f>1/10</f>
        <v>0.1</v>
      </c>
      <c r="M18" s="363"/>
      <c r="N18" s="36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38">
        <v>0</v>
      </c>
      <c r="Z18" s="438">
        <v>0</v>
      </c>
      <c r="AA18" s="438">
        <f t="shared" si="6"/>
        <v>0</v>
      </c>
    </row>
    <row r="19" spans="1:27" x14ac:dyDescent="0.25">
      <c r="A19" s="312" t="str">
        <f>PLANTILLA!A10</f>
        <v>#3</v>
      </c>
      <c r="B19" s="703" t="str">
        <f>PLANTILLA!D10</f>
        <v>B. Bartolache</v>
      </c>
      <c r="C19" s="312">
        <f>PLANTILLA!E10</f>
        <v>30</v>
      </c>
      <c r="D19" s="312">
        <f ca="1">PLANTILLA!F10</f>
        <v>110</v>
      </c>
      <c r="E19" s="163">
        <f>PLANTILLA!X10</f>
        <v>0</v>
      </c>
      <c r="F19" s="163">
        <f>PLANTILLA!Y10</f>
        <v>11.649999999999997</v>
      </c>
      <c r="G19" s="163">
        <f>PLANTILLA!Z10</f>
        <v>6.700000000000002</v>
      </c>
      <c r="H19" s="163">
        <f>PLANTILLA!AA10</f>
        <v>7.4300000000000015</v>
      </c>
      <c r="I19" s="163">
        <f>PLANTILLA!AB10</f>
        <v>9.0199999999999978</v>
      </c>
      <c r="J19" s="163">
        <f>PLANTILLA!AC10</f>
        <v>4.6199999999999966</v>
      </c>
      <c r="K19" s="163">
        <f>PLANTILLA!AD10</f>
        <v>15.6</v>
      </c>
      <c r="L19" s="363">
        <f>1/10</f>
        <v>0.1</v>
      </c>
      <c r="M19" s="363"/>
      <c r="N19" s="36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38">
        <v>0</v>
      </c>
      <c r="Z19" s="438">
        <f>S19</f>
        <v>0</v>
      </c>
      <c r="AA19" s="438">
        <f t="shared" si="6"/>
        <v>0</v>
      </c>
    </row>
    <row r="20" spans="1:27" x14ac:dyDescent="0.25">
      <c r="A20" s="312" t="str">
        <f>PLANTILLA!A6</f>
        <v>#16</v>
      </c>
      <c r="B20" s="312" t="str">
        <f>PLANTILLA!D6</f>
        <v>T. Hammond</v>
      </c>
      <c r="C20" s="312">
        <f>PLANTILLA!E6</f>
        <v>34</v>
      </c>
      <c r="D20" s="312">
        <f ca="1">PLANTILLA!F6</f>
        <v>11</v>
      </c>
      <c r="E20" s="163">
        <f>PLANTILLA!X6</f>
        <v>10.3</v>
      </c>
      <c r="F20" s="163">
        <f>PLANTILLA!Y6</f>
        <v>10.794999999999998</v>
      </c>
      <c r="G20" s="163">
        <f>PLANTILLA!Z6</f>
        <v>4.6300000000000008</v>
      </c>
      <c r="H20" s="163">
        <f>PLANTILLA!AA6</f>
        <v>4.95</v>
      </c>
      <c r="I20" s="163">
        <f>PLANTILLA!AB6</f>
        <v>6.5444444444444434</v>
      </c>
      <c r="J20" s="163">
        <f>PLANTILLA!AC6</f>
        <v>3.99</v>
      </c>
      <c r="K20" s="163">
        <f>PLANTILLA!AD6</f>
        <v>15.778888888888888</v>
      </c>
      <c r="L20" s="363"/>
      <c r="M20" s="363"/>
      <c r="N20" s="36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38"/>
      <c r="Z20" s="438"/>
      <c r="AA20" s="438">
        <f t="shared" si="6"/>
        <v>0</v>
      </c>
    </row>
    <row r="21" spans="1:27" x14ac:dyDescent="0.25">
      <c r="A21" s="312" t="str">
        <f>PLANTILLA!A11</f>
        <v>#13</v>
      </c>
      <c r="B21" s="312" t="str">
        <f>PLANTILLA!D11</f>
        <v>F. Lasprilla</v>
      </c>
      <c r="C21" s="312">
        <f>PLANTILLA!E11</f>
        <v>27</v>
      </c>
      <c r="D21" s="312">
        <f ca="1">PLANTILLA!F11</f>
        <v>21</v>
      </c>
      <c r="E21" s="163">
        <f>PLANTILLA!X11</f>
        <v>0</v>
      </c>
      <c r="F21" s="163">
        <f>PLANTILLA!Y11</f>
        <v>9.5796666666666663</v>
      </c>
      <c r="G21" s="163">
        <f>PLANTILLA!Z11</f>
        <v>7.7407222222222227</v>
      </c>
      <c r="H21" s="163">
        <f>PLANTILLA!AA11</f>
        <v>6.1499999999999986</v>
      </c>
      <c r="I21" s="163">
        <f>PLANTILLA!AB11</f>
        <v>8.8633333333333315</v>
      </c>
      <c r="J21" s="163">
        <f>PLANTILLA!AC11</f>
        <v>3.2566666666666673</v>
      </c>
      <c r="K21" s="163">
        <f>PLANTILLA!AD11</f>
        <v>13.238888888888889</v>
      </c>
      <c r="L21" s="363"/>
      <c r="M21" s="363"/>
      <c r="N21" s="36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38"/>
      <c r="Z21" s="438"/>
      <c r="AA21" s="438">
        <f t="shared" si="6"/>
        <v>0</v>
      </c>
    </row>
    <row r="22" spans="1:27" x14ac:dyDescent="0.25">
      <c r="A22" s="312" t="str">
        <f>PLANTILLA!A19</f>
        <v>#14</v>
      </c>
      <c r="B22" s="312" t="str">
        <f>PLANTILLA!D19</f>
        <v>W. Gelifini</v>
      </c>
      <c r="C22" s="312">
        <f>PLANTILLA!E19</f>
        <v>28</v>
      </c>
      <c r="D22" s="312">
        <f ca="1">PLANTILLA!F19</f>
        <v>111</v>
      </c>
      <c r="E22" s="163">
        <f>PLANTILLA!X19</f>
        <v>0</v>
      </c>
      <c r="F22" s="163">
        <f>PLANTILLA!Y19</f>
        <v>5.6315555555555523</v>
      </c>
      <c r="G22" s="163">
        <f>PLANTILLA!Z19</f>
        <v>9.8523388888888874</v>
      </c>
      <c r="H22" s="163">
        <f>PLANTILLA!AA19</f>
        <v>7.0726666666666667</v>
      </c>
      <c r="I22" s="163">
        <f>PLANTILLA!AB19</f>
        <v>9.2666666666666639</v>
      </c>
      <c r="J22" s="163">
        <f>PLANTILLA!AC19</f>
        <v>3.5417777777777766</v>
      </c>
      <c r="K22" s="163">
        <f>PLANTILLA!AD19</f>
        <v>12.450000000000001</v>
      </c>
      <c r="L22" s="363"/>
      <c r="M22" s="363"/>
      <c r="N22" s="36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38"/>
      <c r="Z22" s="438"/>
      <c r="AA22" s="438">
        <f t="shared" si="6"/>
        <v>0</v>
      </c>
    </row>
    <row r="23" spans="1:27" x14ac:dyDescent="0.25">
      <c r="A23" s="312" t="str">
        <f>PLANTILLA!A20</f>
        <v>#89</v>
      </c>
      <c r="B23" s="312" t="str">
        <f>PLANTILLA!D20</f>
        <v>M. Amico</v>
      </c>
      <c r="C23" s="312">
        <f>PLANTILLA!E20</f>
        <v>29</v>
      </c>
      <c r="D23" s="312">
        <f ca="1">PLANTILLA!F20</f>
        <v>6</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s="363"/>
      <c r="M23" s="363"/>
      <c r="N23" s="36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38"/>
      <c r="Z23" s="438"/>
      <c r="AA23" s="438">
        <f t="shared" si="6"/>
        <v>0</v>
      </c>
    </row>
    <row r="26" spans="1:27" x14ac:dyDescent="0.25">
      <c r="B26" s="31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SUM(Y4:Y22)</f>
        <v>0.35961805555555554</v>
      </c>
      <c r="Z2" s="652">
        <f>SUM(Z4:Z22)</f>
        <v>0.49770896464646464</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PLANTILLA!A8</f>
        <v>#8</v>
      </c>
      <c r="B4" s="703" t="str">
        <f>PLANTILLA!D8</f>
        <v>D. Toh</v>
      </c>
      <c r="C4" s="312">
        <f>PLANTILLA!E8</f>
        <v>31</v>
      </c>
      <c r="D4" s="312">
        <f ca="1">PLANTILLA!F8</f>
        <v>59</v>
      </c>
      <c r="E4" s="163">
        <f>PLANTILLA!X8</f>
        <v>0</v>
      </c>
      <c r="F4" s="163">
        <f>PLANTILLA!Y8</f>
        <v>11</v>
      </c>
      <c r="G4" s="163">
        <f>PLANTILLA!Z8</f>
        <v>6.1894444444444412</v>
      </c>
      <c r="H4" s="163">
        <f>PLANTILLA!AA8</f>
        <v>6.04</v>
      </c>
      <c r="I4" s="163">
        <f>PLANTILLA!AB8</f>
        <v>7.7227777777777789</v>
      </c>
      <c r="J4" s="163">
        <f>PLANTILLA!AC8</f>
        <v>4.383333333333332</v>
      </c>
      <c r="K4" s="163">
        <f>PLANTILLA!AD8</f>
        <v>15.349999999999998</v>
      </c>
      <c r="L4" s="363">
        <f>1/4</f>
        <v>0.25</v>
      </c>
      <c r="M4" s="363">
        <f t="shared" ref="M4:M23" si="0">L4/2</f>
        <v>0.125</v>
      </c>
      <c r="N4" s="36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38"/>
      <c r="Z4" s="438">
        <f>R4</f>
        <v>7.1499999999999994E-2</v>
      </c>
      <c r="AA4" s="438">
        <f t="shared" ref="AA4:AA23" si="8">MAX(Z4,Y4)</f>
        <v>7.1499999999999994E-2</v>
      </c>
      <c r="AD4" t="s">
        <v>967</v>
      </c>
      <c r="AE4" s="668" t="s">
        <v>1020</v>
      </c>
      <c r="AG4" t="s">
        <v>967</v>
      </c>
      <c r="AH4" s="668" t="str">
        <f>AE4</f>
        <v>B. Pinczehelyi</v>
      </c>
    </row>
    <row r="5" spans="1:34" x14ac:dyDescent="0.25">
      <c r="A5" s="312" t="str">
        <f>PLANTILLA!A10</f>
        <v>#3</v>
      </c>
      <c r="B5" s="703" t="str">
        <f>PLANTILLA!D10</f>
        <v>B. Bartolache</v>
      </c>
      <c r="C5" s="312">
        <f>PLANTILLA!E10</f>
        <v>30</v>
      </c>
      <c r="D5" s="312">
        <f ca="1">PLANTILLA!F10</f>
        <v>110</v>
      </c>
      <c r="E5" s="163">
        <f>PLANTILLA!X10</f>
        <v>0</v>
      </c>
      <c r="F5" s="163">
        <f>PLANTILLA!Y10</f>
        <v>11.649999999999997</v>
      </c>
      <c r="G5" s="163">
        <f>PLANTILLA!Z10</f>
        <v>6.700000000000002</v>
      </c>
      <c r="H5" s="163">
        <f>PLANTILLA!AA10</f>
        <v>7.4300000000000015</v>
      </c>
      <c r="I5" s="163">
        <f>PLANTILLA!AB10</f>
        <v>9.0199999999999978</v>
      </c>
      <c r="J5" s="163">
        <f>PLANTILLA!AC10</f>
        <v>4.6199999999999966</v>
      </c>
      <c r="K5" s="163">
        <f>PLANTILLA!AD10</f>
        <v>15.6</v>
      </c>
      <c r="L5" s="363">
        <f>1/6</f>
        <v>0.16666666666666666</v>
      </c>
      <c r="M5" s="363">
        <f t="shared" si="0"/>
        <v>8.3333333333333329E-2</v>
      </c>
      <c r="N5" s="36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38"/>
      <c r="Z5" s="438">
        <f>S5</f>
        <v>5.5681818181818173E-2</v>
      </c>
      <c r="AA5" s="438">
        <f t="shared" si="8"/>
        <v>5.5681818181818173E-2</v>
      </c>
      <c r="AD5" t="s">
        <v>968</v>
      </c>
      <c r="AE5" t="s">
        <v>312</v>
      </c>
      <c r="AG5" t="s">
        <v>979</v>
      </c>
      <c r="AH5" t="s">
        <v>313</v>
      </c>
    </row>
    <row r="6" spans="1:34" x14ac:dyDescent="0.25">
      <c r="A6" s="312" t="str">
        <f>PLANTILLA!A14</f>
        <v>#10</v>
      </c>
      <c r="B6" s="703" t="str">
        <f>PLANTILLA!D14</f>
        <v>S. Zobbe</v>
      </c>
      <c r="C6" s="312">
        <f>PLANTILLA!E14</f>
        <v>27</v>
      </c>
      <c r="D6" s="312">
        <f ca="1">PLANTILLA!F14</f>
        <v>49</v>
      </c>
      <c r="E6" s="163">
        <f>PLANTILLA!X14</f>
        <v>0</v>
      </c>
      <c r="F6" s="163">
        <f>PLANTILLA!Y14</f>
        <v>8.1199999999999992</v>
      </c>
      <c r="G6" s="163">
        <f>PLANTILLA!Z14</f>
        <v>12.058412698412699</v>
      </c>
      <c r="H6" s="163">
        <f>PLANTILLA!AA14</f>
        <v>12.25</v>
      </c>
      <c r="I6" s="163">
        <f>PLANTILLA!AB14</f>
        <v>10.24</v>
      </c>
      <c r="J6" s="163">
        <f>PLANTILLA!AC14</f>
        <v>7.4766666666666666</v>
      </c>
      <c r="K6" s="163">
        <f>PLANTILLA!AD14</f>
        <v>15.270000000000001</v>
      </c>
      <c r="L6" s="363">
        <f>1/9</f>
        <v>0.1111111111111111</v>
      </c>
      <c r="M6" s="363">
        <f t="shared" si="0"/>
        <v>5.5555555555555552E-2</v>
      </c>
      <c r="N6" s="36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38">
        <f>V6</f>
        <v>5.4545454545454536E-2</v>
      </c>
      <c r="Z6" s="438">
        <f>V6</f>
        <v>5.4545454545454536E-2</v>
      </c>
      <c r="AA6" s="438">
        <f t="shared" si="8"/>
        <v>5.4545454545454536E-2</v>
      </c>
      <c r="AD6" t="s">
        <v>967</v>
      </c>
      <c r="AE6" t="s">
        <v>309</v>
      </c>
      <c r="AG6" t="s">
        <v>978</v>
      </c>
      <c r="AH6" t="s">
        <v>309</v>
      </c>
    </row>
    <row r="7" spans="1:34" x14ac:dyDescent="0.25">
      <c r="A7" s="312" t="str">
        <f>PLANTILLA!A9</f>
        <v>#2</v>
      </c>
      <c r="B7" s="703" t="str">
        <f>PLANTILLA!D9</f>
        <v>E. Toney</v>
      </c>
      <c r="C7" s="312">
        <f>PLANTILLA!E9</f>
        <v>31</v>
      </c>
      <c r="D7" s="312">
        <f ca="1">PLANTILLA!F9</f>
        <v>13</v>
      </c>
      <c r="E7" s="163">
        <f>PLANTILLA!X9</f>
        <v>0</v>
      </c>
      <c r="F7" s="163">
        <f>PLANTILLA!Y9</f>
        <v>12.060000000000004</v>
      </c>
      <c r="G7" s="163">
        <f>PLANTILLA!Z9</f>
        <v>13.116555555555554</v>
      </c>
      <c r="H7" s="163">
        <f>PLANTILLA!AA9</f>
        <v>9.8200000000000056</v>
      </c>
      <c r="I7" s="163">
        <f>PLANTILLA!AB9</f>
        <v>9.6</v>
      </c>
      <c r="J7" s="163">
        <f>PLANTILLA!AC9</f>
        <v>3.6816666666666658</v>
      </c>
      <c r="K7" s="163">
        <f>PLANTILLA!AD9</f>
        <v>16.627777777777773</v>
      </c>
      <c r="L7" s="363">
        <f>1/7</f>
        <v>0.14285714285714285</v>
      </c>
      <c r="M7" s="363">
        <f t="shared" si="0"/>
        <v>7.1428571428571425E-2</v>
      </c>
      <c r="N7" s="36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38">
        <f>S7</f>
        <v>4.7727272727272722E-2</v>
      </c>
      <c r="Z7" s="438">
        <f>S7</f>
        <v>4.7727272727272722E-2</v>
      </c>
      <c r="AA7" s="438">
        <f t="shared" si="8"/>
        <v>4.7727272727272722E-2</v>
      </c>
      <c r="AD7" t="s">
        <v>596</v>
      </c>
      <c r="AE7" t="s">
        <v>752</v>
      </c>
      <c r="AG7" t="s">
        <v>979</v>
      </c>
      <c r="AH7" t="s">
        <v>315</v>
      </c>
    </row>
    <row r="8" spans="1:34" x14ac:dyDescent="0.25">
      <c r="A8" s="312" t="str">
        <f>PLANTILLA!A12</f>
        <v>#7</v>
      </c>
      <c r="B8" s="704" t="str">
        <f>PLANTILLA!D12</f>
        <v>E. Romweber</v>
      </c>
      <c r="C8" s="312">
        <f>PLANTILLA!E12</f>
        <v>30</v>
      </c>
      <c r="D8" s="312">
        <f ca="1">PLANTILLA!F12</f>
        <v>87</v>
      </c>
      <c r="E8" s="163">
        <f>PLANTILLA!X12</f>
        <v>0</v>
      </c>
      <c r="F8" s="163">
        <f>PLANTILLA!Y12</f>
        <v>11.95</v>
      </c>
      <c r="G8" s="163">
        <f>PLANTILLA!Z12</f>
        <v>12.489111111111114</v>
      </c>
      <c r="H8" s="163">
        <f>PLANTILLA!AA12</f>
        <v>13.133333333333335</v>
      </c>
      <c r="I8" s="163">
        <f>PLANTILLA!AB12</f>
        <v>10.91</v>
      </c>
      <c r="J8" s="163">
        <f>PLANTILLA!AC12</f>
        <v>7.7700000000000005</v>
      </c>
      <c r="K8" s="163">
        <f>PLANTILLA!AD12</f>
        <v>17.13</v>
      </c>
      <c r="L8" s="363">
        <f>1/12</f>
        <v>8.3333333333333329E-2</v>
      </c>
      <c r="M8" s="363">
        <f t="shared" si="0"/>
        <v>4.1666666666666664E-2</v>
      </c>
      <c r="N8" s="36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38">
        <f>V8</f>
        <v>4.0909090909090909E-2</v>
      </c>
      <c r="Z8" s="438">
        <f>V8</f>
        <v>4.0909090909090909E-2</v>
      </c>
      <c r="AA8" s="438">
        <f t="shared" si="8"/>
        <v>4.0909090909090909E-2</v>
      </c>
      <c r="AD8" t="s">
        <v>969</v>
      </c>
      <c r="AE8" t="s">
        <v>440</v>
      </c>
      <c r="AG8" t="s">
        <v>967</v>
      </c>
      <c r="AH8" t="s">
        <v>980</v>
      </c>
    </row>
    <row r="9" spans="1:34" x14ac:dyDescent="0.25">
      <c r="A9" s="312" t="str">
        <f>PLANTILLA!A13</f>
        <v>#11</v>
      </c>
      <c r="B9" s="704" t="str">
        <f>PLANTILLA!D13</f>
        <v>K. Helms</v>
      </c>
      <c r="C9" s="312">
        <f>PLANTILLA!E13</f>
        <v>30</v>
      </c>
      <c r="D9" s="312">
        <f ca="1">PLANTILLA!F13</f>
        <v>34</v>
      </c>
      <c r="E9" s="163">
        <f>PLANTILLA!X13</f>
        <v>0</v>
      </c>
      <c r="F9" s="163">
        <f>PLANTILLA!Y13</f>
        <v>7.11</v>
      </c>
      <c r="G9" s="163">
        <f>PLANTILLA!Z13</f>
        <v>10.450000000000003</v>
      </c>
      <c r="H9" s="163">
        <f>PLANTILLA!AA13</f>
        <v>13.388333333333334</v>
      </c>
      <c r="I9" s="163">
        <f>PLANTILLA!AB13</f>
        <v>10.359999999999998</v>
      </c>
      <c r="J9" s="163">
        <f>PLANTILLA!AC13</f>
        <v>5.4050000000000002</v>
      </c>
      <c r="K9" s="163">
        <f>PLANTILLA!AD13</f>
        <v>17.300000000000004</v>
      </c>
      <c r="L9" s="363">
        <f>1/12</f>
        <v>8.3333333333333329E-2</v>
      </c>
      <c r="M9" s="363">
        <f t="shared" si="0"/>
        <v>4.1666666666666664E-2</v>
      </c>
      <c r="N9" s="36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38">
        <f>V9</f>
        <v>4.0909090909090909E-2</v>
      </c>
      <c r="Z9" s="438">
        <f>V9</f>
        <v>4.0909090909090909E-2</v>
      </c>
      <c r="AA9" s="438">
        <f t="shared" si="8"/>
        <v>4.0909090909090909E-2</v>
      </c>
      <c r="AD9" t="s">
        <v>596</v>
      </c>
      <c r="AE9" t="s">
        <v>325</v>
      </c>
      <c r="AG9" t="s">
        <v>596</v>
      </c>
      <c r="AH9" t="s">
        <v>325</v>
      </c>
    </row>
    <row r="10" spans="1:34" x14ac:dyDescent="0.25">
      <c r="A10" s="312" t="str">
        <f>PLANTILLA!A16</f>
        <v>#4</v>
      </c>
      <c r="B10" s="704" t="str">
        <f>PLANTILLA!D16</f>
        <v>C. Rojas</v>
      </c>
      <c r="C10" s="312">
        <f>PLANTILLA!E16</f>
        <v>31</v>
      </c>
      <c r="D10" s="312">
        <f ca="1">PLANTILLA!F16</f>
        <v>80</v>
      </c>
      <c r="E10" s="163">
        <f>PLANTILLA!X16</f>
        <v>0</v>
      </c>
      <c r="F10" s="163">
        <f>PLANTILLA!Y16</f>
        <v>8.6075555555555585</v>
      </c>
      <c r="G10" s="163">
        <f>PLANTILLA!Z16</f>
        <v>14.190398412698405</v>
      </c>
      <c r="H10" s="163">
        <f>PLANTILLA!AA16</f>
        <v>9.99</v>
      </c>
      <c r="I10" s="163">
        <f>PLANTILLA!AB16</f>
        <v>10.09</v>
      </c>
      <c r="J10" s="163">
        <f>PLANTILLA!AC16</f>
        <v>4.3999999999999995</v>
      </c>
      <c r="K10" s="163">
        <f>PLANTILLA!AD16</f>
        <v>16.544444444444441</v>
      </c>
      <c r="L10" s="363">
        <f>1/8</f>
        <v>0.125</v>
      </c>
      <c r="M10" s="363">
        <f t="shared" si="0"/>
        <v>6.25E-2</v>
      </c>
      <c r="N10" s="36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38">
        <f>U10</f>
        <v>4.0767045454545452E-2</v>
      </c>
      <c r="Z10" s="438">
        <f>U10</f>
        <v>4.0767045454545452E-2</v>
      </c>
      <c r="AA10" s="438">
        <f t="shared" si="8"/>
        <v>4.0767045454545452E-2</v>
      </c>
      <c r="AD10" t="s">
        <v>970</v>
      </c>
      <c r="AE10" t="s">
        <v>980</v>
      </c>
      <c r="AG10" t="s">
        <v>596</v>
      </c>
      <c r="AH10" t="s">
        <v>752</v>
      </c>
    </row>
    <row r="11" spans="1:34" x14ac:dyDescent="0.25">
      <c r="A11" s="312" t="str">
        <f>PLANTILLA!A15</f>
        <v>#6</v>
      </c>
      <c r="B11" s="704" t="str">
        <f>PLANTILLA!D15</f>
        <v>S. Buschelman</v>
      </c>
      <c r="C11" s="312">
        <f>PLANTILLA!E15</f>
        <v>29</v>
      </c>
      <c r="D11" s="312">
        <f ca="1">PLANTILLA!F15</f>
        <v>46</v>
      </c>
      <c r="E11" s="163">
        <f>PLANTILLA!X15</f>
        <v>0</v>
      </c>
      <c r="F11" s="163">
        <f>PLANTILLA!Y15</f>
        <v>9.1936666666666653</v>
      </c>
      <c r="G11" s="163">
        <f>PLANTILLA!Z15</f>
        <v>13.679999999999998</v>
      </c>
      <c r="H11" s="163">
        <f>PLANTILLA!AA15</f>
        <v>12.835000000000001</v>
      </c>
      <c r="I11" s="163">
        <f>PLANTILLA!AB15</f>
        <v>9.6733333333333356</v>
      </c>
      <c r="J11" s="163">
        <f>PLANTILLA!AC15</f>
        <v>5.0296666666666656</v>
      </c>
      <c r="K11" s="163">
        <f>PLANTILLA!AD15</f>
        <v>15.2</v>
      </c>
      <c r="L11" s="363">
        <f>1/9</f>
        <v>0.1111111111111111</v>
      </c>
      <c r="M11" s="363">
        <f t="shared" si="0"/>
        <v>5.5555555555555552E-2</v>
      </c>
      <c r="N11" s="36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38">
        <f>U11</f>
        <v>3.6237373737373728E-2</v>
      </c>
      <c r="Z11" s="438">
        <f>U11</f>
        <v>3.6237373737373728E-2</v>
      </c>
      <c r="AA11" s="438">
        <f t="shared" si="8"/>
        <v>3.6237373737373728E-2</v>
      </c>
      <c r="AD11" t="s">
        <v>970</v>
      </c>
      <c r="AE11" t="s">
        <v>338</v>
      </c>
      <c r="AG11" t="s">
        <v>970</v>
      </c>
      <c r="AH11" t="s">
        <v>338</v>
      </c>
    </row>
    <row r="12" spans="1:34" x14ac:dyDescent="0.25">
      <c r="A12" s="312" t="str">
        <f>PLANTILLA!A21</f>
        <v>#19</v>
      </c>
      <c r="B12" s="237" t="str">
        <f>PLANTILLA!D21</f>
        <v>G. Kerschl</v>
      </c>
      <c r="C12" s="312">
        <f>PLANTILLA!E21</f>
        <v>28</v>
      </c>
      <c r="D12" s="312">
        <f ca="1">PLANTILLA!F21</f>
        <v>76</v>
      </c>
      <c r="E12" s="163">
        <f>PLANTILLA!X21</f>
        <v>0</v>
      </c>
      <c r="F12" s="163">
        <f>PLANTILLA!Y21</f>
        <v>2</v>
      </c>
      <c r="G12" s="163">
        <f>PLANTILLA!Z21</f>
        <v>14.55</v>
      </c>
      <c r="H12" s="163">
        <f>PLANTILLA!AA21</f>
        <v>12.01</v>
      </c>
      <c r="I12" s="163">
        <f>PLANTILLA!AB21</f>
        <v>12</v>
      </c>
      <c r="J12" s="163">
        <f>PLANTILLA!AC21</f>
        <v>8</v>
      </c>
      <c r="K12" s="163">
        <f>PLANTILLA!AD21</f>
        <v>2</v>
      </c>
      <c r="L12" s="363">
        <f>1/10</f>
        <v>0.1</v>
      </c>
      <c r="M12" s="363">
        <f t="shared" si="0"/>
        <v>0.05</v>
      </c>
      <c r="N12" s="36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38">
        <f>U12</f>
        <v>3.2613636363636365E-2</v>
      </c>
      <c r="Z12" s="438">
        <f>U12</f>
        <v>3.2613636363636365E-2</v>
      </c>
      <c r="AA12" s="438">
        <f t="shared" si="8"/>
        <v>3.2613636363636365E-2</v>
      </c>
      <c r="AD12" t="s">
        <v>67</v>
      </c>
      <c r="AE12" t="s">
        <v>327</v>
      </c>
      <c r="AG12" t="s">
        <v>970</v>
      </c>
      <c r="AH12" t="s">
        <v>600</v>
      </c>
    </row>
    <row r="13" spans="1:34" x14ac:dyDescent="0.25">
      <c r="A13" s="312" t="str">
        <f>PLANTILLA!A23</f>
        <v>#18</v>
      </c>
      <c r="B13" s="237" t="str">
        <f>PLANTILLA!D23</f>
        <v>L. Calosso</v>
      </c>
      <c r="C13" s="312">
        <f>PLANTILLA!E23</f>
        <v>30</v>
      </c>
      <c r="D13" s="312">
        <f ca="1">PLANTILLA!F23</f>
        <v>43</v>
      </c>
      <c r="E13" s="163">
        <f>PLANTILLA!X23</f>
        <v>0</v>
      </c>
      <c r="F13" s="163">
        <f>PLANTILLA!Y23</f>
        <v>2</v>
      </c>
      <c r="G13" s="163">
        <f>PLANTILLA!Z23</f>
        <v>14.127609523809523</v>
      </c>
      <c r="H13" s="163">
        <f>PLANTILLA!AA23</f>
        <v>3.02</v>
      </c>
      <c r="I13" s="163">
        <f>PLANTILLA!AB23</f>
        <v>15.02</v>
      </c>
      <c r="J13" s="163">
        <f>PLANTILLA!AC23</f>
        <v>10</v>
      </c>
      <c r="K13" s="163">
        <f>PLANTILLA!AD23</f>
        <v>9.3000000000000007</v>
      </c>
      <c r="L13" s="363">
        <f>1/3</f>
        <v>0.33333333333333331</v>
      </c>
      <c r="M13" s="363">
        <f t="shared" si="0"/>
        <v>0.16666666666666666</v>
      </c>
      <c r="N13" s="36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38">
        <f>W13</f>
        <v>2.7272727272727268E-2</v>
      </c>
      <c r="Z13" s="438">
        <f>W13</f>
        <v>2.7272727272727268E-2</v>
      </c>
      <c r="AA13" s="438">
        <f t="shared" si="8"/>
        <v>2.7272727272727268E-2</v>
      </c>
      <c r="AD13" t="s">
        <v>67</v>
      </c>
      <c r="AE13" t="s">
        <v>600</v>
      </c>
      <c r="AG13" t="s">
        <v>67</v>
      </c>
      <c r="AH13" t="s">
        <v>327</v>
      </c>
    </row>
    <row r="14" spans="1:34" x14ac:dyDescent="0.25">
      <c r="A14" s="312" t="str">
        <f>PLANTILLA!A18</f>
        <v>#5</v>
      </c>
      <c r="B14" s="237" t="str">
        <f>PLANTILLA!D18</f>
        <v>L. Bauman</v>
      </c>
      <c r="C14" s="312">
        <f>PLANTILLA!E18</f>
        <v>30</v>
      </c>
      <c r="D14" s="312">
        <f ca="1">PLANTILLA!F18</f>
        <v>49</v>
      </c>
      <c r="E14" s="163">
        <f>PLANTILLA!X18</f>
        <v>0</v>
      </c>
      <c r="F14" s="163">
        <f>PLANTILLA!Y18</f>
        <v>5.2811111111111115</v>
      </c>
      <c r="G14" s="163">
        <f>PLANTILLA!Z18</f>
        <v>14.283789947089938</v>
      </c>
      <c r="H14" s="163">
        <f>PLANTILLA!AA18</f>
        <v>3.5124999999999993</v>
      </c>
      <c r="I14" s="163">
        <f>PLANTILLA!AB18</f>
        <v>9.1400000000000041</v>
      </c>
      <c r="J14" s="163">
        <f>PLANTILLA!AC18</f>
        <v>7.4318888888888894</v>
      </c>
      <c r="K14" s="163">
        <f>PLANTILLA!AD18</f>
        <v>16.07</v>
      </c>
      <c r="L14" s="363">
        <f>1/3</f>
        <v>0.33333333333333331</v>
      </c>
      <c r="M14" s="363">
        <f t="shared" si="0"/>
        <v>0.16666666666666666</v>
      </c>
      <c r="N14" s="36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38">
        <f>T14</f>
        <v>0</v>
      </c>
      <c r="Z14" s="438">
        <f>W14</f>
        <v>2.7272727272727268E-2</v>
      </c>
      <c r="AA14" s="438">
        <f t="shared" si="8"/>
        <v>2.7272727272727268E-2</v>
      </c>
    </row>
    <row r="15" spans="1:34" x14ac:dyDescent="0.25">
      <c r="A15" s="312" t="str">
        <f>PLANTILLA!A7</f>
        <v>#17</v>
      </c>
      <c r="B15" s="237" t="str">
        <f>PLANTILLA!D7</f>
        <v>B. Pinczehelyi</v>
      </c>
      <c r="C15" s="312">
        <f>PLANTILLA!E7</f>
        <v>30</v>
      </c>
      <c r="D15" s="312">
        <f ca="1">PLANTILLA!F7</f>
        <v>14</v>
      </c>
      <c r="E15" s="163">
        <f>PLANTILLA!X7</f>
        <v>0</v>
      </c>
      <c r="F15" s="163">
        <f>PLANTILLA!Y7</f>
        <v>14.200000000000003</v>
      </c>
      <c r="G15" s="163">
        <f>PLANTILLA!Z7</f>
        <v>9.3093333333333348</v>
      </c>
      <c r="H15" s="163">
        <f>PLANTILLA!AA7</f>
        <v>14.291666666666663</v>
      </c>
      <c r="I15" s="163">
        <f>PLANTILLA!AB7</f>
        <v>9.4199999999999982</v>
      </c>
      <c r="J15" s="163">
        <f>PLANTILLA!AC7</f>
        <v>1.1428571428571428</v>
      </c>
      <c r="K15" s="163">
        <f>PLANTILLA!AD7</f>
        <v>9.4</v>
      </c>
      <c r="L15" s="363">
        <f>1/15</f>
        <v>6.6666666666666666E-2</v>
      </c>
      <c r="M15" s="363">
        <f t="shared" si="0"/>
        <v>3.3333333333333333E-2</v>
      </c>
      <c r="N15" s="36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38">
        <f>S15</f>
        <v>2.227272727272727E-2</v>
      </c>
      <c r="Z15" s="438">
        <f>S15</f>
        <v>2.227272727272727E-2</v>
      </c>
      <c r="AA15" s="438">
        <f t="shared" si="8"/>
        <v>2.227272727272727E-2</v>
      </c>
    </row>
    <row r="16" spans="1:34" x14ac:dyDescent="0.25">
      <c r="A16" s="312" t="str">
        <f>PLANTILLA!A22</f>
        <v>#9</v>
      </c>
      <c r="B16" s="237" t="str">
        <f>PLANTILLA!D22</f>
        <v>J. Limon</v>
      </c>
      <c r="C16" s="312">
        <f>PLANTILLA!E22</f>
        <v>29</v>
      </c>
      <c r="D16" s="312">
        <f ca="1">PLANTILLA!F22</f>
        <v>86</v>
      </c>
      <c r="E16" s="163">
        <f>PLANTILLA!X22</f>
        <v>0</v>
      </c>
      <c r="F16" s="163">
        <f>PLANTILLA!Y22</f>
        <v>6.8176190476190497</v>
      </c>
      <c r="G16" s="163">
        <f>PLANTILLA!Z22</f>
        <v>8.5</v>
      </c>
      <c r="H16" s="163">
        <f>PLANTILLA!AA22</f>
        <v>8.7299999999999969</v>
      </c>
      <c r="I16" s="163">
        <f>PLANTILLA!AB22</f>
        <v>9.6900000000000013</v>
      </c>
      <c r="J16" s="163">
        <f>PLANTILLA!AC22</f>
        <v>8.5625000000000018</v>
      </c>
      <c r="K16" s="163">
        <f>PLANTILLA!AD22</f>
        <v>18.639999999999993</v>
      </c>
      <c r="L16" s="363">
        <f>1/5</f>
        <v>0.2</v>
      </c>
      <c r="M16" s="363">
        <f t="shared" si="0"/>
        <v>0.1</v>
      </c>
      <c r="N16" s="36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38">
        <f>W16</f>
        <v>1.6363636363636361E-2</v>
      </c>
      <c r="Z16" s="438"/>
      <c r="AA16" s="438">
        <f t="shared" si="8"/>
        <v>1.6363636363636361E-2</v>
      </c>
    </row>
    <row r="17" spans="1:27" x14ac:dyDescent="0.25">
      <c r="A17" s="312" t="str">
        <f>PLANTILLA!A24</f>
        <v>#15</v>
      </c>
      <c r="B17" s="237" t="str">
        <f>PLANTILLA!D24</f>
        <v>P .Trivadi</v>
      </c>
      <c r="C17" s="312">
        <f>PLANTILLA!E24</f>
        <v>27</v>
      </c>
      <c r="D17" s="312">
        <f ca="1">PLANTILLA!F24</f>
        <v>5</v>
      </c>
      <c r="E17" s="163">
        <f>PLANTILLA!X24</f>
        <v>0</v>
      </c>
      <c r="F17" s="163">
        <f>PLANTILLA!Y24</f>
        <v>4</v>
      </c>
      <c r="G17" s="163">
        <f>PLANTILLA!Z24</f>
        <v>5.5438722222222205</v>
      </c>
      <c r="H17" s="163">
        <f>PLANTILLA!AA24</f>
        <v>5.4899999999999993</v>
      </c>
      <c r="I17" s="163">
        <f>PLANTILLA!AB24</f>
        <v>10.799999999999999</v>
      </c>
      <c r="J17" s="163">
        <f>PLANTILLA!AC24</f>
        <v>8.384500000000001</v>
      </c>
      <c r="K17" s="163">
        <f>PLANTILLA!AD24</f>
        <v>13.566666666666668</v>
      </c>
      <c r="L17" s="363">
        <f>1/5</f>
        <v>0.2</v>
      </c>
      <c r="M17" s="363">
        <f t="shared" si="0"/>
        <v>0.1</v>
      </c>
      <c r="N17" s="36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38">
        <v>0</v>
      </c>
      <c r="Z17" s="438">
        <v>0</v>
      </c>
      <c r="AA17" s="438">
        <f t="shared" si="8"/>
        <v>0</v>
      </c>
    </row>
    <row r="18" spans="1:27" x14ac:dyDescent="0.25">
      <c r="A18" s="312" t="str">
        <f>PLANTILLA!A5</f>
        <v>#1</v>
      </c>
      <c r="B18" s="312" t="str">
        <f>PLANTILLA!D5</f>
        <v>D. Gehmacher</v>
      </c>
      <c r="C18" s="312">
        <f>PLANTILLA!E5</f>
        <v>30</v>
      </c>
      <c r="D18" s="312">
        <f ca="1">PLANTILLA!F5</f>
        <v>2</v>
      </c>
      <c r="E18" s="163">
        <f>PLANTILLA!X5</f>
        <v>16.666666666666668</v>
      </c>
      <c r="F18" s="163">
        <f>PLANTILLA!Y5</f>
        <v>11.832727272727276</v>
      </c>
      <c r="G18" s="163">
        <f>PLANTILLA!Z5</f>
        <v>2.0399999999999991</v>
      </c>
      <c r="H18" s="163">
        <f>PLANTILLA!AA5</f>
        <v>2.1399999999999992</v>
      </c>
      <c r="I18" s="163">
        <f>PLANTILLA!AB5</f>
        <v>1.0400000000000003</v>
      </c>
      <c r="J18" s="163">
        <f>PLANTILLA!AC5</f>
        <v>0.14055555555555557</v>
      </c>
      <c r="K18" s="163">
        <f>PLANTILLA!AD5</f>
        <v>17.849999999999998</v>
      </c>
      <c r="L18" s="363">
        <f>0</f>
        <v>0</v>
      </c>
      <c r="M18" s="363">
        <f t="shared" si="0"/>
        <v>0</v>
      </c>
      <c r="N18" s="36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38">
        <f>L18</f>
        <v>0</v>
      </c>
      <c r="Z18" s="438">
        <f>L18</f>
        <v>0</v>
      </c>
      <c r="AA18" s="438">
        <f t="shared" si="8"/>
        <v>0</v>
      </c>
    </row>
    <row r="19" spans="1:27" x14ac:dyDescent="0.25">
      <c r="A19" s="312" t="str">
        <f>PLANTILLA!A17</f>
        <v>#12</v>
      </c>
      <c r="B19" s="312" t="str">
        <f>PLANTILLA!D17</f>
        <v>E. Gross</v>
      </c>
      <c r="C19" s="312">
        <f>PLANTILLA!E17</f>
        <v>30</v>
      </c>
      <c r="D19" s="312">
        <f ca="1">PLANTILLA!F17</f>
        <v>74</v>
      </c>
      <c r="E19" s="163">
        <f>PLANTILLA!X17</f>
        <v>0</v>
      </c>
      <c r="F19" s="163">
        <f>PLANTILLA!Y17</f>
        <v>10.349999999999996</v>
      </c>
      <c r="G19" s="163">
        <f>PLANTILLA!Z17</f>
        <v>12.859777777777778</v>
      </c>
      <c r="H19" s="163">
        <f>PLANTILLA!AA17</f>
        <v>5.1299999999999981</v>
      </c>
      <c r="I19" s="163">
        <f>PLANTILLA!AB17</f>
        <v>9.24</v>
      </c>
      <c r="J19" s="163">
        <f>PLANTILLA!AC17</f>
        <v>2.98</v>
      </c>
      <c r="K19" s="163">
        <f>PLANTILLA!AD17</f>
        <v>16.959999999999997</v>
      </c>
      <c r="L19" s="363">
        <f>1/4</f>
        <v>0.25</v>
      </c>
      <c r="M19" s="363">
        <f t="shared" si="0"/>
        <v>0.125</v>
      </c>
      <c r="N19" s="36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38">
        <v>0</v>
      </c>
      <c r="Z19" s="438">
        <v>0</v>
      </c>
      <c r="AA19" s="438">
        <f t="shared" si="8"/>
        <v>0</v>
      </c>
    </row>
    <row r="20" spans="1:27" x14ac:dyDescent="0.25">
      <c r="A20" s="312" t="str">
        <f>PLANTILLA!A6</f>
        <v>#16</v>
      </c>
      <c r="B20" s="312" t="str">
        <f>PLANTILLA!D6</f>
        <v>T. Hammond</v>
      </c>
      <c r="C20" s="312">
        <f>PLANTILLA!E6</f>
        <v>34</v>
      </c>
      <c r="D20" s="312">
        <f ca="1">PLANTILLA!F6</f>
        <v>11</v>
      </c>
      <c r="E20" s="163">
        <f>PLANTILLA!X6</f>
        <v>10.3</v>
      </c>
      <c r="F20" s="163">
        <f>PLANTILLA!Y6</f>
        <v>10.794999999999998</v>
      </c>
      <c r="G20" s="163">
        <f>PLANTILLA!Z6</f>
        <v>4.6300000000000008</v>
      </c>
      <c r="H20" s="163">
        <f>PLANTILLA!AA6</f>
        <v>4.95</v>
      </c>
      <c r="I20" s="163">
        <f>PLANTILLA!AB6</f>
        <v>6.5444444444444434</v>
      </c>
      <c r="J20" s="163">
        <f>PLANTILLA!AC6</f>
        <v>3.99</v>
      </c>
      <c r="K20" s="163">
        <f>PLANTILLA!AD6</f>
        <v>15.778888888888888</v>
      </c>
      <c r="L20" s="363"/>
      <c r="M20" s="363">
        <f t="shared" si="0"/>
        <v>0</v>
      </c>
      <c r="N20" s="36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38"/>
      <c r="Z20" s="438"/>
      <c r="AA20" s="438">
        <f t="shared" si="8"/>
        <v>0</v>
      </c>
    </row>
    <row r="21" spans="1:27" x14ac:dyDescent="0.25">
      <c r="A21" s="312" t="str">
        <f>PLANTILLA!A11</f>
        <v>#13</v>
      </c>
      <c r="B21" s="312" t="str">
        <f>PLANTILLA!D11</f>
        <v>F. Lasprilla</v>
      </c>
      <c r="C21" s="312">
        <f>PLANTILLA!E11</f>
        <v>27</v>
      </c>
      <c r="D21" s="312">
        <f ca="1">PLANTILLA!F11</f>
        <v>21</v>
      </c>
      <c r="E21" s="163">
        <f>PLANTILLA!X11</f>
        <v>0</v>
      </c>
      <c r="F21" s="163">
        <f>PLANTILLA!Y11</f>
        <v>9.5796666666666663</v>
      </c>
      <c r="G21" s="163">
        <f>PLANTILLA!Z11</f>
        <v>7.7407222222222227</v>
      </c>
      <c r="H21" s="163">
        <f>PLANTILLA!AA11</f>
        <v>6.1499999999999986</v>
      </c>
      <c r="I21" s="163">
        <f>PLANTILLA!AB11</f>
        <v>8.8633333333333315</v>
      </c>
      <c r="J21" s="163">
        <f>PLANTILLA!AC11</f>
        <v>3.2566666666666673</v>
      </c>
      <c r="K21" s="163">
        <f>PLANTILLA!AD11</f>
        <v>13.238888888888889</v>
      </c>
      <c r="L21" s="363"/>
      <c r="M21" s="363">
        <f t="shared" si="0"/>
        <v>0</v>
      </c>
      <c r="N21" s="36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38"/>
      <c r="Z21" s="438"/>
      <c r="AA21" s="438">
        <f t="shared" si="8"/>
        <v>0</v>
      </c>
    </row>
    <row r="22" spans="1:27" x14ac:dyDescent="0.25">
      <c r="A22" s="312" t="str">
        <f>PLANTILLA!A19</f>
        <v>#14</v>
      </c>
      <c r="B22" s="312" t="str">
        <f>PLANTILLA!D19</f>
        <v>W. Gelifini</v>
      </c>
      <c r="C22" s="312">
        <f>PLANTILLA!E19</f>
        <v>28</v>
      </c>
      <c r="D22" s="312">
        <f ca="1">PLANTILLA!F19</f>
        <v>111</v>
      </c>
      <c r="E22" s="163">
        <f>PLANTILLA!X19</f>
        <v>0</v>
      </c>
      <c r="F22" s="163">
        <f>PLANTILLA!Y19</f>
        <v>5.6315555555555523</v>
      </c>
      <c r="G22" s="163">
        <f>PLANTILLA!Z19</f>
        <v>9.8523388888888874</v>
      </c>
      <c r="H22" s="163">
        <f>PLANTILLA!AA19</f>
        <v>7.0726666666666667</v>
      </c>
      <c r="I22" s="163">
        <f>PLANTILLA!AB19</f>
        <v>9.2666666666666639</v>
      </c>
      <c r="J22" s="163">
        <f>PLANTILLA!AC19</f>
        <v>3.5417777777777766</v>
      </c>
      <c r="K22" s="163">
        <f>PLANTILLA!AD19</f>
        <v>12.450000000000001</v>
      </c>
      <c r="L22" s="363"/>
      <c r="M22" s="363">
        <f t="shared" si="0"/>
        <v>0</v>
      </c>
      <c r="N22" s="36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38"/>
      <c r="Z22" s="438"/>
      <c r="AA22" s="438">
        <f t="shared" si="8"/>
        <v>0</v>
      </c>
    </row>
    <row r="23" spans="1:27" x14ac:dyDescent="0.25">
      <c r="A23" s="312" t="str">
        <f>PLANTILLA!A20</f>
        <v>#89</v>
      </c>
      <c r="B23" s="312" t="str">
        <f>PLANTILLA!D20</f>
        <v>M. Amico</v>
      </c>
      <c r="C23" s="312">
        <f>PLANTILLA!E20</f>
        <v>29</v>
      </c>
      <c r="D23" s="312">
        <f ca="1">PLANTILLA!F20</f>
        <v>6</v>
      </c>
      <c r="E23" s="163">
        <f>PLANTILLA!X20</f>
        <v>0</v>
      </c>
      <c r="F23" s="163">
        <f>PLANTILLA!Y20</f>
        <v>2.47611111111111</v>
      </c>
      <c r="G23" s="163">
        <f>PLANTILLA!Z20</f>
        <v>7.3199999999999976</v>
      </c>
      <c r="H23" s="163">
        <f>PLANTILLA!AA20</f>
        <v>4.17</v>
      </c>
      <c r="I23" s="163">
        <f>PLANTILLA!AB20</f>
        <v>7.2649999999999988</v>
      </c>
      <c r="J23" s="163">
        <f>PLANTILLA!AC20</f>
        <v>4.3299999999999983</v>
      </c>
      <c r="K23" s="163">
        <f>PLANTILLA!AD20</f>
        <v>9.5</v>
      </c>
      <c r="L23" s="363"/>
      <c r="M23" s="363">
        <f t="shared" si="0"/>
        <v>0</v>
      </c>
      <c r="N23" s="36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38"/>
      <c r="Z23" s="438"/>
      <c r="AA23" s="438">
        <f t="shared" si="8"/>
        <v>0</v>
      </c>
    </row>
    <row r="25" spans="1:27" x14ac:dyDescent="0.25">
      <c r="B25" s="31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Q3" sqref="Q3"/>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44"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62"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49" t="s">
        <v>516</v>
      </c>
    </row>
    <row r="2" spans="1:24" ht="18.75" x14ac:dyDescent="0.3">
      <c r="A2" s="350">
        <v>43073</v>
      </c>
      <c r="F2" s="318"/>
      <c r="G2" s="731" t="s">
        <v>517</v>
      </c>
      <c r="H2" s="731"/>
      <c r="J2" s="318"/>
      <c r="K2" s="318"/>
      <c r="L2" s="731" t="s">
        <v>1028</v>
      </c>
      <c r="M2" s="731"/>
      <c r="N2" s="731"/>
      <c r="O2" s="663"/>
      <c r="P2" s="336"/>
      <c r="Q2" s="336"/>
      <c r="R2" s="731" t="s">
        <v>519</v>
      </c>
      <c r="S2" s="731"/>
      <c r="U2" s="4" t="s">
        <v>1037</v>
      </c>
      <c r="V2" s="3" t="s">
        <v>178</v>
      </c>
      <c r="W2" s="318"/>
      <c r="X2" s="318"/>
    </row>
    <row r="3" spans="1:24" x14ac:dyDescent="0.25">
      <c r="F3">
        <v>1</v>
      </c>
      <c r="G3" s="3">
        <v>55</v>
      </c>
      <c r="H3" t="s">
        <v>929</v>
      </c>
      <c r="I3" t="s">
        <v>1</v>
      </c>
      <c r="K3" s="653">
        <v>1</v>
      </c>
      <c r="L3" s="3">
        <v>274</v>
      </c>
      <c r="M3" t="s">
        <v>534</v>
      </c>
      <c r="N3" t="s">
        <v>533</v>
      </c>
      <c r="O3" s="400">
        <f t="shared" ref="O3:O22" si="0">L3/$G$22</f>
        <v>0.88102893890675238</v>
      </c>
      <c r="Q3" s="653">
        <v>1</v>
      </c>
      <c r="R3" s="3">
        <v>189</v>
      </c>
      <c r="S3" t="s">
        <v>520</v>
      </c>
      <c r="T3" t="s">
        <v>215</v>
      </c>
      <c r="U3" s="159">
        <f>R3/L7</f>
        <v>0.86301369863013699</v>
      </c>
      <c r="V3" s="47">
        <f t="shared" ref="V3:V16" si="1">R3/$R$32</f>
        <v>0.18529411764705883</v>
      </c>
    </row>
    <row r="4" spans="1:24" s="318" customFormat="1" ht="18.75" x14ac:dyDescent="0.3">
      <c r="A4" s="318" t="s">
        <v>514</v>
      </c>
      <c r="F4">
        <v>2</v>
      </c>
      <c r="G4" s="3">
        <v>53</v>
      </c>
      <c r="H4" t="s">
        <v>209</v>
      </c>
      <c r="I4" s="317" t="s">
        <v>1</v>
      </c>
      <c r="J4"/>
      <c r="K4" s="653">
        <v>2</v>
      </c>
      <c r="L4" s="3">
        <v>270</v>
      </c>
      <c r="M4" t="s">
        <v>548</v>
      </c>
      <c r="N4" s="317" t="s">
        <v>507</v>
      </c>
      <c r="O4" s="400">
        <f t="shared" si="0"/>
        <v>0.86816720257234725</v>
      </c>
      <c r="P4"/>
      <c r="Q4" s="653">
        <v>2</v>
      </c>
      <c r="R4" s="3">
        <v>87</v>
      </c>
      <c r="S4" t="s">
        <v>640</v>
      </c>
      <c r="T4" t="s">
        <v>66</v>
      </c>
      <c r="U4" s="159">
        <f>R4/L13</f>
        <v>0.47802197802197804</v>
      </c>
      <c r="V4" s="47">
        <f t="shared" si="1"/>
        <v>8.5294117647058826E-2</v>
      </c>
      <c r="W4"/>
      <c r="X4"/>
    </row>
    <row r="5" spans="1:24" x14ac:dyDescent="0.25">
      <c r="A5" s="180" t="s">
        <v>515</v>
      </c>
      <c r="B5" s="525" t="s">
        <v>1040</v>
      </c>
      <c r="C5" s="317">
        <v>43066</v>
      </c>
      <c r="D5" t="s">
        <v>1041</v>
      </c>
      <c r="F5">
        <v>3</v>
      </c>
      <c r="G5" s="698">
        <v>46</v>
      </c>
      <c r="H5" s="696" t="s">
        <v>207</v>
      </c>
      <c r="I5" s="697" t="s">
        <v>1</v>
      </c>
      <c r="K5" s="665">
        <v>3</v>
      </c>
      <c r="L5" s="3">
        <v>242</v>
      </c>
      <c r="M5" t="s">
        <v>522</v>
      </c>
      <c r="N5" s="317" t="s">
        <v>65</v>
      </c>
      <c r="O5" s="400">
        <f t="shared" si="0"/>
        <v>0.77813504823151125</v>
      </c>
      <c r="Q5" s="653">
        <v>3</v>
      </c>
      <c r="R5" s="3">
        <v>79</v>
      </c>
      <c r="S5" t="s">
        <v>522</v>
      </c>
      <c r="T5" t="s">
        <v>65</v>
      </c>
      <c r="U5" s="159">
        <f>R5/L5</f>
        <v>0.32644628099173556</v>
      </c>
      <c r="V5" s="47">
        <f t="shared" si="1"/>
        <v>7.7450980392156865E-2</v>
      </c>
    </row>
    <row r="6" spans="1:24" ht="18.75" x14ac:dyDescent="0.3">
      <c r="A6" s="180" t="s">
        <v>1026</v>
      </c>
      <c r="B6" s="396" t="s">
        <v>1033</v>
      </c>
      <c r="C6" s="317">
        <v>43055</v>
      </c>
      <c r="D6" t="s">
        <v>1034</v>
      </c>
      <c r="F6">
        <v>4</v>
      </c>
      <c r="G6" s="698">
        <v>2</v>
      </c>
      <c r="H6" s="696" t="s">
        <v>203</v>
      </c>
      <c r="I6" s="696" t="s">
        <v>1</v>
      </c>
      <c r="J6" s="318"/>
      <c r="K6" s="665">
        <v>4</v>
      </c>
      <c r="L6" s="372">
        <v>226</v>
      </c>
      <c r="M6" t="s">
        <v>591</v>
      </c>
      <c r="N6" s="317" t="s">
        <v>65</v>
      </c>
      <c r="O6" s="400">
        <f t="shared" si="0"/>
        <v>0.72668810289389063</v>
      </c>
      <c r="P6" s="318"/>
      <c r="Q6" s="653">
        <v>4</v>
      </c>
      <c r="R6" s="348">
        <v>72</v>
      </c>
      <c r="S6" t="s">
        <v>534</v>
      </c>
      <c r="T6" t="s">
        <v>533</v>
      </c>
      <c r="U6" s="159">
        <f>R6/L3</f>
        <v>0.26277372262773724</v>
      </c>
      <c r="V6" s="47">
        <f t="shared" si="1"/>
        <v>7.0588235294117646E-2</v>
      </c>
      <c r="X6" s="318"/>
    </row>
    <row r="7" spans="1:24" ht="18.75" x14ac:dyDescent="0.3">
      <c r="F7">
        <v>5</v>
      </c>
      <c r="G7" s="3">
        <v>1</v>
      </c>
      <c r="H7" t="s">
        <v>521</v>
      </c>
      <c r="I7" t="s">
        <v>2</v>
      </c>
      <c r="K7" s="665">
        <v>5</v>
      </c>
      <c r="L7" s="372">
        <v>219</v>
      </c>
      <c r="M7" t="s">
        <v>589</v>
      </c>
      <c r="N7" s="317" t="s">
        <v>215</v>
      </c>
      <c r="O7" s="400">
        <f t="shared" si="0"/>
        <v>0.70418006430868163</v>
      </c>
      <c r="Q7" s="653">
        <v>5</v>
      </c>
      <c r="R7" s="410">
        <v>62</v>
      </c>
      <c r="S7" t="s">
        <v>590</v>
      </c>
      <c r="T7" s="317" t="s">
        <v>66</v>
      </c>
      <c r="U7" s="159">
        <f>R7/L10</f>
        <v>0.29665071770334928</v>
      </c>
      <c r="V7" s="47">
        <f t="shared" si="1"/>
        <v>6.0784313725490195E-2</v>
      </c>
      <c r="W7" s="318"/>
    </row>
    <row r="8" spans="1:24" s="318" customFormat="1" ht="18.75" x14ac:dyDescent="0.3">
      <c r="A8" s="731" t="s">
        <v>1027</v>
      </c>
      <c r="B8" s="731"/>
      <c r="F8">
        <v>5</v>
      </c>
      <c r="G8" s="698">
        <v>1</v>
      </c>
      <c r="H8" s="696" t="s">
        <v>536</v>
      </c>
      <c r="I8" s="696" t="s">
        <v>507</v>
      </c>
      <c r="J8"/>
      <c r="K8" s="665">
        <v>6</v>
      </c>
      <c r="L8" s="344">
        <v>215</v>
      </c>
      <c r="M8" t="s">
        <v>531</v>
      </c>
      <c r="N8" s="317" t="s">
        <v>65</v>
      </c>
      <c r="O8" s="400">
        <f t="shared" si="0"/>
        <v>0.6913183279742765</v>
      </c>
      <c r="P8"/>
      <c r="Q8" s="653">
        <v>6</v>
      </c>
      <c r="R8" s="348">
        <v>58</v>
      </c>
      <c r="S8" t="s">
        <v>548</v>
      </c>
      <c r="T8" s="317" t="s">
        <v>507</v>
      </c>
      <c r="U8" s="159">
        <f>R8/L4</f>
        <v>0.21481481481481482</v>
      </c>
      <c r="V8" s="47">
        <f t="shared" si="1"/>
        <v>5.6862745098039215E-2</v>
      </c>
      <c r="W8"/>
      <c r="X8"/>
    </row>
    <row r="9" spans="1:24" ht="18.75" x14ac:dyDescent="0.3">
      <c r="A9" s="693" t="s">
        <v>1030</v>
      </c>
      <c r="B9" t="s">
        <v>1024</v>
      </c>
      <c r="C9" s="317" t="s">
        <v>67</v>
      </c>
      <c r="K9" s="665">
        <v>6</v>
      </c>
      <c r="L9" s="344">
        <v>215</v>
      </c>
      <c r="M9" t="s">
        <v>535</v>
      </c>
      <c r="N9" s="317" t="s">
        <v>507</v>
      </c>
      <c r="O9" s="400">
        <f t="shared" si="0"/>
        <v>0.6913183279742765</v>
      </c>
      <c r="Q9" s="653">
        <v>7</v>
      </c>
      <c r="R9" s="344">
        <v>53</v>
      </c>
      <c r="S9" t="s">
        <v>591</v>
      </c>
      <c r="T9" s="317" t="s">
        <v>65</v>
      </c>
      <c r="U9" s="159">
        <f>R9/L6</f>
        <v>0.23451327433628319</v>
      </c>
      <c r="V9" s="47">
        <f t="shared" si="1"/>
        <v>5.1960784313725493E-2</v>
      </c>
      <c r="W9" s="318"/>
    </row>
    <row r="10" spans="1:24" ht="18.75" x14ac:dyDescent="0.3">
      <c r="A10" s="601" t="s">
        <v>1031</v>
      </c>
      <c r="B10" t="s">
        <v>929</v>
      </c>
      <c r="C10" t="s">
        <v>1</v>
      </c>
      <c r="F10" s="318"/>
      <c r="G10" s="731" t="s">
        <v>518</v>
      </c>
      <c r="H10" s="731"/>
      <c r="J10" s="318"/>
      <c r="K10" s="665">
        <v>8</v>
      </c>
      <c r="L10" s="372">
        <v>209</v>
      </c>
      <c r="M10" t="s">
        <v>590</v>
      </c>
      <c r="N10" s="317" t="s">
        <v>66</v>
      </c>
      <c r="O10" s="400">
        <f t="shared" si="0"/>
        <v>0.67202572347266876</v>
      </c>
      <c r="P10" s="318"/>
      <c r="Q10" s="653">
        <v>7</v>
      </c>
      <c r="R10" s="390">
        <v>53</v>
      </c>
      <c r="S10" t="s">
        <v>551</v>
      </c>
      <c r="T10" s="317" t="s">
        <v>65</v>
      </c>
      <c r="U10" s="159">
        <f>R10/L11</f>
        <v>0.28342245989304815</v>
      </c>
      <c r="V10" s="47">
        <f t="shared" si="1"/>
        <v>5.1960784313725493E-2</v>
      </c>
      <c r="X10" s="318"/>
    </row>
    <row r="11" spans="1:24" x14ac:dyDescent="0.25">
      <c r="A11" s="412" t="s">
        <v>937</v>
      </c>
      <c r="B11" t="s">
        <v>534</v>
      </c>
      <c r="C11" t="s">
        <v>533</v>
      </c>
      <c r="F11">
        <v>1</v>
      </c>
      <c r="G11" s="476">
        <v>108</v>
      </c>
      <c r="H11" t="s">
        <v>929</v>
      </c>
      <c r="I11" t="s">
        <v>1</v>
      </c>
      <c r="K11" s="665">
        <v>9</v>
      </c>
      <c r="L11" s="344">
        <v>187</v>
      </c>
      <c r="M11" t="s">
        <v>551</v>
      </c>
      <c r="N11" s="317" t="s">
        <v>65</v>
      </c>
      <c r="O11" s="400">
        <f t="shared" si="0"/>
        <v>0.6012861736334405</v>
      </c>
      <c r="Q11" s="653">
        <v>9</v>
      </c>
      <c r="R11" s="411">
        <v>50</v>
      </c>
      <c r="S11" t="s">
        <v>643</v>
      </c>
      <c r="T11" s="317" t="s">
        <v>215</v>
      </c>
      <c r="U11" s="159">
        <f>R11/L17</f>
        <v>0.47169811320754718</v>
      </c>
      <c r="V11" s="47">
        <f t="shared" si="1"/>
        <v>4.9019607843137254E-2</v>
      </c>
    </row>
    <row r="12" spans="1:24" s="318" customFormat="1" ht="18.75" x14ac:dyDescent="0.3">
      <c r="A12" s="412" t="s">
        <v>937</v>
      </c>
      <c r="B12" t="s">
        <v>591</v>
      </c>
      <c r="C12" s="317" t="s">
        <v>65</v>
      </c>
      <c r="F12">
        <v>2</v>
      </c>
      <c r="G12" s="698">
        <v>88</v>
      </c>
      <c r="H12" s="696" t="s">
        <v>207</v>
      </c>
      <c r="I12" s="697" t="s">
        <v>1</v>
      </c>
      <c r="J12"/>
      <c r="K12" s="665">
        <v>10</v>
      </c>
      <c r="L12" s="348">
        <v>184</v>
      </c>
      <c r="M12" t="s">
        <v>209</v>
      </c>
      <c r="N12" s="317" t="s">
        <v>1</v>
      </c>
      <c r="O12" s="400">
        <f t="shared" si="0"/>
        <v>0.59163987138263663</v>
      </c>
      <c r="P12"/>
      <c r="Q12" s="653">
        <v>10</v>
      </c>
      <c r="R12" s="348">
        <v>49</v>
      </c>
      <c r="S12" t="s">
        <v>535</v>
      </c>
      <c r="T12" s="317" t="s">
        <v>507</v>
      </c>
      <c r="U12" s="159">
        <f>R12/L9</f>
        <v>0.22790697674418606</v>
      </c>
      <c r="V12" s="47">
        <f t="shared" si="1"/>
        <v>4.8039215686274513E-2</v>
      </c>
      <c r="W12"/>
      <c r="X12"/>
    </row>
    <row r="13" spans="1:24" x14ac:dyDescent="0.25">
      <c r="A13" s="689" t="s">
        <v>937</v>
      </c>
      <c r="B13" t="s">
        <v>1021</v>
      </c>
      <c r="C13" t="s">
        <v>2</v>
      </c>
      <c r="F13">
        <v>3</v>
      </c>
      <c r="G13" s="344">
        <v>68</v>
      </c>
      <c r="H13" t="s">
        <v>548</v>
      </c>
      <c r="I13" s="317" t="s">
        <v>507</v>
      </c>
      <c r="K13" s="665">
        <v>11</v>
      </c>
      <c r="L13" s="476">
        <v>182</v>
      </c>
      <c r="M13" t="s">
        <v>640</v>
      </c>
      <c r="N13" t="s">
        <v>66</v>
      </c>
      <c r="O13" s="400">
        <f t="shared" si="0"/>
        <v>0.58520900321543412</v>
      </c>
      <c r="Q13" s="653">
        <v>11</v>
      </c>
      <c r="R13" s="344">
        <v>47</v>
      </c>
      <c r="S13" t="s">
        <v>521</v>
      </c>
      <c r="T13" t="s">
        <v>2</v>
      </c>
      <c r="U13" s="159">
        <f>R13/L14</f>
        <v>0.28834355828220859</v>
      </c>
      <c r="V13" s="47">
        <f t="shared" si="1"/>
        <v>4.6078431372549022E-2</v>
      </c>
    </row>
    <row r="14" spans="1:24" x14ac:dyDescent="0.25">
      <c r="A14" s="412" t="s">
        <v>937</v>
      </c>
      <c r="B14" t="s">
        <v>522</v>
      </c>
      <c r="C14" s="317" t="s">
        <v>65</v>
      </c>
      <c r="F14">
        <v>4</v>
      </c>
      <c r="G14" s="695">
        <v>21</v>
      </c>
      <c r="H14" s="696" t="s">
        <v>193</v>
      </c>
      <c r="I14" s="696" t="s">
        <v>66</v>
      </c>
      <c r="K14" s="665">
        <v>12</v>
      </c>
      <c r="L14" s="344">
        <v>163</v>
      </c>
      <c r="M14" t="s">
        <v>521</v>
      </c>
      <c r="N14" s="317" t="s">
        <v>507</v>
      </c>
      <c r="O14" s="400">
        <f t="shared" si="0"/>
        <v>0.52411575562700963</v>
      </c>
      <c r="Q14" s="653">
        <v>12</v>
      </c>
      <c r="R14" s="348">
        <v>36</v>
      </c>
      <c r="S14" t="s">
        <v>531</v>
      </c>
      <c r="T14" t="s">
        <v>65</v>
      </c>
      <c r="U14" s="159">
        <f>R14/L8</f>
        <v>0.16744186046511628</v>
      </c>
      <c r="V14" s="47">
        <f t="shared" si="1"/>
        <v>3.5294117647058823E-2</v>
      </c>
    </row>
    <row r="15" spans="1:24" x14ac:dyDescent="0.25">
      <c r="A15" s="412" t="s">
        <v>983</v>
      </c>
      <c r="B15" t="s">
        <v>590</v>
      </c>
      <c r="C15" s="317" t="s">
        <v>66</v>
      </c>
      <c r="F15">
        <v>5</v>
      </c>
      <c r="G15" s="476">
        <v>7</v>
      </c>
      <c r="H15" t="s">
        <v>522</v>
      </c>
      <c r="I15" s="317" t="s">
        <v>65</v>
      </c>
      <c r="K15" s="665">
        <v>13</v>
      </c>
      <c r="L15" s="695">
        <v>146</v>
      </c>
      <c r="M15" s="696" t="s">
        <v>207</v>
      </c>
      <c r="N15" s="697" t="s">
        <v>1</v>
      </c>
      <c r="O15" s="699">
        <f t="shared" si="0"/>
        <v>0.46945337620578781</v>
      </c>
      <c r="Q15" s="653">
        <v>13</v>
      </c>
      <c r="R15" s="476">
        <v>27</v>
      </c>
      <c r="S15" s="264" t="s">
        <v>1024</v>
      </c>
      <c r="T15" s="264" t="s">
        <v>67</v>
      </c>
      <c r="U15" s="159">
        <f>R15/L23</f>
        <v>0.6428571428571429</v>
      </c>
      <c r="V15" s="47">
        <f t="shared" si="1"/>
        <v>2.6470588235294117E-2</v>
      </c>
      <c r="W15">
        <v>103</v>
      </c>
    </row>
    <row r="16" spans="1:24" x14ac:dyDescent="0.25">
      <c r="A16" s="410" t="s">
        <v>983</v>
      </c>
      <c r="B16" t="s">
        <v>548</v>
      </c>
      <c r="C16" s="317" t="s">
        <v>507</v>
      </c>
      <c r="F16">
        <v>6</v>
      </c>
      <c r="G16" s="695">
        <v>6</v>
      </c>
      <c r="H16" s="696" t="s">
        <v>197</v>
      </c>
      <c r="I16" s="697" t="s">
        <v>65</v>
      </c>
      <c r="K16" s="665">
        <v>14</v>
      </c>
      <c r="L16" s="476">
        <v>120</v>
      </c>
      <c r="M16" t="s">
        <v>929</v>
      </c>
      <c r="N16" t="s">
        <v>1</v>
      </c>
      <c r="O16" s="400">
        <f t="shared" si="0"/>
        <v>0.38585209003215432</v>
      </c>
      <c r="Q16" s="653">
        <v>14</v>
      </c>
      <c r="R16" s="344">
        <v>20</v>
      </c>
      <c r="S16" t="s">
        <v>606</v>
      </c>
      <c r="T16" t="s">
        <v>65</v>
      </c>
      <c r="U16" s="159">
        <f>R16/L18</f>
        <v>0.20833333333333334</v>
      </c>
      <c r="V16" s="47">
        <f t="shared" si="1"/>
        <v>1.9607843137254902E-2</v>
      </c>
    </row>
    <row r="17" spans="1:23" x14ac:dyDescent="0.25">
      <c r="A17" s="412" t="s">
        <v>983</v>
      </c>
      <c r="B17" t="s">
        <v>551</v>
      </c>
      <c r="C17" s="317" t="s">
        <v>65</v>
      </c>
      <c r="F17">
        <v>7</v>
      </c>
      <c r="G17" s="698">
        <v>5</v>
      </c>
      <c r="H17" s="696" t="s">
        <v>196</v>
      </c>
      <c r="I17" s="697" t="s">
        <v>65</v>
      </c>
      <c r="K17" s="665">
        <v>15</v>
      </c>
      <c r="L17" s="476">
        <v>106</v>
      </c>
      <c r="M17" s="264" t="s">
        <v>766</v>
      </c>
      <c r="N17" s="486" t="s">
        <v>215</v>
      </c>
      <c r="O17" s="400">
        <f t="shared" si="0"/>
        <v>0.34083601286173631</v>
      </c>
      <c r="Q17" s="653">
        <v>15</v>
      </c>
      <c r="R17" s="695">
        <v>19</v>
      </c>
      <c r="S17" s="696" t="s">
        <v>208</v>
      </c>
      <c r="T17" s="697" t="s">
        <v>525</v>
      </c>
      <c r="U17" s="159"/>
      <c r="V17" s="47"/>
    </row>
    <row r="18" spans="1:23" x14ac:dyDescent="0.25">
      <c r="A18" s="410" t="s">
        <v>938</v>
      </c>
      <c r="B18" t="s">
        <v>640</v>
      </c>
      <c r="C18" s="317" t="s">
        <v>66</v>
      </c>
      <c r="F18">
        <v>8</v>
      </c>
      <c r="G18" s="695">
        <v>4</v>
      </c>
      <c r="H18" s="696" t="s">
        <v>427</v>
      </c>
      <c r="I18" s="697" t="s">
        <v>215</v>
      </c>
      <c r="K18" s="665">
        <v>16</v>
      </c>
      <c r="L18" s="476">
        <v>96</v>
      </c>
      <c r="M18" t="s">
        <v>606</v>
      </c>
      <c r="N18" t="s">
        <v>65</v>
      </c>
      <c r="O18" s="400">
        <f t="shared" si="0"/>
        <v>0.3086816720257235</v>
      </c>
      <c r="Q18" s="653">
        <v>16</v>
      </c>
      <c r="R18" s="695">
        <v>15</v>
      </c>
      <c r="S18" s="696" t="s">
        <v>196</v>
      </c>
      <c r="T18" s="697" t="s">
        <v>65</v>
      </c>
      <c r="U18" s="159"/>
      <c r="V18" s="47"/>
    </row>
    <row r="19" spans="1:23" x14ac:dyDescent="0.25">
      <c r="A19" s="410" t="s">
        <v>938</v>
      </c>
      <c r="B19" t="s">
        <v>589</v>
      </c>
      <c r="C19" s="317" t="s">
        <v>215</v>
      </c>
      <c r="F19">
        <v>9</v>
      </c>
      <c r="G19" s="638">
        <v>2</v>
      </c>
      <c r="H19" t="s">
        <v>209</v>
      </c>
      <c r="I19" s="317" t="s">
        <v>1</v>
      </c>
      <c r="K19" s="665">
        <v>17</v>
      </c>
      <c r="L19" s="695">
        <v>89</v>
      </c>
      <c r="M19" s="696" t="s">
        <v>536</v>
      </c>
      <c r="N19" s="697" t="s">
        <v>507</v>
      </c>
      <c r="O19" s="699">
        <f t="shared" si="0"/>
        <v>0.2861736334405145</v>
      </c>
      <c r="Q19" s="653">
        <v>17</v>
      </c>
      <c r="R19" s="344">
        <v>12</v>
      </c>
      <c r="S19" t="s">
        <v>626</v>
      </c>
      <c r="T19" t="s">
        <v>215</v>
      </c>
      <c r="U19" s="159">
        <f>R19/L25</f>
        <v>0.375</v>
      </c>
      <c r="V19" s="47">
        <f>R19/$R$32</f>
        <v>1.1764705882352941E-2</v>
      </c>
    </row>
    <row r="20" spans="1:23" x14ac:dyDescent="0.25">
      <c r="A20" s="412" t="s">
        <v>938</v>
      </c>
      <c r="B20" t="s">
        <v>531</v>
      </c>
      <c r="C20" s="317" t="s">
        <v>65</v>
      </c>
      <c r="F20">
        <v>10</v>
      </c>
      <c r="G20" s="698">
        <v>1</v>
      </c>
      <c r="H20" s="696" t="s">
        <v>208</v>
      </c>
      <c r="I20" s="697" t="s">
        <v>525</v>
      </c>
      <c r="K20" s="665">
        <v>18</v>
      </c>
      <c r="L20" s="476">
        <v>71</v>
      </c>
      <c r="M20" t="s">
        <v>1021</v>
      </c>
      <c r="N20" t="s">
        <v>2</v>
      </c>
      <c r="O20" s="400">
        <f t="shared" si="0"/>
        <v>0.22829581993569131</v>
      </c>
      <c r="Q20" s="653">
        <v>18</v>
      </c>
      <c r="R20" s="348">
        <v>11</v>
      </c>
      <c r="S20" t="s">
        <v>209</v>
      </c>
      <c r="T20" s="317" t="s">
        <v>1</v>
      </c>
      <c r="U20" s="159">
        <f>R20/L12</f>
        <v>5.9782608695652176E-2</v>
      </c>
      <c r="V20" s="47">
        <f>R20/$R$32</f>
        <v>1.0784313725490196E-2</v>
      </c>
    </row>
    <row r="21" spans="1:23" x14ac:dyDescent="0.25">
      <c r="A21" s="412" t="s">
        <v>853</v>
      </c>
      <c r="B21" t="s">
        <v>643</v>
      </c>
      <c r="C21" s="317" t="s">
        <v>215</v>
      </c>
      <c r="F21">
        <v>10</v>
      </c>
      <c r="G21" s="3">
        <v>1</v>
      </c>
      <c r="H21" t="s">
        <v>521</v>
      </c>
      <c r="I21" t="s">
        <v>2</v>
      </c>
      <c r="K21" s="665">
        <v>19</v>
      </c>
      <c r="L21" s="638">
        <v>63</v>
      </c>
      <c r="M21" t="s">
        <v>769</v>
      </c>
      <c r="N21" t="s">
        <v>507</v>
      </c>
      <c r="O21" s="400">
        <f t="shared" si="0"/>
        <v>0.20257234726688103</v>
      </c>
      <c r="Q21" s="653">
        <v>18</v>
      </c>
      <c r="R21" s="344">
        <v>11</v>
      </c>
      <c r="S21" t="s">
        <v>769</v>
      </c>
      <c r="T21" t="s">
        <v>2</v>
      </c>
      <c r="U21" s="159">
        <f>R21/L21</f>
        <v>0.17460317460317459</v>
      </c>
      <c r="V21" s="47">
        <f>R21/$R$32</f>
        <v>1.0784313725490196E-2</v>
      </c>
    </row>
    <row r="22" spans="1:23" x14ac:dyDescent="0.25">
      <c r="A22" s="353" t="s">
        <v>1032</v>
      </c>
      <c r="B22" t="s">
        <v>535</v>
      </c>
      <c r="C22" s="317" t="s">
        <v>507</v>
      </c>
      <c r="G22" s="700">
        <f>SUM(G11:G21)</f>
        <v>311</v>
      </c>
      <c r="K22" s="665">
        <v>20</v>
      </c>
      <c r="L22" s="695">
        <v>55</v>
      </c>
      <c r="M22" s="696" t="s">
        <v>208</v>
      </c>
      <c r="N22" s="697" t="s">
        <v>525</v>
      </c>
      <c r="O22" s="699">
        <f t="shared" si="0"/>
        <v>0.17684887459807075</v>
      </c>
      <c r="Q22" s="653">
        <v>20</v>
      </c>
      <c r="R22" s="627">
        <v>11</v>
      </c>
      <c r="S22" t="s">
        <v>1021</v>
      </c>
      <c r="T22" t="s">
        <v>2</v>
      </c>
      <c r="U22" s="159">
        <f>R22/L23</f>
        <v>0.26190476190476192</v>
      </c>
      <c r="V22" s="47">
        <f>R22/$R$32</f>
        <v>1.0784313725490196E-2</v>
      </c>
      <c r="W22">
        <v>57</v>
      </c>
    </row>
    <row r="23" spans="1:23" x14ac:dyDescent="0.25">
      <c r="A23" s="412" t="s">
        <v>708</v>
      </c>
      <c r="B23" t="s">
        <v>209</v>
      </c>
      <c r="C23" s="317" t="s">
        <v>1</v>
      </c>
      <c r="K23" s="665">
        <v>21</v>
      </c>
      <c r="L23" s="476">
        <v>42</v>
      </c>
      <c r="M23" t="s">
        <v>1024</v>
      </c>
      <c r="N23" t="s">
        <v>67</v>
      </c>
      <c r="O23" s="400">
        <f t="shared" ref="O23" si="2">L23/$G$22</f>
        <v>0.13504823151125403</v>
      </c>
      <c r="Q23" s="653">
        <v>20</v>
      </c>
      <c r="R23" s="695">
        <v>10</v>
      </c>
      <c r="S23" s="696" t="s">
        <v>536</v>
      </c>
      <c r="T23" s="697" t="s">
        <v>507</v>
      </c>
      <c r="U23" s="159"/>
      <c r="V23" s="47"/>
    </row>
    <row r="24" spans="1:23" x14ac:dyDescent="0.25">
      <c r="A24" s="695" t="s">
        <v>708</v>
      </c>
      <c r="B24" s="696" t="s">
        <v>207</v>
      </c>
      <c r="C24" s="697" t="s">
        <v>1</v>
      </c>
      <c r="K24" s="665"/>
      <c r="L24" s="638" t="s">
        <v>957</v>
      </c>
      <c r="M24" t="s">
        <v>957</v>
      </c>
      <c r="N24" t="s">
        <v>957</v>
      </c>
      <c r="O24" s="662" t="s">
        <v>957</v>
      </c>
      <c r="Q24" s="653">
        <v>20</v>
      </c>
      <c r="R24" s="695">
        <v>10</v>
      </c>
      <c r="S24" s="696" t="s">
        <v>641</v>
      </c>
      <c r="T24" s="697" t="s">
        <v>215</v>
      </c>
      <c r="U24" s="536"/>
      <c r="V24" s="47"/>
    </row>
    <row r="25" spans="1:23" x14ac:dyDescent="0.25">
      <c r="A25" s="410" t="s">
        <v>708</v>
      </c>
      <c r="B25" t="s">
        <v>606</v>
      </c>
      <c r="C25" t="s">
        <v>65</v>
      </c>
      <c r="K25" s="665"/>
      <c r="L25" s="638">
        <v>32</v>
      </c>
      <c r="M25" t="s">
        <v>626</v>
      </c>
      <c r="N25" t="s">
        <v>215</v>
      </c>
      <c r="O25" s="400">
        <f>L25/$G$22</f>
        <v>0.10289389067524116</v>
      </c>
      <c r="Q25" s="653">
        <v>23</v>
      </c>
      <c r="R25" s="695">
        <v>9</v>
      </c>
      <c r="S25" s="696" t="s">
        <v>538</v>
      </c>
      <c r="T25" s="696" t="s">
        <v>215</v>
      </c>
      <c r="U25" s="159"/>
      <c r="V25" s="47"/>
    </row>
    <row r="26" spans="1:23" x14ac:dyDescent="0.25">
      <c r="A26" s="695" t="s">
        <v>532</v>
      </c>
      <c r="B26" s="696" t="s">
        <v>427</v>
      </c>
      <c r="C26" s="697" t="s">
        <v>215</v>
      </c>
      <c r="L26" s="706">
        <v>1</v>
      </c>
      <c r="M26" s="264" t="s">
        <v>1042</v>
      </c>
      <c r="N26" s="264" t="s">
        <v>67</v>
      </c>
      <c r="O26" s="400">
        <f>L26/$G$22</f>
        <v>3.2154340836012861E-3</v>
      </c>
      <c r="Q26" s="653">
        <v>23</v>
      </c>
      <c r="R26" s="695">
        <v>9</v>
      </c>
      <c r="S26" s="696" t="s">
        <v>537</v>
      </c>
      <c r="T26" s="696" t="s">
        <v>215</v>
      </c>
      <c r="U26" s="159"/>
      <c r="V26" s="47"/>
    </row>
    <row r="27" spans="1:23" x14ac:dyDescent="0.25">
      <c r="A27" s="410" t="s">
        <v>532</v>
      </c>
      <c r="B27" t="s">
        <v>521</v>
      </c>
      <c r="C27" s="317" t="s">
        <v>2</v>
      </c>
      <c r="Q27" s="653">
        <v>25</v>
      </c>
      <c r="R27" s="695">
        <v>8</v>
      </c>
      <c r="S27" s="696" t="s">
        <v>202</v>
      </c>
      <c r="T27" s="696" t="s">
        <v>507</v>
      </c>
      <c r="U27" s="159"/>
      <c r="V27" s="47"/>
    </row>
    <row r="28" spans="1:23" x14ac:dyDescent="0.25">
      <c r="A28" s="488" t="s">
        <v>532</v>
      </c>
      <c r="B28" t="s">
        <v>769</v>
      </c>
      <c r="C28" t="s">
        <v>507</v>
      </c>
      <c r="Q28" s="653">
        <v>26</v>
      </c>
      <c r="R28" s="695">
        <v>6</v>
      </c>
      <c r="S28" s="696" t="s">
        <v>207</v>
      </c>
      <c r="T28" s="697" t="s">
        <v>1</v>
      </c>
      <c r="U28" s="159"/>
      <c r="V28" s="47"/>
    </row>
    <row r="29" spans="1:23" x14ac:dyDescent="0.25">
      <c r="A29" s="695" t="s">
        <v>1023</v>
      </c>
      <c r="B29" s="696" t="s">
        <v>958</v>
      </c>
      <c r="C29" s="696" t="s">
        <v>67</v>
      </c>
      <c r="Q29" s="667">
        <v>27</v>
      </c>
      <c r="R29" s="695">
        <v>3</v>
      </c>
      <c r="S29" s="696" t="s">
        <v>958</v>
      </c>
      <c r="T29" s="696" t="s">
        <v>67</v>
      </c>
      <c r="U29" s="159"/>
      <c r="V29" s="47"/>
    </row>
    <row r="30" spans="1:23" x14ac:dyDescent="0.25">
      <c r="A30" s="713" t="s">
        <v>1023</v>
      </c>
      <c r="B30" s="264" t="s">
        <v>1042</v>
      </c>
      <c r="C30" s="264" t="s">
        <v>67</v>
      </c>
      <c r="Q30" s="693">
        <v>27</v>
      </c>
      <c r="R30" s="695">
        <v>3</v>
      </c>
      <c r="S30" s="696" t="s">
        <v>777</v>
      </c>
      <c r="T30" s="696" t="s">
        <v>65</v>
      </c>
      <c r="U30" s="159"/>
      <c r="V30" s="47"/>
    </row>
    <row r="31" spans="1:23" x14ac:dyDescent="0.25">
      <c r="A31" s="695" t="s">
        <v>605</v>
      </c>
      <c r="B31" s="696" t="s">
        <v>641</v>
      </c>
      <c r="C31" s="697" t="s">
        <v>215</v>
      </c>
      <c r="Q31" s="706">
        <v>29</v>
      </c>
      <c r="R31" s="476">
        <v>1</v>
      </c>
      <c r="S31" s="264" t="s">
        <v>1042</v>
      </c>
      <c r="T31" s="264" t="s">
        <v>67</v>
      </c>
      <c r="U31" s="709"/>
      <c r="V31" s="710"/>
      <c r="W31" s="264">
        <v>58</v>
      </c>
    </row>
    <row r="32" spans="1:23" x14ac:dyDescent="0.25">
      <c r="A32" s="425" t="s">
        <v>605</v>
      </c>
      <c r="B32" t="s">
        <v>626</v>
      </c>
      <c r="C32" t="s">
        <v>215</v>
      </c>
      <c r="R32" s="701">
        <f>SUM(R3:R31)</f>
        <v>1020</v>
      </c>
    </row>
    <row r="33" spans="1:3" x14ac:dyDescent="0.25">
      <c r="A33" s="347"/>
      <c r="B33" s="345"/>
      <c r="C33" s="346"/>
    </row>
    <row r="34" spans="1:3" x14ac:dyDescent="0.25">
      <c r="A34" s="347"/>
      <c r="B34" s="345"/>
      <c r="C34" s="346"/>
    </row>
    <row r="35" spans="1:3" x14ac:dyDescent="0.25">
      <c r="A35" s="347"/>
      <c r="B35" s="345"/>
      <c r="C35" s="346"/>
    </row>
    <row r="36" spans="1:3" x14ac:dyDescent="0.25">
      <c r="A36" s="347"/>
      <c r="B36" s="345"/>
      <c r="C36" s="345"/>
    </row>
    <row r="37" spans="1:3" x14ac:dyDescent="0.25">
      <c r="A37" s="690"/>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tabSelected="1" zoomScale="80" zoomScaleNormal="80" workbookViewId="0"/>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32" t="s">
        <v>11</v>
      </c>
      <c r="E2" s="732"/>
      <c r="F2" s="733" t="s">
        <v>12</v>
      </c>
      <c r="G2" s="733"/>
      <c r="H2" s="734" t="s">
        <v>13</v>
      </c>
      <c r="I2" s="734"/>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0.5760921747479596</v>
      </c>
      <c r="C37" s="436">
        <f t="shared" ref="C37:P37" si="14">C18/C17</f>
        <v>0.57609217474795971</v>
      </c>
      <c r="D37" s="436">
        <f t="shared" si="14"/>
        <v>0.5760921747479596</v>
      </c>
      <c r="E37" s="436">
        <f t="shared" si="14"/>
        <v>0.57609217474795971</v>
      </c>
      <c r="F37" s="436">
        <f t="shared" si="14"/>
        <v>0.57609217474795971</v>
      </c>
      <c r="G37" s="436">
        <f t="shared" si="14"/>
        <v>0.57609217474795971</v>
      </c>
      <c r="H37" s="436">
        <f t="shared" si="14"/>
        <v>0.57609217474795982</v>
      </c>
      <c r="I37" s="436">
        <f t="shared" si="14"/>
        <v>0.5760921747479596</v>
      </c>
      <c r="J37" s="436">
        <f t="shared" si="14"/>
        <v>0.57609217474795971</v>
      </c>
      <c r="K37" s="436">
        <f t="shared" si="14"/>
        <v>0.5760921747479596</v>
      </c>
      <c r="L37" s="436">
        <f t="shared" si="14"/>
        <v>0.57609217474795971</v>
      </c>
      <c r="M37" s="436">
        <f t="shared" si="14"/>
        <v>0.57609217474795971</v>
      </c>
      <c r="N37" s="436">
        <f t="shared" si="14"/>
        <v>0.57609217474795971</v>
      </c>
      <c r="O37" s="436">
        <f t="shared" si="14"/>
        <v>0.57609217474795971</v>
      </c>
      <c r="P37" s="436">
        <f t="shared" si="14"/>
        <v>0.5760921747479596</v>
      </c>
    </row>
    <row r="38" spans="1:30" x14ac:dyDescent="0.25">
      <c r="B38" s="436">
        <f>B19/B17</f>
        <v>0.21747479596735478</v>
      </c>
      <c r="C38" s="436">
        <f t="shared" ref="C38:P38" si="15">C19/C17</f>
        <v>0.21747479596735481</v>
      </c>
      <c r="D38" s="436">
        <f t="shared" si="15"/>
        <v>0.21747479596735475</v>
      </c>
      <c r="E38" s="436">
        <f t="shared" si="15"/>
        <v>0.21747479596735481</v>
      </c>
      <c r="F38" s="436">
        <f t="shared" si="15"/>
        <v>0.21747479596735478</v>
      </c>
      <c r="G38" s="436">
        <f t="shared" si="15"/>
        <v>0.21747479596735478</v>
      </c>
      <c r="H38" s="436">
        <f t="shared" si="15"/>
        <v>0.21747479596735483</v>
      </c>
      <c r="I38" s="436">
        <f t="shared" si="15"/>
        <v>0.21747479596735475</v>
      </c>
      <c r="J38" s="436">
        <f t="shared" si="15"/>
        <v>0.21747479596735481</v>
      </c>
      <c r="K38" s="436">
        <f t="shared" si="15"/>
        <v>0.21747479596735478</v>
      </c>
      <c r="L38" s="436">
        <f t="shared" si="15"/>
        <v>0.21747479596735481</v>
      </c>
      <c r="M38" s="436">
        <f t="shared" si="15"/>
        <v>0.21747479596735481</v>
      </c>
      <c r="N38" s="436">
        <f t="shared" si="15"/>
        <v>0.21747479596735481</v>
      </c>
      <c r="O38" s="436">
        <f t="shared" si="15"/>
        <v>0.21747479596735478</v>
      </c>
      <c r="P38" s="436">
        <f t="shared" si="15"/>
        <v>0.21747479596735478</v>
      </c>
    </row>
    <row r="39" spans="1:30" x14ac:dyDescent="0.25">
      <c r="B39" s="436">
        <f>B20/B17</f>
        <v>0.18434949591934707</v>
      </c>
      <c r="C39" s="436">
        <f t="shared" ref="C39:P39" si="16">C20/C17</f>
        <v>0.1843494959193471</v>
      </c>
      <c r="D39" s="436">
        <f t="shared" si="16"/>
        <v>0.18434949591934707</v>
      </c>
      <c r="E39" s="436">
        <f t="shared" si="16"/>
        <v>0.1843494959193471</v>
      </c>
      <c r="F39" s="436">
        <f t="shared" si="16"/>
        <v>0.1843494959193471</v>
      </c>
      <c r="G39" s="436">
        <f t="shared" si="16"/>
        <v>0.1843494959193471</v>
      </c>
      <c r="H39" s="436">
        <f t="shared" si="16"/>
        <v>0.18434949591934713</v>
      </c>
      <c r="I39" s="436">
        <f t="shared" si="16"/>
        <v>0.18434949591934707</v>
      </c>
      <c r="J39" s="436">
        <f t="shared" si="16"/>
        <v>0.1843494959193471</v>
      </c>
      <c r="K39" s="436">
        <f t="shared" si="16"/>
        <v>0.18434949591934705</v>
      </c>
      <c r="L39" s="436">
        <f t="shared" si="16"/>
        <v>0.1843494959193471</v>
      </c>
      <c r="M39" s="436">
        <f t="shared" si="16"/>
        <v>0.1843494959193471</v>
      </c>
      <c r="N39" s="436">
        <f t="shared" si="16"/>
        <v>0.1843494959193471</v>
      </c>
      <c r="O39" s="436">
        <f t="shared" si="16"/>
        <v>0.18434949591934707</v>
      </c>
      <c r="P39" s="436">
        <f t="shared" si="16"/>
        <v>0.18434949591934707</v>
      </c>
    </row>
    <row r="40" spans="1:30" x14ac:dyDescent="0.25">
      <c r="B40" s="436">
        <f>B21/B17</f>
        <v>2.2083533365338453E-2</v>
      </c>
      <c r="C40" s="436">
        <f t="shared" ref="C40:P40" si="17">C21/C17</f>
        <v>2.2083533365338456E-2</v>
      </c>
      <c r="D40" s="436">
        <f t="shared" si="17"/>
        <v>2.2083533365338453E-2</v>
      </c>
      <c r="E40" s="436">
        <f t="shared" si="17"/>
        <v>2.2083533365338453E-2</v>
      </c>
      <c r="F40" s="436">
        <f t="shared" si="17"/>
        <v>2.2083533365338453E-2</v>
      </c>
      <c r="G40" s="436">
        <f t="shared" si="17"/>
        <v>2.2083533365338453E-2</v>
      </c>
      <c r="H40" s="436">
        <f t="shared" si="17"/>
        <v>2.208353336533846E-2</v>
      </c>
      <c r="I40" s="436">
        <f t="shared" si="17"/>
        <v>2.2083533365338453E-2</v>
      </c>
      <c r="J40" s="436">
        <f t="shared" si="17"/>
        <v>2.208353336533846E-2</v>
      </c>
      <c r="K40" s="436">
        <f t="shared" si="17"/>
        <v>2.2083533365338449E-2</v>
      </c>
      <c r="L40" s="436">
        <f t="shared" si="17"/>
        <v>2.2083533365338456E-2</v>
      </c>
      <c r="M40" s="436">
        <f t="shared" si="17"/>
        <v>2.2083533365338456E-2</v>
      </c>
      <c r="N40" s="436">
        <f t="shared" si="17"/>
        <v>2.2083533365338456E-2</v>
      </c>
      <c r="O40" s="436">
        <f t="shared" si="17"/>
        <v>2.2083533365338456E-2</v>
      </c>
      <c r="P40" s="436">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16" t="s">
        <v>270</v>
      </c>
      <c r="C59" s="213" t="s">
        <v>179</v>
      </c>
      <c r="D59" s="717" t="s">
        <v>271</v>
      </c>
      <c r="E59" s="717" t="s">
        <v>271</v>
      </c>
      <c r="F59" s="214" t="s">
        <v>272</v>
      </c>
      <c r="H59" s="299" t="s">
        <v>273</v>
      </c>
    </row>
    <row r="60" spans="1:24" ht="23.25" x14ac:dyDescent="0.25">
      <c r="A60" s="215">
        <v>18</v>
      </c>
      <c r="B60" s="716"/>
      <c r="C60" s="213" t="s">
        <v>274</v>
      </c>
      <c r="D60" s="717"/>
      <c r="E60" s="717"/>
      <c r="F60" s="214" t="s">
        <v>275</v>
      </c>
      <c r="H60" s="298" t="s">
        <v>276</v>
      </c>
    </row>
    <row r="61" spans="1:24" x14ac:dyDescent="0.25">
      <c r="A61" s="212">
        <v>19</v>
      </c>
      <c r="B61" s="716"/>
      <c r="C61" s="216"/>
      <c r="D61" s="717"/>
      <c r="E61" s="717"/>
      <c r="F61" s="217"/>
      <c r="H61" s="298" t="s">
        <v>277</v>
      </c>
      <c r="I61" s="158"/>
    </row>
    <row r="62" spans="1:24" ht="23.25" x14ac:dyDescent="0.25">
      <c r="A62" s="215">
        <v>20</v>
      </c>
      <c r="B62" s="716"/>
      <c r="C62" s="214" t="s">
        <v>271</v>
      </c>
      <c r="D62" s="718" t="s">
        <v>272</v>
      </c>
      <c r="E62" s="214" t="s">
        <v>272</v>
      </c>
      <c r="F62" s="217"/>
      <c r="H62" s="298" t="s">
        <v>278</v>
      </c>
    </row>
    <row r="63" spans="1:24" ht="23.25" x14ac:dyDescent="0.25">
      <c r="A63" s="212">
        <v>21</v>
      </c>
      <c r="B63" s="719" t="s">
        <v>179</v>
      </c>
      <c r="C63" s="214" t="s">
        <v>279</v>
      </c>
      <c r="D63" s="718"/>
      <c r="E63" s="214" t="s">
        <v>275</v>
      </c>
      <c r="F63" s="217"/>
      <c r="H63" s="298" t="s">
        <v>280</v>
      </c>
    </row>
    <row r="64" spans="1:24" x14ac:dyDescent="0.25">
      <c r="A64" s="215">
        <v>22</v>
      </c>
      <c r="B64" s="719"/>
      <c r="C64" s="217"/>
      <c r="D64" s="718"/>
      <c r="E64" s="217"/>
      <c r="F64" s="217"/>
      <c r="H64" s="298" t="s">
        <v>281</v>
      </c>
    </row>
    <row r="65" spans="1:8" x14ac:dyDescent="0.25">
      <c r="A65" s="212">
        <v>23</v>
      </c>
      <c r="B65" s="719"/>
      <c r="C65" s="217"/>
      <c r="D65" s="718"/>
      <c r="E65" s="217"/>
      <c r="F65" s="217"/>
    </row>
    <row r="66" spans="1:8" x14ac:dyDescent="0.25">
      <c r="A66" s="215">
        <v>24</v>
      </c>
      <c r="B66" s="719"/>
      <c r="C66" s="217"/>
      <c r="D66" s="718"/>
      <c r="E66" s="217"/>
      <c r="F66" s="217"/>
      <c r="H66" s="298" t="s">
        <v>282</v>
      </c>
    </row>
    <row r="67" spans="1:8" x14ac:dyDescent="0.25">
      <c r="A67" s="212">
        <v>25</v>
      </c>
      <c r="B67" s="719"/>
      <c r="C67" s="217"/>
      <c r="D67" s="717" t="s">
        <v>271</v>
      </c>
      <c r="E67" s="217"/>
      <c r="F67" s="217"/>
      <c r="H67" s="298" t="s">
        <v>283</v>
      </c>
    </row>
    <row r="68" spans="1:8" x14ac:dyDescent="0.25">
      <c r="A68" s="215">
        <v>26</v>
      </c>
      <c r="B68" s="719"/>
      <c r="C68" s="717" t="s">
        <v>271</v>
      </c>
      <c r="D68" s="717"/>
      <c r="E68" s="217"/>
      <c r="F68" s="217"/>
    </row>
    <row r="69" spans="1:8" x14ac:dyDescent="0.25">
      <c r="A69" s="212">
        <v>27</v>
      </c>
      <c r="B69" s="716" t="s">
        <v>270</v>
      </c>
      <c r="C69" s="717"/>
      <c r="D69" s="717"/>
      <c r="E69" s="217"/>
      <c r="F69" s="217"/>
    </row>
    <row r="70" spans="1:8" x14ac:dyDescent="0.25">
      <c r="A70" s="215">
        <v>28</v>
      </c>
      <c r="B70" s="716"/>
      <c r="C70" s="719" t="s">
        <v>179</v>
      </c>
      <c r="D70" s="717"/>
      <c r="E70" s="217"/>
      <c r="F70" s="217"/>
      <c r="H70" s="298" t="s">
        <v>284</v>
      </c>
    </row>
    <row r="71" spans="1:8" x14ac:dyDescent="0.25">
      <c r="A71" s="212">
        <v>29</v>
      </c>
      <c r="B71" s="716"/>
      <c r="C71" s="719"/>
      <c r="D71" s="717"/>
      <c r="E71" s="217"/>
      <c r="F71" s="217"/>
    </row>
    <row r="72" spans="1:8" x14ac:dyDescent="0.25">
      <c r="A72" s="215">
        <v>30</v>
      </c>
      <c r="B72" s="716"/>
      <c r="C72" s="719"/>
      <c r="D72" s="719" t="s">
        <v>179</v>
      </c>
      <c r="E72" s="217"/>
      <c r="F72" s="217"/>
      <c r="H72" s="298" t="s">
        <v>285</v>
      </c>
    </row>
    <row r="73" spans="1:8" x14ac:dyDescent="0.25">
      <c r="A73" s="212">
        <v>31</v>
      </c>
      <c r="B73" s="716"/>
      <c r="C73" s="719"/>
      <c r="D73" s="719"/>
      <c r="E73" s="214" t="s">
        <v>271</v>
      </c>
      <c r="F73" s="217"/>
    </row>
    <row r="74" spans="1:8" ht="23.25" x14ac:dyDescent="0.25">
      <c r="A74" s="215">
        <v>32</v>
      </c>
      <c r="B74" s="716"/>
      <c r="C74" s="719"/>
      <c r="D74" s="719"/>
      <c r="E74" s="214" t="s">
        <v>279</v>
      </c>
      <c r="F74" s="217"/>
      <c r="H74" s="298" t="s">
        <v>286</v>
      </c>
    </row>
    <row r="75" spans="1:8" ht="23.25" x14ac:dyDescent="0.25">
      <c r="A75" s="212">
        <v>33</v>
      </c>
      <c r="B75" s="716"/>
      <c r="C75" s="716" t="s">
        <v>270</v>
      </c>
      <c r="D75" s="719"/>
      <c r="E75" s="213" t="s">
        <v>179</v>
      </c>
      <c r="F75" s="213" t="s">
        <v>179</v>
      </c>
    </row>
    <row r="76" spans="1:8" x14ac:dyDescent="0.25">
      <c r="A76" s="215">
        <v>34</v>
      </c>
      <c r="B76" s="720" t="s">
        <v>287</v>
      </c>
      <c r="C76" s="716"/>
      <c r="D76" s="719"/>
      <c r="E76" s="213" t="s">
        <v>274</v>
      </c>
      <c r="F76" s="213" t="s">
        <v>274</v>
      </c>
      <c r="H76" s="298" t="s">
        <v>288</v>
      </c>
    </row>
    <row r="77" spans="1:8" x14ac:dyDescent="0.25">
      <c r="A77" s="212">
        <v>35</v>
      </c>
      <c r="B77" s="720"/>
      <c r="C77" s="720" t="s">
        <v>287</v>
      </c>
      <c r="D77" s="716" t="s">
        <v>270</v>
      </c>
      <c r="E77" s="716" t="s">
        <v>270</v>
      </c>
      <c r="F77" s="216"/>
    </row>
    <row r="78" spans="1:8" ht="23.25" x14ac:dyDescent="0.25">
      <c r="A78" s="215">
        <v>36</v>
      </c>
      <c r="B78" s="720"/>
      <c r="C78" s="720"/>
      <c r="D78" s="716"/>
      <c r="E78" s="716"/>
      <c r="F78" s="218" t="s">
        <v>270</v>
      </c>
      <c r="H78" s="298" t="s">
        <v>289</v>
      </c>
    </row>
    <row r="79" spans="1:8" x14ac:dyDescent="0.25">
      <c r="A79" s="715" t="s">
        <v>290</v>
      </c>
      <c r="B79" s="715"/>
      <c r="C79" s="715"/>
      <c r="D79" s="715"/>
      <c r="E79" s="715"/>
      <c r="F79" s="715"/>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35" t="s">
        <v>461</v>
      </c>
      <c r="C1" s="735"/>
      <c r="D1" s="735"/>
      <c r="E1" s="735"/>
      <c r="F1" s="735"/>
      <c r="G1" s="735"/>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36"/>
      <c r="N27" s="724"/>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36"/>
      <c r="N29" s="724"/>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36"/>
      <c r="M27" s="724"/>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36"/>
      <c r="M29" s="724"/>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35" t="s">
        <v>461</v>
      </c>
      <c r="C1" s="735"/>
      <c r="D1" s="735"/>
      <c r="E1" s="735"/>
      <c r="F1" s="735"/>
      <c r="G1" s="735"/>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5" x14ac:dyDescent="0.25">
      <c r="A4" s="360" t="s">
        <v>688</v>
      </c>
      <c r="B4" s="275" t="s">
        <v>669</v>
      </c>
      <c r="C4" s="275" t="s">
        <v>654</v>
      </c>
      <c r="D4" s="275" t="s">
        <v>64</v>
      </c>
      <c r="E4" s="185" t="s">
        <v>658</v>
      </c>
      <c r="F4" s="277">
        <v>39905</v>
      </c>
      <c r="G4" s="186">
        <v>69069</v>
      </c>
      <c r="H4" s="186">
        <v>2557</v>
      </c>
      <c r="I4" s="187" t="s">
        <v>689</v>
      </c>
      <c r="J4" s="188">
        <v>164826341</v>
      </c>
      <c r="K4" s="188">
        <v>16513898</v>
      </c>
      <c r="L4" s="275">
        <v>225</v>
      </c>
      <c r="M4" s="280">
        <v>1399174</v>
      </c>
    </row>
    <row r="5" spans="1:15" x14ac:dyDescent="0.25">
      <c r="A5" s="360" t="s">
        <v>682</v>
      </c>
      <c r="B5" s="275" t="s">
        <v>685</v>
      </c>
      <c r="C5" s="275" t="s">
        <v>464</v>
      </c>
      <c r="D5" s="275" t="s">
        <v>687</v>
      </c>
      <c r="E5" s="185" t="s">
        <v>684</v>
      </c>
      <c r="F5" s="277">
        <v>38131</v>
      </c>
      <c r="G5" s="186">
        <v>65100</v>
      </c>
      <c r="H5" s="186">
        <v>2785</v>
      </c>
      <c r="I5" s="187" t="s">
        <v>683</v>
      </c>
      <c r="J5" s="188">
        <v>102523605</v>
      </c>
      <c r="K5" s="188">
        <v>3299515</v>
      </c>
      <c r="L5" s="275">
        <v>374</v>
      </c>
      <c r="M5" s="280">
        <v>813312</v>
      </c>
    </row>
    <row r="6" spans="1:15" x14ac:dyDescent="0.25">
      <c r="A6" s="360" t="s">
        <v>678</v>
      </c>
      <c r="B6" s="275" t="s">
        <v>673</v>
      </c>
      <c r="C6" s="275" t="s">
        <v>225</v>
      </c>
      <c r="D6" s="275" t="s">
        <v>64</v>
      </c>
      <c r="E6" s="185" t="s">
        <v>474</v>
      </c>
      <c r="F6" s="278">
        <v>41153</v>
      </c>
      <c r="G6" s="186">
        <v>41940</v>
      </c>
      <c r="H6" s="186">
        <v>2528</v>
      </c>
      <c r="I6" s="187" t="s">
        <v>679</v>
      </c>
      <c r="J6" s="188">
        <v>10691000</v>
      </c>
      <c r="K6" s="188">
        <v>-6306765</v>
      </c>
      <c r="L6" s="275">
        <v>51</v>
      </c>
      <c r="M6" s="280">
        <v>515084</v>
      </c>
    </row>
    <row r="7" spans="1:15" x14ac:dyDescent="0.25">
      <c r="A7" s="184" t="s">
        <v>671</v>
      </c>
      <c r="B7" s="275" t="s">
        <v>673</v>
      </c>
      <c r="C7" s="275" t="s">
        <v>654</v>
      </c>
      <c r="D7" s="275" t="s">
        <v>676</v>
      </c>
      <c r="E7" s="185" t="s">
        <v>674</v>
      </c>
      <c r="F7" s="277">
        <v>37346</v>
      </c>
      <c r="G7" s="186">
        <v>44300</v>
      </c>
      <c r="H7" s="186">
        <v>2414</v>
      </c>
      <c r="I7" s="187" t="s">
        <v>672</v>
      </c>
      <c r="J7" s="188">
        <v>80114648</v>
      </c>
      <c r="K7" s="188">
        <v>18307648</v>
      </c>
      <c r="L7" s="275">
        <v>243</v>
      </c>
      <c r="M7" s="280">
        <v>1144574</v>
      </c>
    </row>
    <row r="8" spans="1:15" x14ac:dyDescent="0.25">
      <c r="A8" s="184" t="s">
        <v>663</v>
      </c>
      <c r="B8" s="275" t="s">
        <v>667</v>
      </c>
      <c r="C8" s="275" t="s">
        <v>465</v>
      </c>
      <c r="D8" s="275" t="s">
        <v>547</v>
      </c>
      <c r="E8" s="185" t="s">
        <v>665</v>
      </c>
      <c r="F8" s="277">
        <v>40475</v>
      </c>
      <c r="G8" s="186">
        <v>41840</v>
      </c>
      <c r="H8" s="186">
        <v>2621</v>
      </c>
      <c r="I8" s="187" t="s">
        <v>664</v>
      </c>
      <c r="J8" s="188">
        <v>26320922</v>
      </c>
      <c r="K8" s="188">
        <v>-11164498</v>
      </c>
      <c r="L8" s="275">
        <v>96</v>
      </c>
      <c r="M8" s="280">
        <v>833009</v>
      </c>
    </row>
    <row r="9" spans="1:15" x14ac:dyDescent="0.25">
      <c r="A9" s="184" t="s">
        <v>657</v>
      </c>
      <c r="B9" s="275" t="s">
        <v>673</v>
      </c>
      <c r="C9" s="275" t="s">
        <v>573</v>
      </c>
      <c r="D9" s="275" t="s">
        <v>581</v>
      </c>
      <c r="E9" s="185" t="s">
        <v>658</v>
      </c>
      <c r="F9" s="277">
        <v>38168</v>
      </c>
      <c r="G9" s="186">
        <v>70000</v>
      </c>
      <c r="H9" s="186">
        <v>2465</v>
      </c>
      <c r="I9" s="187" t="s">
        <v>659</v>
      </c>
      <c r="J9" s="188">
        <v>51949337</v>
      </c>
      <c r="K9" s="188">
        <v>-10514595</v>
      </c>
      <c r="L9" s="275">
        <v>174</v>
      </c>
      <c r="M9" s="280">
        <v>1452650</v>
      </c>
    </row>
    <row r="10" spans="1:15" x14ac:dyDescent="0.25">
      <c r="A10" s="184" t="s">
        <v>650</v>
      </c>
      <c r="B10" s="275" t="s">
        <v>691</v>
      </c>
      <c r="C10" s="275" t="s">
        <v>179</v>
      </c>
      <c r="D10" s="275" t="s">
        <v>547</v>
      </c>
      <c r="E10" s="185" t="s">
        <v>655</v>
      </c>
      <c r="F10" s="277">
        <v>40858</v>
      </c>
      <c r="G10" s="186">
        <v>52500</v>
      </c>
      <c r="H10" s="186">
        <v>2565</v>
      </c>
      <c r="I10" s="187" t="s">
        <v>656</v>
      </c>
      <c r="J10" s="188">
        <v>24509198</v>
      </c>
      <c r="K10" s="188">
        <v>7144948</v>
      </c>
      <c r="L10" s="275">
        <v>126</v>
      </c>
      <c r="M10" s="280">
        <v>267142</v>
      </c>
    </row>
    <row r="11" spans="1:15" x14ac:dyDescent="0.25">
      <c r="A11" s="197" t="s">
        <v>243</v>
      </c>
      <c r="B11" s="275" t="s">
        <v>669</v>
      </c>
      <c r="C11" s="275" t="s">
        <v>225</v>
      </c>
      <c r="D11" s="275" t="s">
        <v>676</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690</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681</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677</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666</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662</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651</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670</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686</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680</v>
      </c>
      <c r="M27" s="736"/>
      <c r="N27" s="724"/>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675</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653</v>
      </c>
      <c r="J29" s="279">
        <v>4</v>
      </c>
      <c r="K29" s="279" t="s">
        <v>653</v>
      </c>
      <c r="L29" s="275" t="s">
        <v>668</v>
      </c>
      <c r="M29" s="736"/>
      <c r="N29" s="724"/>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661</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653</v>
      </c>
      <c r="J31" s="279">
        <v>6</v>
      </c>
      <c r="K31" s="279" t="s">
        <v>653</v>
      </c>
      <c r="L31" s="275" t="s">
        <v>652</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35" t="s">
        <v>461</v>
      </c>
      <c r="C1" s="735"/>
      <c r="D1" s="735"/>
      <c r="E1" s="735"/>
      <c r="F1" s="735"/>
      <c r="G1" s="735"/>
      <c r="H1" s="482"/>
      <c r="I1" s="482"/>
      <c r="J1" s="482"/>
      <c r="K1" s="482"/>
      <c r="L1" s="482"/>
      <c r="M1" s="482"/>
    </row>
    <row r="2" spans="1:13" x14ac:dyDescent="0.25">
      <c r="A2" s="180"/>
      <c r="B2" s="482"/>
      <c r="C2" s="482"/>
      <c r="D2" s="482"/>
      <c r="E2" s="482"/>
      <c r="F2" s="482"/>
      <c r="G2" s="482"/>
      <c r="H2" s="482"/>
      <c r="I2" s="482"/>
      <c r="J2" s="482"/>
      <c r="K2" s="482"/>
      <c r="L2" s="482"/>
      <c r="M2" s="482"/>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3" x14ac:dyDescent="0.25">
      <c r="A4" s="360" t="s">
        <v>940</v>
      </c>
      <c r="B4" s="275" t="s">
        <v>673</v>
      </c>
      <c r="C4" s="275" t="s">
        <v>654</v>
      </c>
      <c r="D4" s="275"/>
      <c r="E4" s="185" t="s">
        <v>941</v>
      </c>
      <c r="F4" s="277">
        <v>38857</v>
      </c>
      <c r="G4" s="186">
        <v>67641</v>
      </c>
      <c r="H4" s="186">
        <v>2838</v>
      </c>
      <c r="I4" s="187" t="s">
        <v>942</v>
      </c>
      <c r="J4" s="188">
        <v>138055793</v>
      </c>
      <c r="K4" s="188">
        <v>136696022</v>
      </c>
      <c r="L4" s="275">
        <v>370</v>
      </c>
      <c r="M4" s="280">
        <v>945588</v>
      </c>
    </row>
    <row r="5" spans="1:13" x14ac:dyDescent="0.25">
      <c r="A5" s="184" t="s">
        <v>460</v>
      </c>
      <c r="B5" s="275" t="s">
        <v>669</v>
      </c>
      <c r="C5" s="275" t="s">
        <v>179</v>
      </c>
      <c r="D5" s="275" t="s">
        <v>918</v>
      </c>
      <c r="E5" s="185" t="s">
        <v>466</v>
      </c>
      <c r="F5" s="277">
        <v>41400</v>
      </c>
      <c r="G5" s="186">
        <v>58157</v>
      </c>
      <c r="H5" s="186">
        <v>2845</v>
      </c>
      <c r="I5" s="187" t="s">
        <v>944</v>
      </c>
      <c r="J5" s="188">
        <v>1035350</v>
      </c>
      <c r="K5" s="188">
        <v>-12451970</v>
      </c>
      <c r="L5" s="275">
        <v>23</v>
      </c>
      <c r="M5" s="280">
        <v>4495773</v>
      </c>
    </row>
    <row r="6" spans="1:13" x14ac:dyDescent="0.25">
      <c r="A6" s="360" t="s">
        <v>914</v>
      </c>
      <c r="B6" s="275" t="s">
        <v>673</v>
      </c>
      <c r="C6" s="275" t="s">
        <v>470</v>
      </c>
      <c r="D6" s="275"/>
      <c r="E6" s="185" t="s">
        <v>559</v>
      </c>
      <c r="F6" s="277">
        <v>38075</v>
      </c>
      <c r="G6" s="186">
        <v>70525</v>
      </c>
      <c r="H6" s="186">
        <v>2758</v>
      </c>
      <c r="I6" s="187" t="s">
        <v>760</v>
      </c>
      <c r="J6" s="188">
        <v>143006593</v>
      </c>
      <c r="K6" s="188">
        <v>-7381552</v>
      </c>
      <c r="L6" s="275">
        <v>320</v>
      </c>
      <c r="M6" s="280">
        <v>1285369</v>
      </c>
    </row>
    <row r="7" spans="1:13" x14ac:dyDescent="0.25">
      <c r="A7" s="184" t="s">
        <v>919</v>
      </c>
      <c r="B7" s="275" t="s">
        <v>667</v>
      </c>
      <c r="C7" s="275" t="s">
        <v>465</v>
      </c>
      <c r="D7" s="275"/>
      <c r="E7" s="185" t="s">
        <v>559</v>
      </c>
      <c r="F7" s="277">
        <v>41067</v>
      </c>
      <c r="G7" s="186">
        <v>67347</v>
      </c>
      <c r="H7" s="186">
        <v>2969</v>
      </c>
      <c r="I7" s="187" t="s">
        <v>917</v>
      </c>
      <c r="J7" s="188">
        <v>30810000</v>
      </c>
      <c r="K7" s="188">
        <v>-808447</v>
      </c>
      <c r="L7" s="275">
        <v>101</v>
      </c>
      <c r="M7" s="280">
        <v>702632</v>
      </c>
    </row>
    <row r="8" spans="1:13" x14ac:dyDescent="0.25">
      <c r="A8" s="184" t="s">
        <v>946</v>
      </c>
      <c r="B8" s="275" t="s">
        <v>673</v>
      </c>
      <c r="C8" s="275" t="s">
        <v>947</v>
      </c>
      <c r="D8" s="275"/>
      <c r="E8" s="185" t="s">
        <v>915</v>
      </c>
      <c r="F8" s="277">
        <v>39793</v>
      </c>
      <c r="G8" s="186">
        <v>50000</v>
      </c>
      <c r="H8" s="186">
        <v>2891</v>
      </c>
      <c r="I8" s="187" t="s">
        <v>948</v>
      </c>
      <c r="J8" s="188">
        <v>43131941</v>
      </c>
      <c r="K8" s="188">
        <v>-19594079</v>
      </c>
      <c r="L8" s="275">
        <v>144</v>
      </c>
      <c r="M8" s="280">
        <v>1334596</v>
      </c>
    </row>
    <row r="9" spans="1:13" x14ac:dyDescent="0.25">
      <c r="A9" s="360" t="s">
        <v>793</v>
      </c>
      <c r="B9" s="275" t="s">
        <v>673</v>
      </c>
      <c r="C9" s="275" t="s">
        <v>464</v>
      </c>
      <c r="D9" s="275"/>
      <c r="E9" s="185" t="s">
        <v>950</v>
      </c>
      <c r="F9" s="278">
        <v>39361</v>
      </c>
      <c r="G9" s="186">
        <v>75255</v>
      </c>
      <c r="H9" s="186">
        <v>2959</v>
      </c>
      <c r="I9" s="187" t="s">
        <v>761</v>
      </c>
      <c r="J9" s="188">
        <v>155442840</v>
      </c>
      <c r="K9" s="188">
        <v>-11481107</v>
      </c>
      <c r="L9" s="275">
        <v>510</v>
      </c>
      <c r="M9" s="280">
        <v>596157</v>
      </c>
    </row>
    <row r="10" spans="1:13" x14ac:dyDescent="0.25">
      <c r="A10" s="184" t="s">
        <v>952</v>
      </c>
      <c r="B10" s="275" t="s">
        <v>673</v>
      </c>
      <c r="C10" s="275" t="s">
        <v>179</v>
      </c>
      <c r="D10" s="275"/>
      <c r="E10" s="185" t="s">
        <v>915</v>
      </c>
      <c r="F10" s="277">
        <v>41624</v>
      </c>
      <c r="G10" s="186">
        <v>48000</v>
      </c>
      <c r="H10" s="186">
        <v>2771</v>
      </c>
      <c r="I10" s="187" t="s">
        <v>953</v>
      </c>
      <c r="J10" s="188">
        <v>17487490</v>
      </c>
      <c r="K10" s="188">
        <v>-3320330</v>
      </c>
      <c r="L10" s="275">
        <v>94</v>
      </c>
      <c r="M10" s="280">
        <v>358756</v>
      </c>
    </row>
    <row r="11" spans="1:13" x14ac:dyDescent="0.25">
      <c r="A11" s="184" t="s">
        <v>954</v>
      </c>
      <c r="B11" s="275" t="s">
        <v>667</v>
      </c>
      <c r="C11" s="275" t="s">
        <v>179</v>
      </c>
      <c r="D11" s="275"/>
      <c r="E11" s="185" t="s">
        <v>658</v>
      </c>
      <c r="F11" s="277">
        <v>40117</v>
      </c>
      <c r="G11" s="186">
        <v>87000</v>
      </c>
      <c r="H11" s="186">
        <v>2987</v>
      </c>
      <c r="I11" s="187" t="s">
        <v>955</v>
      </c>
      <c r="J11" s="188">
        <v>6689603</v>
      </c>
      <c r="K11" s="188">
        <v>-12050288</v>
      </c>
      <c r="L11" s="275">
        <v>210</v>
      </c>
      <c r="M11" s="280">
        <v>173518</v>
      </c>
    </row>
    <row r="12" spans="1:13" x14ac:dyDescent="0.25">
      <c r="A12" s="180"/>
      <c r="B12" s="482"/>
      <c r="C12" s="482"/>
      <c r="D12" s="482"/>
      <c r="E12" s="482"/>
      <c r="F12" s="482"/>
      <c r="G12" s="482"/>
      <c r="H12" s="482"/>
      <c r="I12" s="482"/>
      <c r="J12" s="482"/>
      <c r="K12" s="482"/>
      <c r="L12" s="482"/>
      <c r="M12" s="482"/>
    </row>
    <row r="13" spans="1:13" x14ac:dyDescent="0.25">
      <c r="A13" s="180"/>
      <c r="B13" s="356">
        <f>AVERAGE(B15:B22)</f>
        <v>2815.5</v>
      </c>
      <c r="C13" s="356">
        <f>AVERAGE(C15:C22)</f>
        <v>2878.25</v>
      </c>
      <c r="D13" s="482"/>
      <c r="E13" s="482"/>
      <c r="F13" s="482"/>
      <c r="G13" s="482"/>
      <c r="H13" s="482"/>
      <c r="I13" s="482"/>
      <c r="J13" s="482"/>
      <c r="K13" s="482"/>
      <c r="L13" s="482"/>
      <c r="M13" s="482"/>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2"/>
      <c r="C23" s="482"/>
      <c r="D23" s="482"/>
      <c r="E23" s="482"/>
      <c r="F23" s="482"/>
      <c r="G23" s="482"/>
      <c r="H23" s="482"/>
      <c r="I23" s="482"/>
      <c r="J23" s="482"/>
      <c r="K23" s="482"/>
      <c r="L23" s="482"/>
      <c r="M23" s="482"/>
    </row>
    <row r="24" spans="1:17" x14ac:dyDescent="0.25">
      <c r="A24" s="181" t="s">
        <v>217</v>
      </c>
      <c r="B24" s="183" t="s">
        <v>232</v>
      </c>
      <c r="C24" s="183" t="s">
        <v>233</v>
      </c>
      <c r="D24" s="183" t="s">
        <v>757</v>
      </c>
      <c r="E24" s="183" t="s">
        <v>758</v>
      </c>
      <c r="F24" s="183" t="s">
        <v>759</v>
      </c>
      <c r="G24" s="276" t="s">
        <v>234</v>
      </c>
      <c r="H24" s="276" t="s">
        <v>235</v>
      </c>
      <c r="I24" s="276" t="s">
        <v>236</v>
      </c>
      <c r="J24" s="276" t="s">
        <v>237</v>
      </c>
      <c r="K24" s="276" t="s">
        <v>238</v>
      </c>
      <c r="P24" s="482"/>
      <c r="Q24" s="482"/>
    </row>
    <row r="25" spans="1:17" x14ac:dyDescent="0.25">
      <c r="A25" s="360" t="str">
        <f>A15</f>
        <v>Krushers</v>
      </c>
      <c r="B25" s="275">
        <v>1107700</v>
      </c>
      <c r="C25" s="275">
        <v>267788</v>
      </c>
      <c r="D25" s="192">
        <v>5.5</v>
      </c>
      <c r="E25" s="192">
        <v>6.75</v>
      </c>
      <c r="F25" s="275" t="s">
        <v>943</v>
      </c>
      <c r="G25" s="195">
        <f>B25/D15</f>
        <v>0.9396365980693212</v>
      </c>
      <c r="H25" s="195">
        <f>C25/E15</f>
        <v>0.91482020483598769</v>
      </c>
      <c r="I25" s="191">
        <f>B25/11</f>
        <v>100700</v>
      </c>
      <c r="J25" s="191">
        <f>C25/11</f>
        <v>24344.363636363636</v>
      </c>
      <c r="K25" s="192">
        <f>B25/C25</f>
        <v>4.1364810969871693</v>
      </c>
      <c r="P25" s="482"/>
      <c r="Q25" s="482"/>
    </row>
    <row r="26" spans="1:17" x14ac:dyDescent="0.25">
      <c r="A26" s="360" t="str">
        <f>A16</f>
        <v>Obiwan JC</v>
      </c>
      <c r="B26" s="275">
        <v>1026070</v>
      </c>
      <c r="C26" s="275">
        <v>132232</v>
      </c>
      <c r="D26" s="192">
        <v>6.75</v>
      </c>
      <c r="E26" s="192">
        <v>7</v>
      </c>
      <c r="F26" s="275" t="s">
        <v>939</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2"/>
      <c r="Q26" s="482"/>
    </row>
    <row r="27" spans="1:17" x14ac:dyDescent="0.25">
      <c r="A27" s="360" t="str">
        <f>A6</f>
        <v>FC Energie Cruces</v>
      </c>
      <c r="B27" s="275">
        <v>1130680</v>
      </c>
      <c r="C27" s="275">
        <v>174650</v>
      </c>
      <c r="D27" s="192">
        <v>5.25</v>
      </c>
      <c r="E27" s="192">
        <v>6.75</v>
      </c>
      <c r="F27" s="275" t="s">
        <v>916</v>
      </c>
      <c r="G27" s="195">
        <f>B27/D17</f>
        <v>0.80040775008317822</v>
      </c>
      <c r="H27" s="195">
        <f>C27/E17</f>
        <v>0.61713780918727912</v>
      </c>
      <c r="I27" s="191">
        <f>B27/11</f>
        <v>102789.09090909091</v>
      </c>
      <c r="J27" s="191">
        <f>C27/11</f>
        <v>15877.272727272728</v>
      </c>
      <c r="K27" s="192">
        <f>B27/C27</f>
        <v>6.4739765244775267</v>
      </c>
      <c r="P27" s="736"/>
      <c r="Q27" s="724"/>
    </row>
    <row r="28" spans="1:17" x14ac:dyDescent="0.25">
      <c r="A28" s="360" t="str">
        <f>A18</f>
        <v>Quasar FC</v>
      </c>
      <c r="B28" s="275">
        <v>1028560</v>
      </c>
      <c r="C28" s="275">
        <v>228106</v>
      </c>
      <c r="D28" s="275">
        <v>7</v>
      </c>
      <c r="E28" s="192">
        <v>6.25</v>
      </c>
      <c r="F28" s="275" t="s">
        <v>945</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2"/>
      <c r="Q28" s="482"/>
    </row>
    <row r="29" spans="1:17" x14ac:dyDescent="0.25">
      <c r="A29" s="360" t="str">
        <f>A19</f>
        <v>Concinnati Kids</v>
      </c>
      <c r="B29" s="275">
        <v>1113100</v>
      </c>
      <c r="C29" s="275">
        <v>220838</v>
      </c>
      <c r="D29" s="192">
        <v>5.75</v>
      </c>
      <c r="E29" s="192">
        <v>6.5</v>
      </c>
      <c r="F29" s="275" t="s">
        <v>949</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36"/>
      <c r="Q29" s="724"/>
    </row>
    <row r="30" spans="1:17" x14ac:dyDescent="0.25">
      <c r="A30" s="360" t="str">
        <f>A20</f>
        <v>The Fighting Philosophers</v>
      </c>
      <c r="B30" s="275">
        <v>2072420</v>
      </c>
      <c r="C30" s="275">
        <v>282550</v>
      </c>
      <c r="D30" s="192">
        <v>7.75</v>
      </c>
      <c r="E30" s="192">
        <v>6.25</v>
      </c>
      <c r="F30" s="275" t="s">
        <v>951</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2"/>
      <c r="Q30" s="482"/>
    </row>
    <row r="31" spans="1:17" x14ac:dyDescent="0.25">
      <c r="A31" s="360" t="str">
        <f>A21</f>
        <v>Stick Men 03</v>
      </c>
      <c r="B31" s="275">
        <v>851470</v>
      </c>
      <c r="C31" s="275">
        <v>231144</v>
      </c>
      <c r="D31" s="275">
        <v>4.25</v>
      </c>
      <c r="E31" s="192">
        <v>6.75</v>
      </c>
      <c r="F31" s="275" t="s">
        <v>877</v>
      </c>
      <c r="G31" s="195">
        <f t="shared" si="28"/>
        <v>0.88511315086435405</v>
      </c>
      <c r="H31" s="195">
        <f t="shared" si="28"/>
        <v>0.91033113834714385</v>
      </c>
      <c r="I31" s="191">
        <f t="shared" si="29"/>
        <v>77406.363636363632</v>
      </c>
      <c r="J31" s="191">
        <f t="shared" si="29"/>
        <v>21013.090909090908</v>
      </c>
      <c r="K31" s="192">
        <f t="shared" si="30"/>
        <v>3.6837209704772782</v>
      </c>
      <c r="P31" s="482"/>
      <c r="Q31" s="482"/>
    </row>
    <row r="32" spans="1:17" x14ac:dyDescent="0.25">
      <c r="A32" s="360" t="str">
        <f t="shared" ref="A32" si="36">A22</f>
        <v>The Old Rasputins</v>
      </c>
      <c r="B32" s="275">
        <v>1333310</v>
      </c>
      <c r="C32" s="275">
        <v>180416</v>
      </c>
      <c r="D32" s="192">
        <v>5.75</v>
      </c>
      <c r="E32" s="192">
        <v>6.75</v>
      </c>
      <c r="F32" s="275" t="s">
        <v>956</v>
      </c>
      <c r="G32" s="195">
        <f t="shared" si="28"/>
        <v>0.9129696455105073</v>
      </c>
      <c r="H32" s="195">
        <f t="shared" si="28"/>
        <v>0.86113312013746357</v>
      </c>
      <c r="I32" s="191">
        <f t="shared" si="29"/>
        <v>121210</v>
      </c>
      <c r="J32" s="191">
        <f t="shared" si="29"/>
        <v>16401.454545454544</v>
      </c>
      <c r="K32" s="192">
        <f t="shared" si="30"/>
        <v>7.3901982085846045</v>
      </c>
      <c r="P32" s="482"/>
      <c r="Q32" s="482"/>
    </row>
  </sheetData>
  <mergeCells count="3">
    <mergeCell ref="B1:G1"/>
    <mergeCell ref="P27:Q27"/>
    <mergeCell ref="P29:Q2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43"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44"/>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45">
        <f>C13</f>
        <v>1504841</v>
      </c>
      <c r="AA14" s="746"/>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47" t="s">
        <v>94</v>
      </c>
      <c r="B26" s="747"/>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38" t="s">
        <v>95</v>
      </c>
      <c r="B27" s="738"/>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39" t="s">
        <v>96</v>
      </c>
      <c r="B28" s="739"/>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47" t="s">
        <v>97</v>
      </c>
      <c r="B29" s="747"/>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38" t="s">
        <v>98</v>
      </c>
      <c r="B30" s="738"/>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39" t="s">
        <v>99</v>
      </c>
      <c r="B31" s="739"/>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48"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40">
        <f>C23</f>
        <v>1482625</v>
      </c>
      <c r="AA33" s="741"/>
    </row>
    <row r="34" spans="1:27" x14ac:dyDescent="0.25">
      <c r="A34" s="57"/>
      <c r="B34" s="748"/>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48"/>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48"/>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48"/>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48"/>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42"/>
      <c r="I40" s="742"/>
      <c r="J40" s="742"/>
      <c r="K40" s="742"/>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37"/>
      <c r="I49" s="737"/>
      <c r="J49" s="737"/>
      <c r="K49" s="737"/>
    </row>
    <row r="50" spans="8:11" x14ac:dyDescent="0.25">
      <c r="H50" s="103"/>
      <c r="I50" s="103"/>
      <c r="J50" s="103"/>
      <c r="K50" s="103"/>
    </row>
    <row r="51" spans="8:11" x14ac:dyDescent="0.25">
      <c r="H51" s="737"/>
      <c r="I51" s="737"/>
      <c r="J51" s="737"/>
      <c r="K51" s="737"/>
    </row>
    <row r="52" spans="8:11" ht="15" customHeight="1" x14ac:dyDescent="0.25">
      <c r="H52" s="737"/>
      <c r="I52" s="737"/>
      <c r="J52" s="737"/>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211</v>
      </c>
      <c r="C2" s="750"/>
      <c r="D2" s="750"/>
      <c r="E2" s="750"/>
      <c r="F2" s="750"/>
      <c r="G2" s="751"/>
      <c r="I2" s="752" t="s">
        <v>102</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3"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44"/>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45">
        <f>C13</f>
        <v>2257672</v>
      </c>
      <c r="Z14" s="746"/>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47" t="s">
        <v>94</v>
      </c>
      <c r="B26" s="747"/>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38" t="s">
        <v>95</v>
      </c>
      <c r="B27" s="738"/>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39" t="s">
        <v>96</v>
      </c>
      <c r="B28" s="739"/>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47" t="s">
        <v>97</v>
      </c>
      <c r="B29" s="747"/>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38" t="s">
        <v>98</v>
      </c>
      <c r="B30" s="738"/>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39" t="s">
        <v>99</v>
      </c>
      <c r="B31" s="739"/>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8" t="s">
        <v>299</v>
      </c>
      <c r="C33" s="174" t="s">
        <v>184</v>
      </c>
      <c r="D33" s="175"/>
      <c r="E33" s="175"/>
      <c r="F33" s="175"/>
      <c r="G33" s="175"/>
      <c r="H33" s="175"/>
      <c r="I33" s="175"/>
      <c r="J33" s="175"/>
      <c r="K33" s="175"/>
      <c r="L33" s="175"/>
      <c r="M33" s="175"/>
      <c r="N33" s="175"/>
      <c r="O33" s="175"/>
      <c r="P33" s="175"/>
      <c r="Q33" s="175"/>
      <c r="R33" s="175"/>
      <c r="S33" s="175">
        <v>49820</v>
      </c>
      <c r="Y33" s="740">
        <f>C23</f>
        <v>2470257</v>
      </c>
      <c r="Z33" s="741"/>
    </row>
    <row r="34" spans="1:26" x14ac:dyDescent="0.25">
      <c r="A34" s="57"/>
      <c r="B34" s="748"/>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48"/>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48"/>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48"/>
      <c r="C37" s="174" t="s">
        <v>214</v>
      </c>
      <c r="D37" s="177"/>
      <c r="E37" s="177"/>
      <c r="F37" s="177"/>
      <c r="G37" s="177"/>
      <c r="H37" s="177"/>
      <c r="I37" s="177"/>
      <c r="J37" s="177"/>
      <c r="K37" s="177"/>
      <c r="L37" s="177"/>
      <c r="M37" s="177"/>
      <c r="N37" s="177"/>
      <c r="O37" s="177"/>
      <c r="P37" s="177"/>
      <c r="Q37" s="177"/>
      <c r="R37" s="177"/>
      <c r="S37" s="177" t="s">
        <v>433</v>
      </c>
    </row>
    <row r="38" spans="1:26" x14ac:dyDescent="0.25">
      <c r="B38" s="748"/>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42"/>
      <c r="H40" s="742"/>
      <c r="I40" s="742"/>
      <c r="J40" s="742"/>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37"/>
      <c r="H49" s="737"/>
      <c r="I49" s="737"/>
      <c r="J49" s="737"/>
    </row>
    <row r="50" spans="7:10" x14ac:dyDescent="0.25">
      <c r="G50" s="234"/>
      <c r="H50" s="234"/>
      <c r="I50" s="234"/>
      <c r="J50" s="234"/>
    </row>
    <row r="51" spans="7:10" x14ac:dyDescent="0.25">
      <c r="G51" s="737"/>
      <c r="H51" s="737"/>
      <c r="I51" s="737"/>
      <c r="J51" s="737"/>
    </row>
    <row r="52" spans="7:10" ht="15" customHeight="1" x14ac:dyDescent="0.25">
      <c r="G52" s="737"/>
      <c r="H52" s="737"/>
      <c r="I52" s="737"/>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329</v>
      </c>
      <c r="C2" s="750"/>
      <c r="D2" s="750"/>
      <c r="E2" s="750"/>
      <c r="F2" s="750"/>
      <c r="G2" s="751"/>
      <c r="I2" s="752" t="s">
        <v>102</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3"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44"/>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45">
        <f>C13</f>
        <v>3165941</v>
      </c>
      <c r="Z14" s="746"/>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47" t="s">
        <v>94</v>
      </c>
      <c r="B26" s="747"/>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38" t="s">
        <v>95</v>
      </c>
      <c r="B27" s="738"/>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39" t="s">
        <v>96</v>
      </c>
      <c r="B28" s="739"/>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47" t="s">
        <v>97</v>
      </c>
      <c r="B29" s="747"/>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38" t="s">
        <v>98</v>
      </c>
      <c r="B30" s="738"/>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39" t="s">
        <v>99</v>
      </c>
      <c r="B31" s="739"/>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8" t="s">
        <v>299</v>
      </c>
      <c r="C33" s="174" t="s">
        <v>184</v>
      </c>
      <c r="D33" s="175"/>
      <c r="E33" s="175"/>
      <c r="F33" s="175"/>
      <c r="G33" s="175"/>
      <c r="H33" s="175"/>
      <c r="I33" s="175"/>
      <c r="J33" s="175"/>
      <c r="K33" s="175"/>
      <c r="L33" s="175"/>
      <c r="M33" s="175"/>
      <c r="N33" s="175"/>
      <c r="O33" s="175"/>
      <c r="P33" s="175"/>
      <c r="Q33" s="175"/>
      <c r="R33" s="175"/>
      <c r="S33" s="175"/>
      <c r="Y33" s="740">
        <f>C23</f>
        <v>1505104</v>
      </c>
      <c r="Z33" s="741"/>
    </row>
    <row r="34" spans="1:26" x14ac:dyDescent="0.25">
      <c r="A34" s="57"/>
      <c r="B34" s="748"/>
      <c r="C34" s="174" t="s">
        <v>105</v>
      </c>
      <c r="D34" s="175"/>
      <c r="E34" s="175"/>
      <c r="F34" s="175"/>
      <c r="G34" s="175"/>
      <c r="H34" s="175"/>
      <c r="I34" s="175"/>
      <c r="J34" s="175"/>
      <c r="K34" s="175"/>
      <c r="L34" s="175"/>
      <c r="M34" s="175"/>
      <c r="N34" s="175"/>
      <c r="O34" s="175"/>
      <c r="P34" s="175"/>
      <c r="Q34" s="175"/>
      <c r="R34" s="175"/>
      <c r="S34" s="175"/>
    </row>
    <row r="35" spans="1:26" x14ac:dyDescent="0.25">
      <c r="A35" s="57"/>
      <c r="B35" s="748"/>
      <c r="C35" s="174" t="s">
        <v>62</v>
      </c>
      <c r="D35" s="176"/>
      <c r="E35" s="176"/>
      <c r="F35" s="176"/>
      <c r="G35" s="176"/>
      <c r="H35" s="176"/>
      <c r="I35" s="176"/>
      <c r="J35" s="176"/>
      <c r="K35" s="176"/>
      <c r="L35" s="176"/>
      <c r="M35" s="176"/>
      <c r="N35" s="176"/>
      <c r="O35" s="176"/>
      <c r="P35" s="176"/>
      <c r="Q35" s="176"/>
      <c r="R35" s="176"/>
      <c r="S35" s="176"/>
    </row>
    <row r="36" spans="1:26" x14ac:dyDescent="0.25">
      <c r="A36" s="57"/>
      <c r="B36" s="748"/>
      <c r="C36" s="174" t="s">
        <v>213</v>
      </c>
      <c r="D36" s="177"/>
      <c r="E36" s="177"/>
      <c r="F36" s="177"/>
      <c r="G36" s="177"/>
      <c r="H36" s="177"/>
      <c r="I36" s="177"/>
      <c r="J36" s="177"/>
      <c r="K36" s="177"/>
      <c r="L36" s="177"/>
      <c r="M36" s="177"/>
      <c r="N36" s="177"/>
      <c r="O36" s="177"/>
      <c r="P36" s="177"/>
      <c r="Q36" s="177"/>
      <c r="R36" s="177"/>
      <c r="S36" s="177"/>
    </row>
    <row r="37" spans="1:26" x14ac:dyDescent="0.25">
      <c r="B37" s="748"/>
      <c r="C37" s="174" t="s">
        <v>214</v>
      </c>
      <c r="D37" s="177"/>
      <c r="E37" s="177"/>
      <c r="F37" s="177"/>
      <c r="G37" s="177"/>
      <c r="H37" s="177"/>
      <c r="I37" s="177"/>
      <c r="J37" s="177"/>
      <c r="K37" s="177"/>
      <c r="L37" s="177"/>
      <c r="M37" s="177"/>
      <c r="N37" s="177"/>
      <c r="O37" s="177"/>
      <c r="P37" s="177"/>
      <c r="Q37" s="177"/>
      <c r="R37" s="177"/>
      <c r="S37" s="177"/>
    </row>
    <row r="38" spans="1:26" x14ac:dyDescent="0.25">
      <c r="B38" s="748"/>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42"/>
      <c r="H40" s="742"/>
      <c r="I40" s="742"/>
      <c r="J40" s="742"/>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37"/>
      <c r="H49" s="737"/>
      <c r="I49" s="737"/>
      <c r="J49" s="737"/>
    </row>
    <row r="50" spans="7:10" x14ac:dyDescent="0.25">
      <c r="G50" s="261"/>
      <c r="H50" s="261"/>
      <c r="I50" s="261"/>
      <c r="J50" s="261"/>
    </row>
    <row r="51" spans="7:10" x14ac:dyDescent="0.25">
      <c r="G51" s="737"/>
      <c r="H51" s="737"/>
      <c r="I51" s="737"/>
      <c r="J51" s="737"/>
    </row>
    <row r="52" spans="7:10" ht="15" customHeight="1" x14ac:dyDescent="0.25">
      <c r="G52" s="737"/>
      <c r="H52" s="737"/>
      <c r="I52" s="737"/>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429</v>
      </c>
      <c r="C2" s="750"/>
      <c r="D2" s="750"/>
      <c r="E2" s="750"/>
      <c r="F2" s="750"/>
      <c r="G2" s="751"/>
      <c r="I2" s="752" t="s">
        <v>430</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K5" sqref="K5"/>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712</v>
      </c>
      <c r="D1" s="362" t="s">
        <v>713</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PLANTILLA!Y7+1.5+PLANTILLA!J7</f>
        <v>17.271969263057564</v>
      </c>
      <c r="C2" s="159">
        <f>PLANTILLA!AB7+1.5+PLANTILLA!J7</f>
        <v>12.491969263057557</v>
      </c>
      <c r="D2" s="387">
        <f t="shared" ref="D2:D20" si="0">(C2*2+B2)/8</f>
        <v>5.2819884736465852</v>
      </c>
      <c r="E2" s="159">
        <f>D2*PLANTILLA!R7</f>
        <v>5.2819884736465852</v>
      </c>
      <c r="F2" s="159">
        <f>E2*PLANTILLA!S7</f>
        <v>5.2819884736465852</v>
      </c>
      <c r="H2" t="str">
        <f>A2</f>
        <v>B. Pinczehelyi</v>
      </c>
      <c r="I2" s="159">
        <f>D2</f>
        <v>5.2819884736465852</v>
      </c>
      <c r="J2" s="159">
        <f t="shared" ref="J2:K2" si="1">E2</f>
        <v>5.2819884736465852</v>
      </c>
      <c r="K2" s="159">
        <f t="shared" si="1"/>
        <v>5.2819884736465852</v>
      </c>
      <c r="M2" t="str">
        <f>A2</f>
        <v>B. Pinczehelyi</v>
      </c>
      <c r="N2" s="159">
        <f>D2</f>
        <v>5.2819884736465852</v>
      </c>
      <c r="O2" s="159">
        <f t="shared" ref="O2:P2" si="2">E2</f>
        <v>5.2819884736465852</v>
      </c>
      <c r="P2" s="159">
        <f t="shared" si="2"/>
        <v>5.2819884736465852</v>
      </c>
    </row>
    <row r="3" spans="1:16" x14ac:dyDescent="0.25">
      <c r="A3" t="str">
        <f>PLANTILLA!D16</f>
        <v>C. Rojas</v>
      </c>
      <c r="B3" s="159">
        <f>PLANTILLA!Y16+1.5+PLANTILLA!J16</f>
        <v>11.546463883619058</v>
      </c>
      <c r="C3" s="159">
        <f>PLANTILLA!AB16+1.5+PLANTILLA!J16</f>
        <v>13.028908328063499</v>
      </c>
      <c r="D3" s="387">
        <f t="shared" si="0"/>
        <v>4.7005350674682571</v>
      </c>
      <c r="E3" s="159">
        <f>D3*PLANTILLA!R16</f>
        <v>3.972677211771392</v>
      </c>
      <c r="F3" s="159">
        <f>E3*PLANTILLA!S16</f>
        <v>3.6749181474125971</v>
      </c>
      <c r="H3" s="159" t="str">
        <f>A7</f>
        <v>E. Toney</v>
      </c>
      <c r="I3" s="159">
        <f>D7</f>
        <v>5.030286965602925</v>
      </c>
      <c r="J3" s="159">
        <f t="shared" ref="J3:K3" si="3">E7</f>
        <v>4.2513684314847113</v>
      </c>
      <c r="K3" s="159">
        <f t="shared" si="3"/>
        <v>3.9327209756449868</v>
      </c>
      <c r="M3" t="str">
        <f>A7</f>
        <v>E. Toney</v>
      </c>
      <c r="N3" s="159">
        <f>D7</f>
        <v>5.030286965602925</v>
      </c>
      <c r="O3" s="159">
        <f t="shared" ref="O3:P3" si="4">E7</f>
        <v>4.2513684314847113</v>
      </c>
      <c r="P3" s="159">
        <f t="shared" si="4"/>
        <v>3.9327209756449868</v>
      </c>
    </row>
    <row r="4" spans="1:16" x14ac:dyDescent="0.25">
      <c r="A4" t="str">
        <f>PLANTILLA!D12</f>
        <v>E. Romweber</v>
      </c>
      <c r="B4" s="159">
        <f>PLANTILLA!Y12+1.5+PLANTILLA!J12</f>
        <v>14.94846885462278</v>
      </c>
      <c r="C4" s="159">
        <f>PLANTILLA!AB12+1.5+PLANTILLA!J12</f>
        <v>13.908468854622781</v>
      </c>
      <c r="D4" s="387">
        <f t="shared" si="0"/>
        <v>5.3456758204835424</v>
      </c>
      <c r="E4" s="159">
        <f>D4*PLANTILLA!R12</f>
        <v>4.0409510887344604</v>
      </c>
      <c r="F4" s="159">
        <f>E4*PLANTILLA!S12</f>
        <v>3.4118100694647131</v>
      </c>
      <c r="H4" t="str">
        <f t="shared" ref="H4:H6" si="5">A4</f>
        <v>E. Romweber</v>
      </c>
      <c r="I4" s="159">
        <f t="shared" ref="I4:I6" si="6">D4</f>
        <v>5.3456758204835424</v>
      </c>
      <c r="J4" s="159">
        <f t="shared" ref="J4" si="7">E4</f>
        <v>4.0409510887344604</v>
      </c>
      <c r="K4" s="159">
        <f t="shared" ref="K4" si="8">F4</f>
        <v>3.4118100694647131</v>
      </c>
      <c r="M4" t="str">
        <f t="shared" ref="M4" si="9">A4</f>
        <v>E. Romweber</v>
      </c>
      <c r="N4" s="159">
        <f t="shared" ref="N4" si="10">D4</f>
        <v>5.3456758204835424</v>
      </c>
      <c r="O4" s="159">
        <f t="shared" ref="O4" si="11">E4</f>
        <v>4.0409510887344604</v>
      </c>
      <c r="P4" s="159">
        <f t="shared" ref="P4" si="12">F4</f>
        <v>3.4118100694647131</v>
      </c>
    </row>
    <row r="5" spans="1:16" x14ac:dyDescent="0.25">
      <c r="A5" t="str">
        <f>PLANTILLA!D8</f>
        <v>D. Toh</v>
      </c>
      <c r="B5" s="159">
        <f>PLANTILLA!Y8+1.5+PLANTILLA!J8</f>
        <v>13.739225234285724</v>
      </c>
      <c r="C5" s="159">
        <f>PLANTILLA!AB8+1.5+PLANTILLA!J8</f>
        <v>10.462003012063503</v>
      </c>
      <c r="D5" s="387">
        <f t="shared" si="0"/>
        <v>4.3329039073015911</v>
      </c>
      <c r="E5" s="159">
        <f>D5*PLANTILLA!R8</f>
        <v>3.2753674838457347</v>
      </c>
      <c r="F5" s="159">
        <f>E5*PLANTILLA!S8</f>
        <v>2.7654211885256768</v>
      </c>
      <c r="H5" s="159" t="str">
        <f>A12</f>
        <v>B. Bartolache</v>
      </c>
      <c r="I5" s="159">
        <f>D12</f>
        <v>4.7801686123525853</v>
      </c>
      <c r="J5" s="159">
        <f t="shared" ref="J5:K5" si="13">E12</f>
        <v>4.7801686123525853</v>
      </c>
      <c r="K5" s="159">
        <f t="shared" si="13"/>
        <v>4.7801686123525853</v>
      </c>
      <c r="M5" s="159" t="str">
        <f>H5</f>
        <v>B. Bartolache</v>
      </c>
      <c r="N5" s="159">
        <f t="shared" ref="N5:P5" si="14">I5</f>
        <v>4.7801686123525853</v>
      </c>
      <c r="O5" s="159">
        <f t="shared" si="14"/>
        <v>4.7801686123525853</v>
      </c>
      <c r="P5" s="159">
        <f t="shared" si="14"/>
        <v>4.7801686123525853</v>
      </c>
    </row>
    <row r="6" spans="1:16" x14ac:dyDescent="0.25">
      <c r="A6" t="str">
        <f>PLANTILLA!D17</f>
        <v>E. Gross</v>
      </c>
      <c r="B6" s="159">
        <f>PLANTILLA!Y17+1.5+PLANTILLA!J17</f>
        <v>13.18909516504352</v>
      </c>
      <c r="C6" s="159">
        <f>PLANTILLA!AB17+1.5+PLANTILLA!J17</f>
        <v>12.079095165043524</v>
      </c>
      <c r="D6" s="387">
        <f t="shared" si="0"/>
        <v>4.6684106868913213</v>
      </c>
      <c r="E6" s="159">
        <f>D6*PLANTILLA!R17</f>
        <v>4.3221084479169685</v>
      </c>
      <c r="F6" s="159">
        <f>E6*PLANTILLA!S17</f>
        <v>4.3190201242300823</v>
      </c>
      <c r="H6" t="str">
        <f t="shared" si="5"/>
        <v>E. Gross</v>
      </c>
      <c r="I6" s="159">
        <f t="shared" si="6"/>
        <v>4.6684106868913213</v>
      </c>
      <c r="J6" s="159">
        <f t="shared" ref="J6" si="15">E6</f>
        <v>4.3221084479169685</v>
      </c>
      <c r="K6" s="159">
        <f t="shared" ref="K6" si="16">F6</f>
        <v>4.3190201242300823</v>
      </c>
      <c r="N6" s="438"/>
      <c r="O6" s="438"/>
      <c r="P6" s="438"/>
    </row>
    <row r="7" spans="1:16" x14ac:dyDescent="0.25">
      <c r="A7" t="str">
        <f>PLANTILLA!D9</f>
        <v>E. Toney</v>
      </c>
      <c r="B7" s="159">
        <f>PLANTILLA!Y9+1.5+PLANTILLA!J9</f>
        <v>15.054098574941136</v>
      </c>
      <c r="C7" s="159">
        <f>PLANTILLA!AB9+1.5+PLANTILLA!J9</f>
        <v>12.594098574941132</v>
      </c>
      <c r="D7" s="387">
        <f t="shared" si="0"/>
        <v>5.030286965602925</v>
      </c>
      <c r="E7" s="159">
        <f>D7*PLANTILLA!R9</f>
        <v>4.2513684314847113</v>
      </c>
      <c r="F7" s="159">
        <f>E7*PLANTILLA!S9</f>
        <v>3.9327209756449868</v>
      </c>
      <c r="I7" s="455">
        <f>SUM(I2:I6)</f>
        <v>25.10653055897696</v>
      </c>
      <c r="J7" s="455">
        <f t="shared" ref="J7:K7" si="17">SUM(J2:J6)</f>
        <v>22.676585054135309</v>
      </c>
      <c r="K7" s="455">
        <f t="shared" si="17"/>
        <v>21.725708255338954</v>
      </c>
      <c r="L7" s="455"/>
      <c r="M7" s="455"/>
      <c r="N7" s="455">
        <f>SUM(N2:N6)</f>
        <v>20.43811987208564</v>
      </c>
      <c r="O7" s="455">
        <f t="shared" ref="O7:P7" si="18">SUM(O2:O6)</f>
        <v>18.354476606218341</v>
      </c>
      <c r="P7" s="455">
        <f t="shared" si="18"/>
        <v>17.406688131108872</v>
      </c>
    </row>
    <row r="8" spans="1:16" x14ac:dyDescent="0.25">
      <c r="A8" t="str">
        <f>PLANTILLA!D24</f>
        <v>P .Trivadi</v>
      </c>
      <c r="B8" s="159">
        <f>PLANTILLA!Y24+1.5+PLANTILLA!J24</f>
        <v>6.5657873992714419</v>
      </c>
      <c r="C8" s="159">
        <f>PLANTILLA!AB24+1.5+PLANTILLA!J24</f>
        <v>13.365787399271442</v>
      </c>
      <c r="D8" s="387">
        <f t="shared" si="0"/>
        <v>4.1621702747267904</v>
      </c>
      <c r="E8" s="159">
        <f>D8*PLANTILLA!R24</f>
        <v>3.5176759165899054</v>
      </c>
      <c r="F8" s="159">
        <f>E8*PLANTILLA!S24</f>
        <v>3.2540199904206011</v>
      </c>
    </row>
    <row r="9" spans="1:16" x14ac:dyDescent="0.25">
      <c r="A9" t="str">
        <f>PLANTILLA!D13</f>
        <v>K. Helms</v>
      </c>
      <c r="B9" s="159">
        <f>PLANTILLA!Y13+1.5+PLANTILLA!J13</f>
        <v>10.014104591311225</v>
      </c>
      <c r="C9" s="159">
        <f>PLANTILLA!AB13+1.5+PLANTILLA!J13</f>
        <v>13.264104591311224</v>
      </c>
      <c r="D9" s="387">
        <f t="shared" si="0"/>
        <v>4.5677892217417089</v>
      </c>
      <c r="E9" s="159">
        <f>D9*PLANTILLA!R13</f>
        <v>3.8604864954580647</v>
      </c>
      <c r="F9" s="159">
        <f>E9*PLANTILLA!S13</f>
        <v>3.5711363203541571</v>
      </c>
    </row>
    <row r="10" spans="1:16" x14ac:dyDescent="0.25">
      <c r="A10" t="str">
        <f>PLANTILLA!D22</f>
        <v>J. Limon</v>
      </c>
      <c r="B10" s="159">
        <f>PLANTILLA!Y22+1.5+PLANTILLA!J22</f>
        <v>9.7061426278300171</v>
      </c>
      <c r="C10" s="159">
        <f>PLANTILLA!AB22+1.5+PLANTILLA!J22</f>
        <v>12.578523580210968</v>
      </c>
      <c r="D10" s="387">
        <f t="shared" si="0"/>
        <v>4.3578987235314939</v>
      </c>
      <c r="E10" s="159">
        <f>D10*PLANTILLA!R22</f>
        <v>4.3578987235314939</v>
      </c>
      <c r="F10" s="159">
        <f>E10*PLANTILLA!S22</f>
        <v>4.3578987235314939</v>
      </c>
      <c r="H10" s="159"/>
    </row>
    <row r="11" spans="1:16" x14ac:dyDescent="0.25">
      <c r="A11" t="str">
        <f>PLANTILLA!D23</f>
        <v>L. Calosso</v>
      </c>
      <c r="B11" s="159">
        <f>PLANTILLA!Y23+1.5+PLANTILLA!J23</f>
        <v>4.8989573635602417</v>
      </c>
      <c r="C11" s="159">
        <f>PLANTILLA!AB23+1.5+PLANTILLA!J23</f>
        <v>17.918957363560242</v>
      </c>
      <c r="D11" s="387">
        <f t="shared" si="0"/>
        <v>5.0921090113350909</v>
      </c>
      <c r="E11" s="159">
        <f>D11*PLANTILLA!R23</f>
        <v>5.0921090113350909</v>
      </c>
      <c r="F11" s="159">
        <f>E11*PLANTILLA!S23</f>
        <v>5.0921090113350909</v>
      </c>
    </row>
    <row r="12" spans="1:16" x14ac:dyDescent="0.25">
      <c r="A12" t="str">
        <f>PLANTILLA!D10</f>
        <v>B. Bartolache</v>
      </c>
      <c r="B12" s="159">
        <f>PLANTILLA!Y10+1.5+PLANTILLA!J10</f>
        <v>14.500449632940226</v>
      </c>
      <c r="C12" s="159">
        <f>PLANTILLA!AB10+1.5+PLANTILLA!J10</f>
        <v>11.870449632940227</v>
      </c>
      <c r="D12" s="387">
        <f t="shared" si="0"/>
        <v>4.7801686123525853</v>
      </c>
      <c r="E12" s="159">
        <f>D12*PLANTILLA!R10</f>
        <v>4.7801686123525853</v>
      </c>
      <c r="F12" s="159">
        <f>E12*PLANTILLA!S10</f>
        <v>4.7801686123525853</v>
      </c>
    </row>
    <row r="13" spans="1:16" x14ac:dyDescent="0.25">
      <c r="A13" t="str">
        <f>PLANTILLA!D14</f>
        <v>S. Zobbe</v>
      </c>
      <c r="B13" s="159">
        <f>PLANTILLA!Y14+1.5+PLANTILLA!J14</f>
        <v>10.935695645688325</v>
      </c>
      <c r="C13" s="159">
        <f>PLANTILLA!AB14+1.5+PLANTILLA!J14</f>
        <v>13.055695645688326</v>
      </c>
      <c r="D13" s="387">
        <f t="shared" si="0"/>
        <v>4.6308858671331219</v>
      </c>
      <c r="E13" s="159">
        <f>D13*PLANTILLA!R14</f>
        <v>3.5006206726736973</v>
      </c>
      <c r="F13" s="159">
        <f>E13*PLANTILLA!S14</f>
        <v>2.9556044104817145</v>
      </c>
    </row>
    <row r="14" spans="1:16" x14ac:dyDescent="0.25">
      <c r="A14" t="str">
        <f>PLANTILLA!D15</f>
        <v>S. Buschelman</v>
      </c>
      <c r="B14" s="159">
        <f>PLANTILLA!Y15+1.5+PLANTILLA!J15</f>
        <v>12.102873135115296</v>
      </c>
      <c r="C14" s="159">
        <f>PLANTILLA!AB15+1.5+PLANTILLA!J15</f>
        <v>12.582539801781966</v>
      </c>
      <c r="D14" s="387">
        <f t="shared" si="0"/>
        <v>4.6584940923349034</v>
      </c>
      <c r="E14" s="159">
        <f>D14*PLANTILLA!R15</f>
        <v>4.312927465355342</v>
      </c>
      <c r="F14" s="159">
        <f>E14*PLANTILLA!S15</f>
        <v>4.3098457018569043</v>
      </c>
    </row>
    <row r="15" spans="1:16" x14ac:dyDescent="0.25">
      <c r="A15" t="str">
        <f>PLANTILLA!D6</f>
        <v>T. Hammond</v>
      </c>
      <c r="B15" s="159">
        <f>PLANTILLA!Y6+1.5+PLANTILLA!J6</f>
        <v>13.554310229533556</v>
      </c>
      <c r="C15" s="159">
        <f>PLANTILLA!AB6+1.5+PLANTILLA!J6</f>
        <v>9.3037546739780019</v>
      </c>
      <c r="D15" s="387">
        <f t="shared" si="0"/>
        <v>4.020227447186195</v>
      </c>
      <c r="E15" s="159">
        <f>D15*PLANTILLA!R6</f>
        <v>3.3977123319657752</v>
      </c>
      <c r="F15" s="159">
        <f>E15*PLANTILLA!S6</f>
        <v>3.1430478850460219</v>
      </c>
    </row>
    <row r="16" spans="1:16" x14ac:dyDescent="0.25">
      <c r="A16" t="str">
        <f>PLANTILLA!D11</f>
        <v>F. Lasprilla</v>
      </c>
      <c r="B16" s="159">
        <f>PLANTILLA!Y11+1.5+PLANTILLA!J11</f>
        <v>12.107469348856192</v>
      </c>
      <c r="C16" s="159">
        <f>PLANTILLA!AB11+1.5+PLANTILLA!J11</f>
        <v>11.391136015522857</v>
      </c>
      <c r="D16" s="387">
        <f t="shared" si="0"/>
        <v>4.3612176724877383</v>
      </c>
      <c r="E16" s="159">
        <f>D16*PLANTILLA!R11</f>
        <v>4.0377029806724121</v>
      </c>
      <c r="F16" s="159">
        <f>E16*PLANTILLA!S11</f>
        <v>4.0348178763521272</v>
      </c>
    </row>
    <row r="17" spans="1:6" x14ac:dyDescent="0.25">
      <c r="A17" t="str">
        <f>PLANTILLA!D18</f>
        <v>L. Bauman</v>
      </c>
      <c r="B17" s="159">
        <f>PLANTILLA!Y18+1.5+PLANTILLA!J18</f>
        <v>8.0598329675392364</v>
      </c>
      <c r="C17" s="159">
        <f>PLANTILLA!AB18+1.5+PLANTILLA!J18</f>
        <v>11.918721856428128</v>
      </c>
      <c r="D17" s="387">
        <f t="shared" si="0"/>
        <v>3.9871595850494366</v>
      </c>
      <c r="E17" s="159">
        <f>D17*PLANTILLA!R18</f>
        <v>3.9871595850494366</v>
      </c>
      <c r="F17" s="159">
        <f>E17*PLANTILLA!S18</f>
        <v>3.9871595850494366</v>
      </c>
    </row>
    <row r="18" spans="1:6" x14ac:dyDescent="0.25">
      <c r="A18" t="str">
        <f>PLANTILLA!D19</f>
        <v>W. Gelifini</v>
      </c>
      <c r="B18" s="159">
        <f>PLANTILLA!Y19+1.5+PLANTILLA!J19</f>
        <v>8.0635155613369101</v>
      </c>
      <c r="C18" s="159">
        <f>PLANTILLA!AB19+1.5+PLANTILLA!J19</f>
        <v>11.698626672448022</v>
      </c>
      <c r="D18" s="387">
        <f t="shared" si="0"/>
        <v>3.9325961132791192</v>
      </c>
      <c r="E18" s="159">
        <f>D18*PLANTILLA!R19</f>
        <v>3.6408765259612221</v>
      </c>
      <c r="F18" s="159">
        <f>E18*PLANTILLA!S19</f>
        <v>3.6382749704121995</v>
      </c>
    </row>
    <row r="19" spans="1:6" x14ac:dyDescent="0.25">
      <c r="A19" t="str">
        <f>PLANTILLA!D20</f>
        <v>M. Amico</v>
      </c>
      <c r="B19" s="159">
        <f>PLANTILLA!Y20+1.5+PLANTILLA!J20</f>
        <v>4.432674685540718</v>
      </c>
      <c r="C19" s="159">
        <f>PLANTILLA!AB20+1.5+PLANTILLA!J20</f>
        <v>9.2215635744296076</v>
      </c>
      <c r="D19" s="387">
        <f t="shared" si="0"/>
        <v>2.8594752292999916</v>
      </c>
      <c r="E19" s="159">
        <f>D19*PLANTILLA!R20</f>
        <v>2.6473596420876575</v>
      </c>
      <c r="F19" s="159">
        <f>E19*PLANTILLA!S20</f>
        <v>2.6454679950850686</v>
      </c>
    </row>
    <row r="20" spans="1:6" x14ac:dyDescent="0.25">
      <c r="A20" t="str">
        <f>PLANTILLA!D5</f>
        <v>D. Gehmacher</v>
      </c>
      <c r="B20" s="159">
        <f>PLANTILLA!Y5+1.5+PLANTILLA!J5</f>
        <v>15.040771762390913</v>
      </c>
      <c r="C20" s="159">
        <f>PLANTILLA!AB5+1.5+PLANTILLA!J5</f>
        <v>4.2480444896636369</v>
      </c>
      <c r="D20" s="387">
        <f t="shared" si="0"/>
        <v>2.9421075927147733</v>
      </c>
      <c r="E20" s="159">
        <f>D20*PLANTILLA!R5</f>
        <v>2.7238623450287727</v>
      </c>
      <c r="F20" s="159">
        <f>E20*PLANTILLA!S5</f>
        <v>2.7219160337084203</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43"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44"/>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45">
        <f>C13</f>
        <v>3470401</v>
      </c>
      <c r="Z14" s="746"/>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47" t="s">
        <v>94</v>
      </c>
      <c r="B26" s="747"/>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38" t="s">
        <v>95</v>
      </c>
      <c r="B27" s="738"/>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39" t="s">
        <v>96</v>
      </c>
      <c r="B28" s="739"/>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47" t="s">
        <v>97</v>
      </c>
      <c r="B29" s="747"/>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38" t="s">
        <v>98</v>
      </c>
      <c r="B30" s="738"/>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39" t="s">
        <v>99</v>
      </c>
      <c r="B31" s="739"/>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8"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40">
        <f>C23</f>
        <v>4347517</v>
      </c>
      <c r="Z33" s="741"/>
    </row>
    <row r="34" spans="1:26" x14ac:dyDescent="0.25">
      <c r="A34" s="57"/>
      <c r="B34" s="748"/>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48"/>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48"/>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48"/>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48"/>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42"/>
      <c r="H40" s="742"/>
      <c r="I40" s="742"/>
      <c r="J40" s="742"/>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37"/>
      <c r="H49" s="737"/>
      <c r="I49" s="737"/>
      <c r="J49" s="737"/>
    </row>
    <row r="50" spans="7:10" x14ac:dyDescent="0.25">
      <c r="G50" s="283"/>
      <c r="H50" s="283"/>
      <c r="I50" s="283"/>
      <c r="J50" s="283"/>
    </row>
    <row r="51" spans="7:10" x14ac:dyDescent="0.25">
      <c r="G51" s="737"/>
      <c r="H51" s="737"/>
      <c r="I51" s="737"/>
      <c r="J51" s="737"/>
    </row>
    <row r="52" spans="7:10" ht="15" customHeight="1" x14ac:dyDescent="0.25">
      <c r="G52" s="737"/>
      <c r="H52" s="737"/>
      <c r="I52" s="737"/>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490</v>
      </c>
      <c r="C2" s="750"/>
      <c r="D2" s="750"/>
      <c r="E2" s="750"/>
      <c r="F2" s="750"/>
      <c r="G2" s="751"/>
      <c r="I2" s="759" t="s">
        <v>491</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43"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44"/>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45">
        <f>C13</f>
        <v>3901063</v>
      </c>
      <c r="Z14" s="746"/>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47" t="s">
        <v>94</v>
      </c>
      <c r="B26" s="747"/>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38" t="s">
        <v>95</v>
      </c>
      <c r="B27" s="738"/>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39" t="s">
        <v>96</v>
      </c>
      <c r="B28" s="739"/>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47" t="s">
        <v>97</v>
      </c>
      <c r="B29" s="747"/>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38" t="s">
        <v>98</v>
      </c>
      <c r="B30" s="738"/>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39" t="s">
        <v>99</v>
      </c>
      <c r="B31" s="739"/>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48"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40">
        <f>C23</f>
        <v>2535782</v>
      </c>
      <c r="Z34" s="741"/>
    </row>
    <row r="35" spans="1:26" x14ac:dyDescent="0.25">
      <c r="A35" s="57"/>
      <c r="B35" s="748"/>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48"/>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48"/>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48"/>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48"/>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42"/>
      <c r="H41" s="742"/>
      <c r="I41" s="742"/>
      <c r="J41" s="742"/>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37"/>
      <c r="H46" s="737"/>
      <c r="I46" s="737"/>
      <c r="J46" s="737"/>
    </row>
    <row r="47" spans="1:26" x14ac:dyDescent="0.25">
      <c r="G47" s="358"/>
      <c r="H47" s="358"/>
      <c r="I47" s="358"/>
      <c r="J47" s="358"/>
    </row>
    <row r="48" spans="1:26" x14ac:dyDescent="0.25">
      <c r="G48" s="737"/>
      <c r="H48" s="737"/>
      <c r="I48" s="737"/>
      <c r="J48" s="737"/>
    </row>
    <row r="49" spans="7:10" ht="15" customHeight="1" x14ac:dyDescent="0.25">
      <c r="G49" s="737"/>
      <c r="H49" s="737"/>
      <c r="I49" s="737"/>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586</v>
      </c>
      <c r="C2" s="750"/>
      <c r="D2" s="750"/>
      <c r="E2" s="750"/>
      <c r="F2" s="750"/>
      <c r="G2" s="751"/>
      <c r="I2" s="759" t="s">
        <v>587</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649</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43"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44"/>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45">
        <f>C13</f>
        <v>5218072</v>
      </c>
      <c r="Z14" s="746"/>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47" t="s">
        <v>94</v>
      </c>
      <c r="B26" s="747"/>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38" t="s">
        <v>95</v>
      </c>
      <c r="B27" s="738"/>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39" t="s">
        <v>96</v>
      </c>
      <c r="B28" s="739"/>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47" t="s">
        <v>97</v>
      </c>
      <c r="B29" s="747"/>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38" t="s">
        <v>98</v>
      </c>
      <c r="B30" s="738"/>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39" t="s">
        <v>99</v>
      </c>
      <c r="B31" s="739"/>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48"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40">
        <f>C23</f>
        <v>4415274</v>
      </c>
      <c r="Z34" s="741"/>
    </row>
    <row r="35" spans="1:26" x14ac:dyDescent="0.25">
      <c r="A35" s="57"/>
      <c r="B35" s="748"/>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48"/>
      <c r="C36" s="174" t="s">
        <v>62</v>
      </c>
      <c r="D36" s="176"/>
      <c r="E36" s="176" t="s">
        <v>592</v>
      </c>
      <c r="F36" s="176"/>
      <c r="G36" s="176"/>
      <c r="H36" s="176"/>
      <c r="I36" s="176"/>
      <c r="J36" s="176" t="s">
        <v>636</v>
      </c>
      <c r="K36" s="176" t="s">
        <v>639</v>
      </c>
      <c r="L36" s="176" t="s">
        <v>642</v>
      </c>
      <c r="M36" s="176" t="s">
        <v>636</v>
      </c>
      <c r="N36" s="176"/>
      <c r="O36" s="176"/>
      <c r="P36" s="176" t="s">
        <v>644</v>
      </c>
      <c r="Q36" s="176" t="s">
        <v>645</v>
      </c>
      <c r="R36" s="176" t="s">
        <v>646</v>
      </c>
      <c r="S36" s="176" t="s">
        <v>648</v>
      </c>
    </row>
    <row r="37" spans="1:26" x14ac:dyDescent="0.25">
      <c r="A37" s="57"/>
      <c r="B37" s="748"/>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48"/>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48"/>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42"/>
      <c r="H41" s="742"/>
      <c r="I41" s="742"/>
      <c r="J41" s="742"/>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37"/>
      <c r="H46" s="737"/>
      <c r="I46" s="737"/>
      <c r="J46" s="737"/>
    </row>
    <row r="47" spans="1:26" x14ac:dyDescent="0.25">
      <c r="G47" s="393"/>
      <c r="H47" s="393"/>
      <c r="I47" s="393"/>
      <c r="J47" s="393"/>
    </row>
    <row r="48" spans="1:26" x14ac:dyDescent="0.25">
      <c r="G48" s="737"/>
      <c r="H48" s="737"/>
      <c r="I48" s="737"/>
      <c r="J48" s="737"/>
      <c r="P48" s="413"/>
    </row>
    <row r="49" spans="7:10" ht="15" customHeight="1" x14ac:dyDescent="0.25">
      <c r="G49" s="737"/>
      <c r="H49" s="737"/>
      <c r="I49" s="737"/>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693</v>
      </c>
      <c r="C2" s="750"/>
      <c r="D2" s="750"/>
      <c r="E2" s="750"/>
      <c r="F2" s="750"/>
      <c r="G2" s="751"/>
      <c r="I2" s="759" t="s">
        <v>587</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647</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692</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43"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44"/>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45">
        <f>C13</f>
        <v>6564204.3711659508</v>
      </c>
      <c r="Z14" s="746"/>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47" t="s">
        <v>94</v>
      </c>
      <c r="B26" s="747"/>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38" t="s">
        <v>95</v>
      </c>
      <c r="B27" s="738"/>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39" t="s">
        <v>96</v>
      </c>
      <c r="B28" s="739"/>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47" t="s">
        <v>97</v>
      </c>
      <c r="B29" s="747"/>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38" t="s">
        <v>98</v>
      </c>
      <c r="B30" s="738"/>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39" t="s">
        <v>99</v>
      </c>
      <c r="B31" s="739"/>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48"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40">
        <f>C23</f>
        <v>4502296</v>
      </c>
      <c r="Z34" s="741"/>
    </row>
    <row r="35" spans="1:26" x14ac:dyDescent="0.25">
      <c r="A35" s="57"/>
      <c r="B35" s="748"/>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48"/>
      <c r="C36" s="174" t="s">
        <v>62</v>
      </c>
      <c r="D36" s="176" t="s">
        <v>696</v>
      </c>
      <c r="E36" s="176" t="s">
        <v>697</v>
      </c>
      <c r="F36" s="176" t="s">
        <v>698</v>
      </c>
      <c r="G36" s="176" t="s">
        <v>700</v>
      </c>
      <c r="H36" s="176" t="s">
        <v>704</v>
      </c>
      <c r="I36" s="176" t="s">
        <v>706</v>
      </c>
      <c r="J36" s="176" t="s">
        <v>707</v>
      </c>
      <c r="K36" s="176" t="s">
        <v>709</v>
      </c>
      <c r="L36" s="176" t="s">
        <v>711</v>
      </c>
      <c r="M36" s="176" t="s">
        <v>714</v>
      </c>
      <c r="N36" s="176" t="s">
        <v>715</v>
      </c>
      <c r="O36" s="176" t="s">
        <v>721</v>
      </c>
      <c r="P36" s="176" t="s">
        <v>725</v>
      </c>
      <c r="Q36" s="176" t="s">
        <v>714</v>
      </c>
      <c r="R36" s="176" t="s">
        <v>751</v>
      </c>
      <c r="S36" s="176" t="s">
        <v>698</v>
      </c>
    </row>
    <row r="37" spans="1:26" x14ac:dyDescent="0.25">
      <c r="A37" s="57"/>
      <c r="B37" s="748"/>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48"/>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48"/>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42"/>
      <c r="H41" s="742"/>
      <c r="I41" s="742"/>
      <c r="J41" s="742"/>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734</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37"/>
      <c r="H46" s="737"/>
      <c r="I46" s="737"/>
      <c r="J46" s="737"/>
    </row>
    <row r="47" spans="1:26" x14ac:dyDescent="0.25">
      <c r="G47" s="424"/>
      <c r="H47" s="424"/>
      <c r="I47" s="424"/>
      <c r="J47" s="424"/>
    </row>
    <row r="48" spans="1:26" x14ac:dyDescent="0.25">
      <c r="G48" s="737"/>
      <c r="H48" s="737"/>
      <c r="I48" s="737"/>
      <c r="J48" s="737"/>
      <c r="P48" s="413"/>
    </row>
    <row r="49" spans="7:10" ht="15" customHeight="1" x14ac:dyDescent="0.25">
      <c r="G49" s="737"/>
      <c r="H49" s="737"/>
      <c r="I49" s="737"/>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49" t="s">
        <v>695</v>
      </c>
      <c r="C2" s="750"/>
      <c r="D2" s="750"/>
      <c r="E2" s="750"/>
      <c r="F2" s="750"/>
      <c r="G2" s="751"/>
      <c r="I2" s="759" t="s">
        <v>587</v>
      </c>
      <c r="J2" s="759"/>
      <c r="K2" s="759"/>
      <c r="L2" s="759"/>
      <c r="M2" s="759"/>
      <c r="N2" s="759"/>
      <c r="O2" s="759"/>
      <c r="P2" s="759"/>
      <c r="Q2" s="759"/>
      <c r="R2" s="759"/>
      <c r="S2" s="759"/>
      <c r="T2" s="759"/>
    </row>
    <row r="3" spans="2:21"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56" t="s">
        <v>114</v>
      </c>
      <c r="C4" s="757"/>
      <c r="D4" s="109"/>
      <c r="E4" s="758" t="s">
        <v>115</v>
      </c>
      <c r="F4" s="757"/>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705</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750</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0">
        <v>125000</v>
      </c>
      <c r="J6" s="490">
        <v>567000</v>
      </c>
      <c r="K6" s="490">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1">
        <f t="shared" ref="I7:K7" si="4">H7*(1+I43)</f>
        <v>132296.52871784955</v>
      </c>
      <c r="J7" s="491">
        <f t="shared" si="4"/>
        <v>133696.42525623669</v>
      </c>
      <c r="K7" s="491">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0"/>
      <c r="J8" s="490">
        <v>0</v>
      </c>
      <c r="K8" s="490"/>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0"/>
      <c r="J9" s="497">
        <v>95000</v>
      </c>
      <c r="K9" s="490"/>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1"/>
      <c r="J10" s="491">
        <v>0</v>
      </c>
      <c r="K10" s="491"/>
      <c r="L10" s="72">
        <v>0</v>
      </c>
      <c r="M10" s="72">
        <v>0</v>
      </c>
      <c r="N10" s="72">
        <v>7920</v>
      </c>
      <c r="O10" s="72">
        <v>0</v>
      </c>
      <c r="P10" s="72">
        <v>0</v>
      </c>
      <c r="Q10" s="72">
        <v>0</v>
      </c>
      <c r="R10" s="72">
        <v>0</v>
      </c>
      <c r="S10" s="70">
        <v>13520</v>
      </c>
      <c r="Y10" s="67" t="s">
        <v>77</v>
      </c>
      <c r="Z10" s="71">
        <f t="shared" si="5"/>
        <v>3.1039581409092768E-3</v>
      </c>
    </row>
    <row r="11" spans="1:26" x14ac:dyDescent="0.25">
      <c r="A11" s="743" t="s">
        <v>78</v>
      </c>
      <c r="B11" s="67" t="s">
        <v>79</v>
      </c>
      <c r="C11" s="68">
        <f t="shared" si="3"/>
        <v>82440</v>
      </c>
      <c r="D11" s="72">
        <v>270</v>
      </c>
      <c r="E11" s="72">
        <v>300</v>
      </c>
      <c r="F11" s="72">
        <v>240</v>
      </c>
      <c r="G11" s="72">
        <v>180</v>
      </c>
      <c r="H11" s="72">
        <v>180</v>
      </c>
      <c r="I11" s="491"/>
      <c r="J11" s="491"/>
      <c r="K11" s="491"/>
      <c r="L11" s="72"/>
      <c r="M11" s="72">
        <v>240</v>
      </c>
      <c r="N11" s="72">
        <v>300</v>
      </c>
      <c r="O11" s="72">
        <v>120</v>
      </c>
      <c r="P11" s="72">
        <v>0</v>
      </c>
      <c r="Q11" s="72">
        <v>0</v>
      </c>
      <c r="R11" s="72">
        <v>0</v>
      </c>
      <c r="S11" s="70">
        <f>80580+30</f>
        <v>80610</v>
      </c>
      <c r="Y11" s="67" t="s">
        <v>79</v>
      </c>
      <c r="Z11" s="71">
        <f t="shared" si="5"/>
        <v>1.1935182329130635E-2</v>
      </c>
    </row>
    <row r="12" spans="1:26" x14ac:dyDescent="0.25">
      <c r="A12" s="744"/>
      <c r="B12" s="67" t="s">
        <v>80</v>
      </c>
      <c r="C12" s="68">
        <f t="shared" si="3"/>
        <v>25000</v>
      </c>
      <c r="D12" s="72">
        <v>0</v>
      </c>
      <c r="E12" s="72">
        <v>0</v>
      </c>
      <c r="F12" s="72">
        <v>0</v>
      </c>
      <c r="G12" s="72">
        <v>0</v>
      </c>
      <c r="H12" s="72">
        <v>0</v>
      </c>
      <c r="I12" s="491"/>
      <c r="J12" s="491">
        <v>0</v>
      </c>
      <c r="K12" s="491"/>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2">
        <f t="shared" ref="I13:S13" si="7">SUM(I6:I12)</f>
        <v>257296.52871784955</v>
      </c>
      <c r="J13" s="492">
        <f t="shared" si="7"/>
        <v>795696.42525623669</v>
      </c>
      <c r="K13" s="492">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3">
        <f t="shared" ref="I14:J14" si="8">H14+200</f>
        <v>65470</v>
      </c>
      <c r="J14" s="493">
        <f t="shared" si="8"/>
        <v>65670</v>
      </c>
      <c r="K14" s="493">
        <v>66550</v>
      </c>
      <c r="L14" s="83">
        <v>66550</v>
      </c>
      <c r="M14" s="83">
        <v>68690</v>
      </c>
      <c r="N14" s="83">
        <v>68710</v>
      </c>
      <c r="O14" s="83">
        <v>69590</v>
      </c>
      <c r="P14" s="83">
        <v>69590</v>
      </c>
      <c r="Q14" s="83">
        <v>69710</v>
      </c>
      <c r="R14" s="83">
        <v>71090</v>
      </c>
      <c r="S14" s="70">
        <v>71850</v>
      </c>
      <c r="Y14" s="745">
        <f>C13</f>
        <v>6907309.643589247</v>
      </c>
      <c r="Z14" s="746"/>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3">
        <f t="shared" si="9"/>
        <v>34706</v>
      </c>
      <c r="J15" s="493">
        <f t="shared" si="9"/>
        <v>34706</v>
      </c>
      <c r="K15" s="493">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6">
        <f t="shared" si="10"/>
        <v>0</v>
      </c>
      <c r="J16" s="496">
        <f t="shared" si="10"/>
        <v>0</v>
      </c>
      <c r="K16" s="496">
        <f t="shared" si="10"/>
        <v>0</v>
      </c>
      <c r="L16" s="496">
        <f t="shared" si="10"/>
        <v>0</v>
      </c>
      <c r="M16" s="496">
        <f t="shared" si="10"/>
        <v>0</v>
      </c>
      <c r="N16" s="496">
        <f t="shared" si="10"/>
        <v>0</v>
      </c>
      <c r="O16" s="496">
        <v>112900</v>
      </c>
      <c r="P16" s="496">
        <v>0</v>
      </c>
      <c r="Q16" s="496">
        <f t="shared" si="10"/>
        <v>0</v>
      </c>
      <c r="R16" s="496">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6">
        <f t="shared" si="11"/>
        <v>120000</v>
      </c>
      <c r="J17" s="496">
        <f t="shared" si="11"/>
        <v>120000</v>
      </c>
      <c r="K17" s="496">
        <f t="shared" si="11"/>
        <v>120000</v>
      </c>
      <c r="L17" s="496">
        <f t="shared" si="11"/>
        <v>120000</v>
      </c>
      <c r="M17" s="496">
        <f t="shared" si="11"/>
        <v>120000</v>
      </c>
      <c r="N17" s="496">
        <f t="shared" si="11"/>
        <v>120000</v>
      </c>
      <c r="O17" s="496">
        <f t="shared" si="11"/>
        <v>120000</v>
      </c>
      <c r="P17" s="496">
        <f t="shared" si="11"/>
        <v>120000</v>
      </c>
      <c r="Q17" s="496">
        <f t="shared" si="11"/>
        <v>120000</v>
      </c>
      <c r="R17" s="496">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6">
        <f t="shared" si="11"/>
        <v>20000</v>
      </c>
      <c r="J18" s="496">
        <f t="shared" si="11"/>
        <v>20000</v>
      </c>
      <c r="K18" s="496">
        <f t="shared" si="11"/>
        <v>20000</v>
      </c>
      <c r="L18" s="496">
        <f t="shared" si="11"/>
        <v>20000</v>
      </c>
      <c r="M18" s="496">
        <f t="shared" si="11"/>
        <v>20000</v>
      </c>
      <c r="N18" s="496">
        <f t="shared" si="11"/>
        <v>20000</v>
      </c>
      <c r="O18" s="496">
        <f t="shared" si="11"/>
        <v>20000</v>
      </c>
      <c r="P18" s="496">
        <f t="shared" si="11"/>
        <v>20000</v>
      </c>
      <c r="Q18" s="496">
        <f t="shared" si="11"/>
        <v>20000</v>
      </c>
      <c r="R18" s="496">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3">
        <f t="shared" si="11"/>
        <v>0</v>
      </c>
      <c r="J19" s="493">
        <f t="shared" si="11"/>
        <v>0</v>
      </c>
      <c r="K19" s="493">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3">
        <f t="shared" si="11"/>
        <v>0</v>
      </c>
      <c r="J20" s="493">
        <f t="shared" si="11"/>
        <v>0</v>
      </c>
      <c r="K20" s="493">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3">
        <v>0</v>
      </c>
      <c r="J21" s="493">
        <v>4000</v>
      </c>
      <c r="K21" s="493">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3">
        <f t="shared" si="11"/>
        <v>0</v>
      </c>
      <c r="J22" s="493">
        <f t="shared" si="11"/>
        <v>0</v>
      </c>
      <c r="K22" s="493">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4">
        <f t="shared" si="12"/>
        <v>240176</v>
      </c>
      <c r="J23" s="494">
        <f t="shared" si="12"/>
        <v>244376</v>
      </c>
      <c r="K23" s="494">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5">
        <f t="shared" si="13"/>
        <v>5748972.8998837993</v>
      </c>
      <c r="J24" s="495">
        <f t="shared" si="13"/>
        <v>6300293.3251400357</v>
      </c>
      <c r="K24" s="495">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47" t="s">
        <v>94</v>
      </c>
      <c r="B26" s="747"/>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38" t="s">
        <v>95</v>
      </c>
      <c r="B27" s="738"/>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39" t="s">
        <v>96</v>
      </c>
      <c r="B28" s="739"/>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47" t="s">
        <v>97</v>
      </c>
      <c r="B29" s="747"/>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38" t="s">
        <v>98</v>
      </c>
      <c r="B30" s="738"/>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39" t="s">
        <v>99</v>
      </c>
      <c r="B31" s="739"/>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48"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40">
        <f>C23</f>
        <v>4106107</v>
      </c>
      <c r="Z34" s="741"/>
    </row>
    <row r="35" spans="1:26" x14ac:dyDescent="0.25">
      <c r="A35" s="57"/>
      <c r="B35" s="748"/>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48"/>
      <c r="C36" s="174" t="s">
        <v>62</v>
      </c>
      <c r="D36" s="176" t="s">
        <v>756</v>
      </c>
      <c r="E36" s="176"/>
      <c r="F36" s="176" t="s">
        <v>714</v>
      </c>
      <c r="G36" s="176" t="s">
        <v>767</v>
      </c>
      <c r="H36" s="176" t="s">
        <v>773</v>
      </c>
      <c r="I36" s="176"/>
      <c r="J36" s="176"/>
      <c r="K36" s="176"/>
      <c r="L36" s="176"/>
      <c r="M36" s="176" t="s">
        <v>775</v>
      </c>
      <c r="N36" s="176" t="s">
        <v>778</v>
      </c>
      <c r="O36" s="176" t="s">
        <v>780</v>
      </c>
      <c r="P36" s="176" t="s">
        <v>784</v>
      </c>
      <c r="Q36" s="176"/>
      <c r="R36" s="176" t="s">
        <v>791</v>
      </c>
      <c r="S36" s="176" t="s">
        <v>792</v>
      </c>
    </row>
    <row r="37" spans="1:26" x14ac:dyDescent="0.25">
      <c r="A37" s="57"/>
      <c r="B37" s="748"/>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48"/>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48"/>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3"/>
      <c r="G41" s="742"/>
      <c r="H41" s="742"/>
      <c r="I41" s="742"/>
      <c r="J41" s="742"/>
    </row>
    <row r="42" spans="1:26" x14ac:dyDescent="0.25">
      <c r="C42" s="4" t="s">
        <v>578</v>
      </c>
      <c r="D42" s="9">
        <v>85845</v>
      </c>
      <c r="E42" s="371">
        <v>92875</v>
      </c>
      <c r="F42" s="264">
        <v>97870</v>
      </c>
      <c r="G42" s="484">
        <v>101200</v>
      </c>
      <c r="H42" s="484">
        <v>103420</v>
      </c>
      <c r="I42" s="484">
        <v>104900</v>
      </c>
      <c r="J42" s="484">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37"/>
      <c r="H46" s="737"/>
      <c r="I46" s="737"/>
      <c r="J46" s="737"/>
      <c r="M46" s="413"/>
    </row>
    <row r="47" spans="1:26" x14ac:dyDescent="0.25">
      <c r="E47" s="106"/>
      <c r="G47" s="484"/>
      <c r="H47" s="484"/>
      <c r="I47" s="484"/>
      <c r="J47" s="484"/>
    </row>
    <row r="48" spans="1:26" x14ac:dyDescent="0.25">
      <c r="G48" s="737"/>
      <c r="H48" s="737"/>
      <c r="I48" s="737"/>
      <c r="J48" s="737"/>
      <c r="P48" s="413"/>
    </row>
    <row r="49" spans="7:10" ht="15" customHeight="1" x14ac:dyDescent="0.25">
      <c r="G49" s="737"/>
      <c r="H49" s="737"/>
      <c r="I49" s="737"/>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754</v>
      </c>
      <c r="C2" s="750"/>
      <c r="D2" s="750"/>
      <c r="E2" s="750"/>
      <c r="F2" s="750"/>
      <c r="G2" s="751"/>
      <c r="I2" s="759" t="s">
        <v>755</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765</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774</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776</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779</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19" t="str">
        <f>PLANTILLA!D4</f>
        <v>Jugador</v>
      </c>
      <c r="B1" s="619" t="s">
        <v>845</v>
      </c>
      <c r="C1" s="619" t="str">
        <f>PLANTILLA!AC4</f>
        <v>An</v>
      </c>
      <c r="D1" s="619" t="str">
        <f>PLANTILLA!AD4</f>
        <v>PA</v>
      </c>
      <c r="E1" s="619" t="str">
        <f>PLANTILLA!AI4</f>
        <v>TL</v>
      </c>
      <c r="F1" s="619" t="str">
        <f>PLANTILLA!AJ4</f>
        <v>PEN</v>
      </c>
      <c r="G1" s="619" t="str">
        <f>PLANTILLA!AK4</f>
        <v>BPiA</v>
      </c>
      <c r="H1" s="619" t="str">
        <f>PLANTILLA!AL4</f>
        <v>BPiD</v>
      </c>
    </row>
    <row r="2" spans="1:15" x14ac:dyDescent="0.25">
      <c r="A2" t="str">
        <f>PLANTILLA!D22</f>
        <v>J. Limon</v>
      </c>
      <c r="B2" s="159">
        <f>PLANTILLA!J22</f>
        <v>1.3885235802109668</v>
      </c>
      <c r="C2" s="290">
        <f>PLANTILLA!AC22</f>
        <v>8.5625000000000018</v>
      </c>
      <c r="D2" s="290">
        <f>PLANTILLA!AD22</f>
        <v>18.639999999999993</v>
      </c>
      <c r="E2" s="159">
        <f>PLANTILLA!AI22</f>
        <v>23.249387112266234</v>
      </c>
      <c r="F2" s="159">
        <f>PLANTILLA!AJ22</f>
        <v>18.505273580210961</v>
      </c>
      <c r="G2" s="159">
        <f>PLANTILLA!AK22</f>
        <v>1.2184068864168771</v>
      </c>
      <c r="H2" s="159">
        <f>PLANTILLA!AL22</f>
        <v>1.0341014125195296</v>
      </c>
      <c r="K2" t="str">
        <f>A4</f>
        <v>L. Calosso</v>
      </c>
      <c r="L2" s="438">
        <f>B2</f>
        <v>1.3885235802109668</v>
      </c>
      <c r="M2" s="438">
        <f t="shared" ref="M2:N2" si="0">C2</f>
        <v>8.5625000000000018</v>
      </c>
      <c r="N2" s="438">
        <f t="shared" si="0"/>
        <v>18.639999999999993</v>
      </c>
      <c r="O2" s="438"/>
    </row>
    <row r="3" spans="1:15" x14ac:dyDescent="0.25">
      <c r="A3" t="str">
        <f>PLANTILLA!D12</f>
        <v>E. Romweber</v>
      </c>
      <c r="B3" s="159">
        <f>PLANTILLA!J12</f>
        <v>1.4984688546227811</v>
      </c>
      <c r="C3" s="290">
        <f>PLANTILLA!AC12</f>
        <v>7.7700000000000005</v>
      </c>
      <c r="D3" s="290">
        <f>PLANTILLA!AD12</f>
        <v>17.13</v>
      </c>
      <c r="E3" s="159">
        <f>PLANTILLA!AI12</f>
        <v>16.136298282794442</v>
      </c>
      <c r="F3" s="159">
        <f>PLANTILLA!AJ12</f>
        <v>13.093043765820465</v>
      </c>
      <c r="G3" s="159">
        <f>PLANTILLA!AK12</f>
        <v>1.1422775083698222</v>
      </c>
      <c r="H3" s="159">
        <f>PLANTILLA!AL12</f>
        <v>1.2017928198235945</v>
      </c>
      <c r="K3" t="str">
        <f>A5</f>
        <v>L. Bauman</v>
      </c>
      <c r="L3" s="438">
        <f t="shared" ref="L3:L11" si="1">B3</f>
        <v>1.4984688546227811</v>
      </c>
      <c r="M3" s="438">
        <f t="shared" ref="M3:M11" si="2">C3</f>
        <v>7.7700000000000005</v>
      </c>
      <c r="N3" s="438">
        <f t="shared" ref="N3:N11" si="3">D3</f>
        <v>17.13</v>
      </c>
      <c r="O3" s="438"/>
    </row>
    <row r="4" spans="1:15" x14ac:dyDescent="0.25">
      <c r="A4" t="str">
        <f>PLANTILLA!D23</f>
        <v>L. Calosso</v>
      </c>
      <c r="B4" s="159">
        <f>PLANTILLA!J23</f>
        <v>1.3989573635602419</v>
      </c>
      <c r="C4" s="290">
        <f>PLANTILLA!AC23</f>
        <v>10</v>
      </c>
      <c r="D4" s="290">
        <f>PLANTILLA!AD23</f>
        <v>9.3000000000000007</v>
      </c>
      <c r="E4" s="159">
        <f ca="1">PLANTILLA!AI23</f>
        <v>18.847572319889288</v>
      </c>
      <c r="F4" s="159">
        <f ca="1">PLANTILLA!AJ23</f>
        <v>11.651435438863931</v>
      </c>
      <c r="G4" s="159">
        <f ca="1">PLANTILLA!AK23</f>
        <v>0.95031483510911452</v>
      </c>
      <c r="H4" s="159">
        <f ca="1">PLANTILLA!AL23</f>
        <v>0.50890048072047522</v>
      </c>
      <c r="K4" t="str">
        <f>A6</f>
        <v>P .Trivadi</v>
      </c>
      <c r="L4" s="438">
        <f t="shared" si="1"/>
        <v>1.3989573635602419</v>
      </c>
      <c r="M4" s="438">
        <f t="shared" si="2"/>
        <v>10</v>
      </c>
      <c r="N4" s="438">
        <f t="shared" si="3"/>
        <v>9.3000000000000007</v>
      </c>
      <c r="O4" s="438"/>
    </row>
    <row r="5" spans="1:15" x14ac:dyDescent="0.25">
      <c r="A5" t="str">
        <f>PLANTILLA!D18</f>
        <v>L. Bauman</v>
      </c>
      <c r="B5" s="159">
        <f>PLANTILLA!J18</f>
        <v>1.2787218564281246</v>
      </c>
      <c r="C5" s="290">
        <f>PLANTILLA!AC18</f>
        <v>7.4318888888888894</v>
      </c>
      <c r="D5" s="290">
        <f>PLANTILLA!AD18</f>
        <v>16.07</v>
      </c>
      <c r="E5" s="159">
        <f>PLANTILLA!AI18</f>
        <v>19.71641085826171</v>
      </c>
      <c r="F5" s="159">
        <f>PLANTILLA!AJ18</f>
        <v>16.25728852309479</v>
      </c>
      <c r="G5" s="159">
        <f>PLANTILLA!AK18</f>
        <v>1.0759921929586944</v>
      </c>
      <c r="H5" s="159">
        <f>PLANTILLA!AL18</f>
        <v>0.8878549743944133</v>
      </c>
      <c r="K5" t="str">
        <f>A14</f>
        <v>D. Toh</v>
      </c>
      <c r="L5" s="438">
        <f t="shared" si="1"/>
        <v>1.2787218564281246</v>
      </c>
      <c r="M5" s="438">
        <f t="shared" si="2"/>
        <v>7.4318888888888894</v>
      </c>
      <c r="N5" s="438">
        <f t="shared" si="3"/>
        <v>16.07</v>
      </c>
      <c r="O5" s="438"/>
    </row>
    <row r="6" spans="1:15" x14ac:dyDescent="0.25">
      <c r="A6" t="str">
        <f>PLANTILLA!D24</f>
        <v>P .Trivadi</v>
      </c>
      <c r="B6" s="159">
        <f>PLANTILLA!J24</f>
        <v>1.0657873992714422</v>
      </c>
      <c r="C6" s="290">
        <f>PLANTILLA!AC24</f>
        <v>8.384500000000001</v>
      </c>
      <c r="D6" s="290">
        <f>PLANTILLA!AD24</f>
        <v>13.566666666666668</v>
      </c>
      <c r="E6" s="159">
        <f>PLANTILLA!AI24</f>
        <v>16.438526466985824</v>
      </c>
      <c r="F6" s="159">
        <f>PLANTILLA!AJ24</f>
        <v>12.320493130926264</v>
      </c>
      <c r="G6" s="159">
        <f>PLANTILLA!AK24</f>
        <v>1.0314879919417155</v>
      </c>
      <c r="H6" s="159">
        <f>PLANTILLA!AL24</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1.3156956456883264</v>
      </c>
      <c r="C7" s="290">
        <f>PLANTILLA!AC14</f>
        <v>7.4766666666666666</v>
      </c>
      <c r="D7" s="290">
        <f>PLANTILLA!AD14</f>
        <v>15.270000000000001</v>
      </c>
      <c r="E7" s="159">
        <f>PLANTILLA!AI14</f>
        <v>14.689554503759226</v>
      </c>
      <c r="F7" s="159">
        <f>PLANTILLA!AJ14</f>
        <v>11.904138971664581</v>
      </c>
      <c r="G7" s="159">
        <f>PLANTILLA!AK14</f>
        <v>1.0571889849883995</v>
      </c>
      <c r="H7" s="159">
        <f>PLANTILLA!AL14</f>
        <v>0.97999869519818295</v>
      </c>
      <c r="K7" t="str">
        <f>A13</f>
        <v>E. Toney</v>
      </c>
      <c r="L7" s="438">
        <f t="shared" si="1"/>
        <v>1.3156956456883264</v>
      </c>
      <c r="M7" s="438">
        <f t="shared" si="2"/>
        <v>7.4766666666666666</v>
      </c>
      <c r="N7" s="438">
        <f t="shared" si="3"/>
        <v>15.270000000000001</v>
      </c>
      <c r="O7" s="438"/>
    </row>
    <row r="8" spans="1:15" x14ac:dyDescent="0.25">
      <c r="A8" t="str">
        <f>PLANTILLA!D13</f>
        <v>K. Helms</v>
      </c>
      <c r="B8" s="159">
        <f>PLANTILLA!J13</f>
        <v>1.4041045913112262</v>
      </c>
      <c r="C8" s="290">
        <f>PLANTILLA!AC13</f>
        <v>5.4050000000000002</v>
      </c>
      <c r="D8" s="290">
        <f>PLANTILLA!AD13</f>
        <v>17.300000000000004</v>
      </c>
      <c r="E8" s="159">
        <f>PLANTILLA!AI13</f>
        <v>14.625708054372277</v>
      </c>
      <c r="F8" s="159">
        <f>PLANTILLA!AJ13</f>
        <v>14.059652000327929</v>
      </c>
      <c r="G8" s="159">
        <f>PLANTILLA!AK13</f>
        <v>1.0215783673048981</v>
      </c>
      <c r="H8" s="159">
        <f>PLANTILLA!AL13</f>
        <v>1.006687321391786</v>
      </c>
      <c r="K8" t="str">
        <f>A14</f>
        <v>D. Toh</v>
      </c>
      <c r="L8" s="438">
        <f t="shared" si="1"/>
        <v>1.4041045913112262</v>
      </c>
      <c r="M8" s="438">
        <f t="shared" si="2"/>
        <v>5.4050000000000002</v>
      </c>
      <c r="N8" s="438">
        <f t="shared" si="3"/>
        <v>17.300000000000004</v>
      </c>
      <c r="O8" s="438"/>
    </row>
    <row r="9" spans="1:15" x14ac:dyDescent="0.25">
      <c r="A9" t="str">
        <f>PLANTILLA!D15</f>
        <v>S. Buschelman</v>
      </c>
      <c r="B9" s="159">
        <f>PLANTILLA!J15</f>
        <v>1.4092064684486303</v>
      </c>
      <c r="C9" s="290">
        <f>PLANTILLA!AC15</f>
        <v>5.0296666666666656</v>
      </c>
      <c r="D9" s="290">
        <f>PLANTILLA!AD15</f>
        <v>15.2</v>
      </c>
      <c r="E9" s="159">
        <f>PLANTILLA!AI15</f>
        <v>14.385941686346632</v>
      </c>
      <c r="F9" s="159">
        <f>PLANTILLA!AJ15</f>
        <v>13.94109763300481</v>
      </c>
      <c r="G9" s="159">
        <f>PLANTILLA!AK15</f>
        <v>0.94021985080922366</v>
      </c>
      <c r="H9" s="159">
        <f>PLANTILLA!AL15</f>
        <v>1.0273911194580709</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1.4389083280634998</v>
      </c>
      <c r="C10" s="290">
        <f>PLANTILLA!AC16</f>
        <v>4.3999999999999995</v>
      </c>
      <c r="D10" s="290">
        <f>PLANTILLA!AD16</f>
        <v>16.544444444444441</v>
      </c>
      <c r="E10" s="159">
        <f>PLANTILLA!AI16</f>
        <v>12.929534768249406</v>
      </c>
      <c r="F10" s="159">
        <f>PLANTILLA!AJ16</f>
        <v>13.38725982400083</v>
      </c>
      <c r="G10" s="159">
        <f>PLANTILLA!AK16</f>
        <v>0.95144599957841314</v>
      </c>
      <c r="H10" s="159">
        <f>PLANTILLA!AL16</f>
        <v>1.0463591385200004</v>
      </c>
      <c r="K10" t="str">
        <f>A11</f>
        <v>B. Bartolache</v>
      </c>
      <c r="L10" s="438">
        <f t="shared" si="1"/>
        <v>1.4389083280634998</v>
      </c>
      <c r="M10" s="438">
        <f t="shared" si="2"/>
        <v>4.3999999999999995</v>
      </c>
      <c r="N10" s="438">
        <f t="shared" si="3"/>
        <v>16.544444444444441</v>
      </c>
      <c r="O10" s="438"/>
    </row>
    <row r="11" spans="1:15" x14ac:dyDescent="0.25">
      <c r="A11" t="str">
        <f>PLANTILLA!D10</f>
        <v>B. Bartolache</v>
      </c>
      <c r="B11" s="159">
        <f>PLANTILLA!J10</f>
        <v>1.3504496329402296</v>
      </c>
      <c r="C11" s="290">
        <f>PLANTILLA!AC10</f>
        <v>4.6199999999999966</v>
      </c>
      <c r="D11" s="290">
        <f>PLANTILLA!AD10</f>
        <v>15.6</v>
      </c>
      <c r="E11" s="159">
        <f>PLANTILLA!AI10</f>
        <v>14.948693688797904</v>
      </c>
      <c r="F11" s="159">
        <f>PLANTILLA!AJ10</f>
        <v>15.156449632940229</v>
      </c>
      <c r="G11" s="159">
        <f>PLANTILLA!AK10</f>
        <v>0.92703597063521814</v>
      </c>
      <c r="H11" s="159">
        <f>PLANTILLA!AL10</f>
        <v>1.133531474305816</v>
      </c>
      <c r="K11" t="str">
        <f>A12</f>
        <v>T. Hammond</v>
      </c>
      <c r="L11" s="438">
        <f t="shared" si="1"/>
        <v>1.3504496329402296</v>
      </c>
      <c r="M11" s="438">
        <f t="shared" si="2"/>
        <v>4.6199999999999966</v>
      </c>
      <c r="N11" s="438">
        <f t="shared" si="3"/>
        <v>15.6</v>
      </c>
      <c r="O11" s="438"/>
    </row>
    <row r="12" spans="1:15" x14ac:dyDescent="0.25">
      <c r="A12" t="str">
        <f>PLANTILLA!D6</f>
        <v>T. Hammond</v>
      </c>
      <c r="B12" s="159">
        <f>PLANTILLA!J6</f>
        <v>1.2593102295335583</v>
      </c>
      <c r="C12" s="290">
        <f>PLANTILLA!AC6</f>
        <v>3.99</v>
      </c>
      <c r="D12" s="290">
        <f>PLANTILLA!AD6</f>
        <v>15.778888888888888</v>
      </c>
      <c r="E12" s="159">
        <f>PLANTILLA!AI6</f>
        <v>11.663014193604974</v>
      </c>
      <c r="F12" s="159">
        <f>PLANTILLA!AJ6</f>
        <v>12.678608979049312</v>
      </c>
      <c r="G12" s="159">
        <f>PLANTILLA!AK6</f>
        <v>0.89361148502935117</v>
      </c>
      <c r="H12" s="159">
        <f>PLANTILLA!AL6</f>
        <v>1.0983183827340155</v>
      </c>
      <c r="M12" s="620">
        <f>AVERAGE(M2:M11)</f>
        <v>6.9080222222222218</v>
      </c>
      <c r="N12" s="620">
        <f>AVERAGE(N2:N11)</f>
        <v>15.46211111111111</v>
      </c>
      <c r="O12" s="621">
        <f>1.66*(M12+1.5)+0.55*(N12+1.5)-7.6</f>
        <v>15.686477999999999</v>
      </c>
    </row>
    <row r="13" spans="1:15" x14ac:dyDescent="0.25">
      <c r="A13" t="str">
        <f>PLANTILLA!D9</f>
        <v>E. Toney</v>
      </c>
      <c r="B13" s="159">
        <f>PLANTILLA!J9</f>
        <v>1.4940985749411331</v>
      </c>
      <c r="C13" s="290">
        <f>PLANTILLA!AC9</f>
        <v>3.6816666666666658</v>
      </c>
      <c r="D13" s="290">
        <f>PLANTILLA!AD9</f>
        <v>16.627777777777773</v>
      </c>
      <c r="E13" s="159">
        <f>PLANTILLA!AI9</f>
        <v>12.063564740827296</v>
      </c>
      <c r="F13" s="159">
        <f>PLANTILLA!AJ9</f>
        <v>13.301074018934147</v>
      </c>
      <c r="G13" s="159">
        <f>PLANTILLA!AK9</f>
        <v>0.92244455266195724</v>
      </c>
      <c r="H13" s="159">
        <f>PLANTILLA!AL9</f>
        <v>1.1908202335792126</v>
      </c>
    </row>
    <row r="14" spans="1:15" x14ac:dyDescent="0.25">
      <c r="A14" t="str">
        <f>PLANTILLA!D8</f>
        <v>D. Toh</v>
      </c>
      <c r="B14" s="159">
        <f>PLANTILLA!J8</f>
        <v>1.2392252342857237</v>
      </c>
      <c r="C14" s="290">
        <f>PLANTILLA!AC8</f>
        <v>4.383333333333332</v>
      </c>
      <c r="D14" s="290">
        <f>PLANTILLA!AD8</f>
        <v>15.349999999999998</v>
      </c>
      <c r="E14" s="159">
        <f>PLANTILLA!AI8</f>
        <v>10.713418938382441</v>
      </c>
      <c r="F14" s="159">
        <f>PLANTILLA!AJ8</f>
        <v>11.187162733243317</v>
      </c>
      <c r="G14" s="159">
        <f>PLANTILLA!AK8</f>
        <v>0.89880468540952452</v>
      </c>
      <c r="H14" s="159">
        <f>PLANTILLA!AL8</f>
        <v>1.0922457664000007</v>
      </c>
    </row>
    <row r="15" spans="1:15" x14ac:dyDescent="0.25">
      <c r="A15" t="str">
        <f>PLANTILLA!D17</f>
        <v>E. Gross</v>
      </c>
      <c r="B15" s="159">
        <f>PLANTILLA!J17</f>
        <v>1.3390951650435234</v>
      </c>
      <c r="C15" s="290">
        <f>PLANTILLA!AC17</f>
        <v>2.98</v>
      </c>
      <c r="D15" s="290">
        <f>PLANTILLA!AD17</f>
        <v>16.959999999999997</v>
      </c>
      <c r="E15" s="159">
        <f>PLANTILLA!AI17</f>
        <v>11.98862992737307</v>
      </c>
      <c r="F15" s="159">
        <f>PLANTILLA!AJ17</f>
        <v>14.447510762660752</v>
      </c>
      <c r="G15" s="159">
        <f>PLANTILLA!AK17</f>
        <v>0.88492761320348179</v>
      </c>
      <c r="H15" s="159">
        <f>PLANTILLA!AL17</f>
        <v>1.1215366615530464</v>
      </c>
    </row>
    <row r="16" spans="1:15" x14ac:dyDescent="0.25">
      <c r="A16" t="str">
        <f>PLANTILLA!D11</f>
        <v>F. Lasprilla</v>
      </c>
      <c r="B16" s="159">
        <f>PLANTILLA!J11</f>
        <v>1.0278026821895256</v>
      </c>
      <c r="C16" s="290">
        <f>PLANTILLA!AC11</f>
        <v>3.2566666666666673</v>
      </c>
      <c r="D16" s="290">
        <f>PLANTILLA!AD11</f>
        <v>13.238888888888889</v>
      </c>
      <c r="E16" s="159">
        <f>PLANTILLA!AI11</f>
        <v>9.8821106844932327</v>
      </c>
      <c r="F16" s="159">
        <f>PLANTILLA!AJ11</f>
        <v>11.824597371299996</v>
      </c>
      <c r="G16" s="159">
        <f>PLANTILLA!AK11</f>
        <v>0.7622242145751621</v>
      </c>
      <c r="H16" s="159">
        <f>PLANTILLA!AL11</f>
        <v>0.9572995210866001</v>
      </c>
    </row>
    <row r="17" spans="1:8" x14ac:dyDescent="0.25">
      <c r="A17" t="str">
        <f>PLANTILLA!D19</f>
        <v>W. Gelifini</v>
      </c>
      <c r="B17" s="159">
        <f>PLANTILLA!J19</f>
        <v>0.93196000578135851</v>
      </c>
      <c r="C17" s="290">
        <f>PLANTILLA!AC19</f>
        <v>3.5417777777777766</v>
      </c>
      <c r="D17" s="290">
        <f>PLANTILLA!AD19</f>
        <v>12.450000000000001</v>
      </c>
      <c r="E17" s="159">
        <f>PLANTILLA!AI19</f>
        <v>9.7224837831896327</v>
      </c>
      <c r="F17" s="159">
        <f>PLANTILLA!AJ19</f>
        <v>11.303794341391464</v>
      </c>
      <c r="G17" s="159">
        <f>PLANTILLA!AK19</f>
        <v>0.74514568935139747</v>
      </c>
      <c r="H17" s="159">
        <f>PLANTILLA!AL19</f>
        <v>0.76899942262691712</v>
      </c>
    </row>
    <row r="18" spans="1:8" x14ac:dyDescent="0.25">
      <c r="A18" t="str">
        <f>PLANTILLA!D5</f>
        <v>D. Gehmacher</v>
      </c>
      <c r="B18" s="159">
        <f>PLANTILLA!J5</f>
        <v>1.7080444896636369</v>
      </c>
      <c r="C18" s="290">
        <f>PLANTILLA!AC5</f>
        <v>0.14055555555555557</v>
      </c>
      <c r="D18" s="290">
        <f>PLANTILLA!AD5</f>
        <v>17.849999999999998</v>
      </c>
      <c r="E18" s="159">
        <f ca="1">PLANTILLA!AI5</f>
        <v>7.8098485376382243</v>
      </c>
      <c r="F18" s="159">
        <f ca="1">PLANTILLA!AJ5</f>
        <v>14.114322913807333</v>
      </c>
      <c r="G18" s="159">
        <f ca="1">PLANTILLA!AK5</f>
        <v>0.75917133695086869</v>
      </c>
      <c r="H18" s="159">
        <f ca="1">PLANTILLA!AL5</f>
        <v>1.1983722051855454</v>
      </c>
    </row>
    <row r="19" spans="1:8" x14ac:dyDescent="0.25">
      <c r="A19" t="str">
        <f>PLANTILLA!D20</f>
        <v>M. Amico</v>
      </c>
      <c r="B19" s="159">
        <f>PLANTILLA!J20</f>
        <v>0.45656357442960838</v>
      </c>
      <c r="C19" s="290">
        <f>PLANTILLA!AC20</f>
        <v>4.3299999999999983</v>
      </c>
      <c r="D19" s="290">
        <f>PLANTILLA!AD20</f>
        <v>9.5</v>
      </c>
      <c r="E19" s="159">
        <f>PLANTILLA!AI20</f>
        <v>8.4590381791397018</v>
      </c>
      <c r="F19" s="159">
        <f>PLANTILLA!AJ20</f>
        <v>9.170769856781769</v>
      </c>
      <c r="G19" s="159">
        <f>PLANTILLA!AK20</f>
        <v>0.65802508595436859</v>
      </c>
      <c r="H19" s="159">
        <f>PLANTILLA!AL20</f>
        <v>0.52100389465451702</v>
      </c>
    </row>
    <row r="20" spans="1:8" x14ac:dyDescent="0.25">
      <c r="A20" t="str">
        <f>PLANTILLA!D7</f>
        <v>B. Pinczehelyi</v>
      </c>
      <c r="B20" s="159">
        <f>PLANTILLA!J7</f>
        <v>1.5719692630575592</v>
      </c>
      <c r="C20" s="290">
        <f>PLANTILLA!AC7</f>
        <v>1.1428571428571428</v>
      </c>
      <c r="D20" s="290">
        <f>PLANTILLA!AD7</f>
        <v>9.4</v>
      </c>
      <c r="E20" s="159">
        <f ca="1">PLANTILLA!AI7</f>
        <v>5.1511949285000629</v>
      </c>
      <c r="F20" s="159">
        <f ca="1">PLANTILLA!AJ7</f>
        <v>9.4948264059147007</v>
      </c>
      <c r="G20" s="159">
        <f ca="1">PLANTILLA!AK7</f>
        <v>0.54490039818746183</v>
      </c>
      <c r="H20" s="159">
        <f ca="1">PLANTILLA!AL7</f>
        <v>1.0300378484140293</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7">
        <v>8310</v>
      </c>
      <c r="N6" s="497">
        <v>461286</v>
      </c>
      <c r="O6" s="497">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1">
        <v>187500</v>
      </c>
      <c r="N7" s="592">
        <v>187965</v>
      </c>
      <c r="O7" s="592">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0">
        <v>0</v>
      </c>
      <c r="N8" s="497">
        <v>0</v>
      </c>
      <c r="O8" s="497">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0">
        <v>0</v>
      </c>
      <c r="N9" s="497">
        <v>0</v>
      </c>
      <c r="O9" s="497">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1">
        <v>0</v>
      </c>
      <c r="N10" s="592">
        <v>0</v>
      </c>
      <c r="O10" s="592">
        <v>0</v>
      </c>
      <c r="P10" s="70">
        <v>0</v>
      </c>
      <c r="Q10" s="72">
        <v>10000</v>
      </c>
      <c r="R10" s="72">
        <v>120</v>
      </c>
      <c r="S10" s="72">
        <v>0</v>
      </c>
      <c r="Y10" s="67" t="s">
        <v>77</v>
      </c>
      <c r="Z10" s="71">
        <f t="shared" si="4"/>
        <v>1.4744551340901927E-3</v>
      </c>
    </row>
    <row r="11" spans="1:26" x14ac:dyDescent="0.25">
      <c r="A11" s="743" t="s">
        <v>78</v>
      </c>
      <c r="B11" s="67" t="s">
        <v>79</v>
      </c>
      <c r="C11" s="68">
        <f t="shared" si="3"/>
        <v>84270</v>
      </c>
      <c r="D11" s="72">
        <v>120</v>
      </c>
      <c r="E11" s="72">
        <v>60</v>
      </c>
      <c r="F11" s="72">
        <v>90</v>
      </c>
      <c r="G11" s="72">
        <v>0</v>
      </c>
      <c r="H11" s="72">
        <v>0</v>
      </c>
      <c r="I11" s="72">
        <v>0</v>
      </c>
      <c r="J11" s="72">
        <v>120</v>
      </c>
      <c r="K11" s="72">
        <v>300</v>
      </c>
      <c r="L11" s="72">
        <v>60</v>
      </c>
      <c r="M11" s="592">
        <v>240</v>
      </c>
      <c r="N11" s="592">
        <v>300</v>
      </c>
      <c r="O11" s="592">
        <v>300</v>
      </c>
      <c r="P11" s="70">
        <v>60</v>
      </c>
      <c r="Q11" s="72">
        <v>0</v>
      </c>
      <c r="R11" s="72">
        <v>180</v>
      </c>
      <c r="S11" s="72">
        <v>82440</v>
      </c>
      <c r="Y11" s="67" t="s">
        <v>79</v>
      </c>
      <c r="Z11" s="71">
        <f t="shared" si="4"/>
        <v>1.1677850953926741E-2</v>
      </c>
    </row>
    <row r="12" spans="1:26" x14ac:dyDescent="0.25">
      <c r="A12" s="744"/>
      <c r="B12" s="67" t="s">
        <v>80</v>
      </c>
      <c r="C12" s="68">
        <f t="shared" si="3"/>
        <v>0</v>
      </c>
      <c r="D12" s="72">
        <v>0</v>
      </c>
      <c r="E12" s="72">
        <v>0</v>
      </c>
      <c r="F12" s="72">
        <v>0</v>
      </c>
      <c r="G12" s="72"/>
      <c r="H12" s="72">
        <v>0</v>
      </c>
      <c r="I12" s="72">
        <v>0</v>
      </c>
      <c r="J12" s="72">
        <v>0</v>
      </c>
      <c r="K12" s="72">
        <v>0</v>
      </c>
      <c r="L12" s="72"/>
      <c r="M12" s="491">
        <v>0</v>
      </c>
      <c r="N12" s="592">
        <v>0</v>
      </c>
      <c r="O12" s="592">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3">
        <v>82690</v>
      </c>
      <c r="N14" s="496">
        <v>82690</v>
      </c>
      <c r="O14" s="496">
        <v>83870</v>
      </c>
      <c r="P14" s="70">
        <f t="shared" si="7"/>
        <v>83870</v>
      </c>
      <c r="Q14" s="83">
        <f t="shared" si="7"/>
        <v>83870</v>
      </c>
      <c r="R14" s="83">
        <f t="shared" si="7"/>
        <v>83870</v>
      </c>
      <c r="S14" s="83">
        <v>85220</v>
      </c>
      <c r="Y14" s="745">
        <f>C13</f>
        <v>7216225</v>
      </c>
      <c r="Z14" s="746"/>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6">
        <f t="shared" si="8"/>
        <v>35776</v>
      </c>
      <c r="N15" s="496">
        <f t="shared" si="8"/>
        <v>35776</v>
      </c>
      <c r="O15" s="496">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6">
        <f t="shared" si="9"/>
        <v>0</v>
      </c>
      <c r="N16" s="496">
        <f t="shared" si="9"/>
        <v>0</v>
      </c>
      <c r="O16" s="496">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6">
        <f t="shared" si="9"/>
        <v>65280.000000000007</v>
      </c>
      <c r="N17" s="496">
        <f t="shared" si="9"/>
        <v>65280.000000000007</v>
      </c>
      <c r="O17" s="496">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6">
        <f t="shared" si="9"/>
        <v>20000</v>
      </c>
      <c r="N18" s="496">
        <f t="shared" si="9"/>
        <v>20000</v>
      </c>
      <c r="O18" s="496">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3">
        <f t="shared" si="9"/>
        <v>0</v>
      </c>
      <c r="N19" s="496">
        <f t="shared" si="9"/>
        <v>0</v>
      </c>
      <c r="O19" s="496">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3">
        <f t="shared" si="9"/>
        <v>0</v>
      </c>
      <c r="N20" s="496">
        <f t="shared" si="9"/>
        <v>0</v>
      </c>
      <c r="O20" s="496">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3">
        <f t="shared" si="9"/>
        <v>2000</v>
      </c>
      <c r="N21" s="496">
        <v>6000</v>
      </c>
      <c r="O21" s="496">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3">
        <f t="shared" si="9"/>
        <v>0</v>
      </c>
      <c r="N22" s="496">
        <f t="shared" si="9"/>
        <v>0</v>
      </c>
      <c r="O22" s="496">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47" t="s">
        <v>94</v>
      </c>
      <c r="B26" s="747"/>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38" t="s">
        <v>95</v>
      </c>
      <c r="B27" s="738"/>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39" t="s">
        <v>96</v>
      </c>
      <c r="B28" s="739"/>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47" t="s">
        <v>97</v>
      </c>
      <c r="B29" s="747"/>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38" t="s">
        <v>98</v>
      </c>
      <c r="B30" s="738"/>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39" t="s">
        <v>99</v>
      </c>
      <c r="B31" s="739"/>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48"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40">
        <f>C23</f>
        <v>5755973</v>
      </c>
      <c r="Z34" s="741"/>
    </row>
    <row r="35" spans="1:26" x14ac:dyDescent="0.25">
      <c r="A35" s="57"/>
      <c r="B35" s="748"/>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48"/>
      <c r="C36" s="174" t="s">
        <v>803</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48"/>
      <c r="C37" s="174" t="s">
        <v>804</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48"/>
      <c r="C38" s="174" t="s">
        <v>805</v>
      </c>
      <c r="D38" s="176" t="s">
        <v>809</v>
      </c>
      <c r="E38" s="176" t="s">
        <v>818</v>
      </c>
      <c r="F38" s="176" t="s">
        <v>846</v>
      </c>
      <c r="G38" s="176" t="s">
        <v>847</v>
      </c>
      <c r="H38" s="176" t="s">
        <v>852</v>
      </c>
      <c r="I38" s="176" t="s">
        <v>854</v>
      </c>
      <c r="J38" s="176" t="s">
        <v>877</v>
      </c>
      <c r="K38" s="176" t="s">
        <v>878</v>
      </c>
      <c r="L38" s="176" t="s">
        <v>792</v>
      </c>
      <c r="M38" s="176"/>
      <c r="N38" s="176"/>
      <c r="O38" s="176" t="s">
        <v>907</v>
      </c>
      <c r="P38" s="176" t="s">
        <v>908</v>
      </c>
      <c r="Q38" s="176"/>
      <c r="R38" s="176"/>
      <c r="S38" s="176"/>
    </row>
    <row r="39" spans="1:26" x14ac:dyDescent="0.25">
      <c r="A39" s="57"/>
      <c r="B39" s="748"/>
      <c r="C39" s="174" t="s">
        <v>806</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48"/>
      <c r="C40" s="174" t="s">
        <v>807</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48"/>
      <c r="C41" s="174" t="s">
        <v>808</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498"/>
      <c r="G43" s="742"/>
      <c r="H43" s="742"/>
      <c r="I43" s="742"/>
      <c r="J43" s="742"/>
    </row>
    <row r="44" spans="1:26" x14ac:dyDescent="0.25">
      <c r="C44" s="4" t="s">
        <v>578</v>
      </c>
      <c r="D44" s="9">
        <v>85845</v>
      </c>
      <c r="E44" s="371">
        <v>92875</v>
      </c>
      <c r="F44" s="264">
        <v>97870</v>
      </c>
      <c r="G44" s="499">
        <v>101200</v>
      </c>
      <c r="H44" s="499">
        <v>103420</v>
      </c>
      <c r="I44" s="499">
        <v>104900</v>
      </c>
      <c r="J44" s="499">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37"/>
      <c r="H48" s="737"/>
      <c r="I48" s="737"/>
      <c r="J48" s="737"/>
      <c r="M48" s="413"/>
    </row>
    <row r="49" spans="5:16" x14ac:dyDescent="0.25">
      <c r="E49" s="106"/>
      <c r="G49" s="499"/>
      <c r="H49" s="499"/>
      <c r="I49" s="499"/>
      <c r="J49" s="499"/>
    </row>
    <row r="50" spans="5:16" x14ac:dyDescent="0.25">
      <c r="G50" s="737"/>
      <c r="H50" s="737"/>
      <c r="I50" s="737"/>
      <c r="J50" s="737"/>
      <c r="P50" s="413"/>
    </row>
    <row r="51" spans="5:16" ht="15" customHeight="1" x14ac:dyDescent="0.25">
      <c r="G51" s="737"/>
      <c r="H51" s="737"/>
      <c r="I51" s="737"/>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794</v>
      </c>
      <c r="C2" s="750"/>
      <c r="D2" s="750"/>
      <c r="E2" s="750"/>
      <c r="F2" s="750"/>
      <c r="G2" s="751"/>
      <c r="I2" s="760" t="s">
        <v>795</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848</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909</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4"/>
      <c r="J8" s="504"/>
      <c r="K8" s="504"/>
      <c r="L8" s="504"/>
      <c r="M8" s="504"/>
      <c r="N8" s="504"/>
      <c r="O8" s="504"/>
      <c r="P8" s="504"/>
      <c r="Q8" s="504"/>
      <c r="R8" s="504"/>
      <c r="S8" s="504"/>
    </row>
    <row r="9" spans="2:19" x14ac:dyDescent="0.25">
      <c r="B9" s="122" t="s">
        <v>120</v>
      </c>
      <c r="C9" s="123">
        <v>-2068800</v>
      </c>
      <c r="D9" s="220">
        <f>C9/C30</f>
        <v>-0.10308377332845778</v>
      </c>
      <c r="E9" s="221" t="s">
        <v>796</v>
      </c>
      <c r="F9" s="222">
        <f ca="1">'A-P_T47'!F11-EconomiaT47!C24+EconomiaT47!C5</f>
        <v>2985317.643589247</v>
      </c>
      <c r="G9" s="121">
        <f ca="1">F9/$F$30</f>
        <v>0.1487518403350733</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0</v>
      </c>
      <c r="D11" s="140">
        <f>C11/C30</f>
        <v>0</v>
      </c>
      <c r="E11" s="116" t="s">
        <v>797</v>
      </c>
      <c r="F11" s="117">
        <f>SUM(F12:F17)+C9</f>
        <v>2458112</v>
      </c>
      <c r="G11" s="118">
        <f t="shared" ref="G11:G17" ca="1" si="6">F11/$F$30</f>
        <v>0.12248233769526393</v>
      </c>
      <c r="I11" s="504"/>
      <c r="J11" s="504"/>
      <c r="K11" s="504"/>
      <c r="L11" s="504"/>
      <c r="M11" s="504"/>
      <c r="N11" s="504"/>
      <c r="O11" s="504"/>
      <c r="P11" s="504"/>
      <c r="Q11" s="504"/>
      <c r="R11" s="504"/>
      <c r="S11" s="504"/>
    </row>
    <row r="12" spans="2:19" x14ac:dyDescent="0.25">
      <c r="B12" s="129" t="s">
        <v>122</v>
      </c>
      <c r="C12" s="130">
        <f>SUMIF(I4:I516,"S",$P$4:$P$516)</f>
        <v>0</v>
      </c>
      <c r="D12" s="220">
        <f>C12/C30</f>
        <v>0</v>
      </c>
      <c r="E12" s="49" t="s">
        <v>123</v>
      </c>
      <c r="F12" s="131">
        <f>SUMIF(I4:I516,"J",$O$4:$O$516)</f>
        <v>-1052940</v>
      </c>
      <c r="G12" s="121">
        <f t="shared" ca="1" si="6"/>
        <v>-5.2465694261632993E-2</v>
      </c>
      <c r="I12" s="504"/>
      <c r="J12" s="504"/>
      <c r="K12" s="504"/>
      <c r="L12" s="504"/>
      <c r="M12" s="504"/>
      <c r="N12" s="504"/>
      <c r="O12" s="504"/>
      <c r="P12" s="504"/>
      <c r="Q12" s="504"/>
      <c r="R12" s="504"/>
      <c r="S12" s="504"/>
    </row>
    <row r="13" spans="2:19" x14ac:dyDescent="0.25">
      <c r="B13" s="129" t="s">
        <v>101</v>
      </c>
      <c r="C13" s="130">
        <f>SUMIF(I4:I516,"J",$P$4:$P$516)</f>
        <v>0</v>
      </c>
      <c r="D13" s="220">
        <f>C13/C30</f>
        <v>0</v>
      </c>
      <c r="E13" s="49" t="s">
        <v>124</v>
      </c>
      <c r="F13" s="131">
        <f>SUMIF(I4:I516,"S",$O$4:$O$516)</f>
        <v>0</v>
      </c>
      <c r="G13" s="121">
        <f t="shared" ca="1" si="6"/>
        <v>0</v>
      </c>
      <c r="I13" s="504"/>
      <c r="J13" s="504"/>
      <c r="K13" s="504"/>
      <c r="L13" s="504"/>
      <c r="M13" s="504"/>
      <c r="N13" s="504"/>
      <c r="O13" s="504"/>
      <c r="P13" s="504"/>
      <c r="Q13" s="504"/>
      <c r="R13" s="504"/>
      <c r="S13" s="504"/>
    </row>
    <row r="14" spans="2:19" x14ac:dyDescent="0.25">
      <c r="B14" s="129" t="s">
        <v>100</v>
      </c>
      <c r="C14" s="130">
        <f>SUMIF(I4:I516,"E",$P$4:$P$516)</f>
        <v>0</v>
      </c>
      <c r="D14" s="220">
        <f>C14/C30</f>
        <v>0</v>
      </c>
      <c r="E14" s="49" t="s">
        <v>125</v>
      </c>
      <c r="F14" s="131">
        <f>SUMIF(I4:I516,"C",$O$4:$O$516)</f>
        <v>476900</v>
      </c>
      <c r="G14" s="121">
        <f t="shared" ca="1" si="6"/>
        <v>2.3762882589105527E-2</v>
      </c>
      <c r="I14" s="504"/>
      <c r="J14" s="504"/>
      <c r="K14" s="504"/>
      <c r="L14" s="504"/>
      <c r="M14" s="504"/>
      <c r="N14" s="504"/>
      <c r="O14" s="504"/>
      <c r="P14" s="504"/>
      <c r="Q14" s="504"/>
      <c r="R14" s="504"/>
      <c r="S14" s="504"/>
    </row>
    <row r="15" spans="2:19" x14ac:dyDescent="0.25">
      <c r="B15" s="129" t="s">
        <v>126</v>
      </c>
      <c r="C15" s="130">
        <f>SUMIF(I4:I516,"M",$P$4:$P$516)</f>
        <v>0</v>
      </c>
      <c r="D15" s="220">
        <f>C15/C30</f>
        <v>0</v>
      </c>
      <c r="E15" s="49" t="s">
        <v>127</v>
      </c>
      <c r="F15" s="131">
        <f>SUMIF(I4:I516,"E",$O$4:$O$516)</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SUMIF(I4:I516,"M",$O$4:$O$516)</f>
        <v>0</v>
      </c>
      <c r="G16" s="121">
        <f t="shared" ca="1" si="6"/>
        <v>0</v>
      </c>
      <c r="I16" s="504"/>
      <c r="J16" s="504"/>
      <c r="K16" s="504"/>
      <c r="L16" s="504"/>
      <c r="M16" s="504"/>
      <c r="N16" s="504"/>
      <c r="O16" s="504"/>
      <c r="P16" s="504"/>
      <c r="Q16" s="504"/>
      <c r="R16" s="504"/>
      <c r="S16" s="504"/>
    </row>
    <row r="17" spans="2:11" x14ac:dyDescent="0.25">
      <c r="B17" s="116" t="s">
        <v>75</v>
      </c>
      <c r="C17" s="134">
        <f>C18+C19</f>
        <v>476900</v>
      </c>
      <c r="D17" s="140">
        <f>C17/C30</f>
        <v>2.3762882589105527E-2</v>
      </c>
      <c r="E17" s="135" t="s">
        <v>798</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799</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2"/>
      <c r="G22" s="503"/>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5" t="s">
        <v>91</v>
      </c>
      <c r="F29" s="506">
        <f>EconomiaT48!C22</f>
        <v>0</v>
      </c>
      <c r="G29" s="507">
        <f t="shared" ca="1" si="7"/>
        <v>0</v>
      </c>
    </row>
    <row r="30" spans="2:11" ht="18.75" x14ac:dyDescent="0.3">
      <c r="B30" s="146" t="s">
        <v>27</v>
      </c>
      <c r="C30" s="147">
        <f>C23+C21+C17+C11+C6</f>
        <v>20069114.014755197</v>
      </c>
      <c r="D30" s="508">
        <f>C30/C30</f>
        <v>1</v>
      </c>
      <c r="E30" s="146" t="s">
        <v>27</v>
      </c>
      <c r="F30" s="147">
        <f ca="1">F23+F19+F11+F6</f>
        <v>20069114.014755197</v>
      </c>
      <c r="G30" s="145">
        <f ca="1">F30/$F$30</f>
        <v>1</v>
      </c>
      <c r="J30" s="106"/>
    </row>
    <row r="31" spans="2:11" x14ac:dyDescent="0.25">
      <c r="C31" s="106"/>
      <c r="D31" s="509"/>
      <c r="E31" s="510" t="s">
        <v>738</v>
      </c>
      <c r="F31" s="511">
        <f ca="1">F30-C30</f>
        <v>0</v>
      </c>
      <c r="G31" s="106"/>
    </row>
    <row r="32" spans="2:11" x14ac:dyDescent="0.25">
      <c r="C32" s="106"/>
      <c r="D32" s="106"/>
      <c r="F32" s="106"/>
      <c r="G32" s="106"/>
      <c r="H32" s="106"/>
    </row>
    <row r="33" spans="2:7" ht="15.75" x14ac:dyDescent="0.25">
      <c r="B33" s="512" t="s">
        <v>800</v>
      </c>
      <c r="C33" s="513">
        <f>EconomiaT48!C24</f>
        <v>9386456.0147551969</v>
      </c>
      <c r="D33" s="106"/>
      <c r="E33" s="4" t="s">
        <v>801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7">
        <v>21921</v>
      </c>
      <c r="N6" s="497">
        <v>633023</v>
      </c>
      <c r="O6" s="497">
        <v>19414</v>
      </c>
      <c r="P6" s="497">
        <f>609647+15477</f>
        <v>625124</v>
      </c>
      <c r="Q6" s="497">
        <v>18667</v>
      </c>
      <c r="R6" s="497">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2">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0">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0">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1">
        <v>0</v>
      </c>
      <c r="N10" s="72">
        <v>0</v>
      </c>
      <c r="O10" s="72">
        <v>0</v>
      </c>
      <c r="P10" s="72">
        <v>0</v>
      </c>
      <c r="Q10" s="72">
        <v>39020</v>
      </c>
      <c r="R10" s="72">
        <v>0</v>
      </c>
      <c r="S10" s="70">
        <v>0</v>
      </c>
      <c r="Y10" s="67" t="s">
        <v>77</v>
      </c>
      <c r="Z10" s="71">
        <f t="shared" si="4"/>
        <v>1.2443392560305147E-2</v>
      </c>
    </row>
    <row r="11" spans="1:26" x14ac:dyDescent="0.25">
      <c r="A11" s="743" t="s">
        <v>78</v>
      </c>
      <c r="B11" s="67" t="s">
        <v>79</v>
      </c>
      <c r="C11" s="68">
        <f t="shared" si="3"/>
        <v>88230</v>
      </c>
      <c r="D11" s="72">
        <v>210</v>
      </c>
      <c r="E11" s="72">
        <v>300</v>
      </c>
      <c r="F11" s="72">
        <v>300</v>
      </c>
      <c r="G11" s="72">
        <v>270</v>
      </c>
      <c r="H11" s="72">
        <v>240</v>
      </c>
      <c r="I11" s="72">
        <v>120</v>
      </c>
      <c r="J11" s="72">
        <v>0</v>
      </c>
      <c r="K11" s="72">
        <v>60</v>
      </c>
      <c r="L11" s="72">
        <v>120</v>
      </c>
      <c r="M11" s="592">
        <v>120</v>
      </c>
      <c r="N11" s="72">
        <v>240</v>
      </c>
      <c r="O11" s="72">
        <v>240</v>
      </c>
      <c r="P11" s="72">
        <v>240</v>
      </c>
      <c r="Q11" s="72">
        <v>60</v>
      </c>
      <c r="R11" s="72">
        <v>240</v>
      </c>
      <c r="S11" s="70">
        <f>85230+240</f>
        <v>85470</v>
      </c>
      <c r="Y11" s="67" t="s">
        <v>79</v>
      </c>
      <c r="Z11" s="71">
        <f t="shared" si="4"/>
        <v>9.1067339565161966E-3</v>
      </c>
    </row>
    <row r="12" spans="1:26" x14ac:dyDescent="0.25">
      <c r="A12" s="744"/>
      <c r="B12" s="67" t="s">
        <v>80</v>
      </c>
      <c r="C12" s="68">
        <f t="shared" si="3"/>
        <v>1105000</v>
      </c>
      <c r="D12" s="72">
        <v>0</v>
      </c>
      <c r="E12" s="72">
        <v>0</v>
      </c>
      <c r="F12" s="72">
        <v>0</v>
      </c>
      <c r="G12" s="72">
        <v>0</v>
      </c>
      <c r="H12" s="72">
        <v>0</v>
      </c>
      <c r="I12" s="72">
        <v>0</v>
      </c>
      <c r="J12" s="72">
        <v>180000</v>
      </c>
      <c r="K12" s="72">
        <v>0</v>
      </c>
      <c r="L12" s="72">
        <v>0</v>
      </c>
      <c r="M12" s="491">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6">
        <v>147606</v>
      </c>
      <c r="N14" s="83">
        <v>147606</v>
      </c>
      <c r="O14" s="83">
        <v>147886</v>
      </c>
      <c r="P14" s="83">
        <f t="shared" ref="M14:S15" si="7">O14</f>
        <v>147886</v>
      </c>
      <c r="Q14" s="83">
        <v>148566</v>
      </c>
      <c r="R14" s="83">
        <v>150696</v>
      </c>
      <c r="S14" s="70">
        <v>153622</v>
      </c>
      <c r="Y14" s="745">
        <f>C13</f>
        <v>9688435</v>
      </c>
      <c r="Z14" s="746"/>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6">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6">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6">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6">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6">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6">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6">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6">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47" t="s">
        <v>94</v>
      </c>
      <c r="B26" s="747"/>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38" t="s">
        <v>95</v>
      </c>
      <c r="B27" s="738"/>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39" t="s">
        <v>96</v>
      </c>
      <c r="B28" s="739"/>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47" t="s">
        <v>97</v>
      </c>
      <c r="B29" s="747"/>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38" t="s">
        <v>98</v>
      </c>
      <c r="B30" s="738"/>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39" t="s">
        <v>99</v>
      </c>
      <c r="B31" s="739"/>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48"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40">
        <f>C23</f>
        <v>16032490</v>
      </c>
      <c r="Z34" s="741"/>
    </row>
    <row r="35" spans="1:26" x14ac:dyDescent="0.25">
      <c r="A35" s="57"/>
      <c r="B35" s="748"/>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48"/>
      <c r="C36" s="174" t="s">
        <v>803</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48"/>
      <c r="C37" s="174" t="s">
        <v>804</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48"/>
      <c r="C38" s="174" t="s">
        <v>805</v>
      </c>
      <c r="D38" s="176" t="s">
        <v>913</v>
      </c>
      <c r="E38" s="176" t="s">
        <v>920</v>
      </c>
      <c r="F38" s="176" t="s">
        <v>921</v>
      </c>
      <c r="G38" s="176"/>
      <c r="H38" s="176" t="s">
        <v>922</v>
      </c>
      <c r="I38" s="176"/>
      <c r="J38" s="176" t="s">
        <v>925</v>
      </c>
      <c r="K38" s="176" t="s">
        <v>927</v>
      </c>
      <c r="L38" s="176" t="s">
        <v>930</v>
      </c>
      <c r="M38" s="176"/>
      <c r="N38" s="176"/>
      <c r="O38" s="176" t="s">
        <v>934</v>
      </c>
      <c r="P38" s="176" t="s">
        <v>935</v>
      </c>
      <c r="Q38" s="176"/>
      <c r="R38" s="176" t="s">
        <v>936</v>
      </c>
      <c r="S38" s="176" t="s">
        <v>939</v>
      </c>
    </row>
    <row r="39" spans="1:26" x14ac:dyDescent="0.25">
      <c r="A39" s="57"/>
      <c r="B39" s="748"/>
      <c r="C39" s="174" t="s">
        <v>806</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48"/>
      <c r="C40" s="174" t="s">
        <v>807</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48"/>
      <c r="C41" s="174" t="s">
        <v>808</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3"/>
      <c r="G43" s="742"/>
      <c r="H43" s="742"/>
      <c r="I43" s="742"/>
      <c r="J43" s="742"/>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37"/>
      <c r="H46" s="737"/>
      <c r="I46" s="737"/>
      <c r="J46" s="737"/>
      <c r="M46" s="413"/>
    </row>
    <row r="47" spans="1:26" x14ac:dyDescent="0.25">
      <c r="E47" s="106"/>
      <c r="G47" s="594"/>
      <c r="H47" s="594"/>
      <c r="I47" s="594"/>
      <c r="J47" s="594"/>
    </row>
    <row r="48" spans="1:26" x14ac:dyDescent="0.25">
      <c r="G48" s="737"/>
      <c r="H48" s="737"/>
      <c r="I48" s="737"/>
      <c r="J48" s="737"/>
      <c r="P48" s="413"/>
    </row>
    <row r="49" spans="7:10" ht="15" customHeight="1" x14ac:dyDescent="0.25">
      <c r="G49" s="737"/>
      <c r="H49" s="737"/>
      <c r="I49" s="737"/>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910</v>
      </c>
      <c r="C2" s="750"/>
      <c r="D2" s="750"/>
      <c r="E2" s="750"/>
      <c r="F2" s="750"/>
      <c r="G2" s="751"/>
      <c r="I2" s="760" t="s">
        <v>911</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429" t="s">
        <v>584</v>
      </c>
      <c r="J4" s="430" t="s">
        <v>932</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933</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2" t="s">
        <v>116</v>
      </c>
      <c r="J6" s="110" t="s">
        <v>929</v>
      </c>
      <c r="K6" s="602">
        <v>11662680</v>
      </c>
      <c r="L6" s="602">
        <v>53436</v>
      </c>
      <c r="M6" s="602">
        <v>0</v>
      </c>
      <c r="N6" s="602">
        <v>0</v>
      </c>
      <c r="O6" s="111">
        <f t="shared" ref="O6" si="4">IF(M6=0,0,M6-K6)-N6</f>
        <v>0</v>
      </c>
      <c r="P6" s="111">
        <f t="shared" ref="P6" si="5">IF(M6=0,K6,0)</f>
        <v>11662680</v>
      </c>
      <c r="Q6" s="603"/>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4"/>
      <c r="J7" s="504"/>
      <c r="K7" s="504"/>
      <c r="L7" s="504"/>
      <c r="M7" s="504"/>
      <c r="N7" s="504"/>
      <c r="O7" s="504"/>
      <c r="P7" s="504"/>
      <c r="Q7" s="504"/>
      <c r="R7" s="504"/>
      <c r="S7" s="504"/>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4"/>
      <c r="J8" s="504"/>
      <c r="K8" s="504"/>
      <c r="L8" s="504"/>
      <c r="M8" s="504"/>
      <c r="N8" s="504"/>
      <c r="O8" s="504"/>
      <c r="P8" s="504"/>
      <c r="Q8" s="504"/>
      <c r="R8" s="504"/>
      <c r="S8" s="504"/>
    </row>
    <row r="9" spans="2:19" x14ac:dyDescent="0.25">
      <c r="B9" s="122" t="s">
        <v>120</v>
      </c>
      <c r="C9" s="123">
        <v>0</v>
      </c>
      <c r="D9" s="220">
        <f>C9/C34</f>
        <v>0</v>
      </c>
      <c r="E9" s="221" t="s">
        <v>912</v>
      </c>
      <c r="F9" s="222">
        <f>'A-P_T48'!F11-2059800</f>
        <v>398312</v>
      </c>
      <c r="G9" s="121">
        <f ca="1">F9/$F$34</f>
        <v>1.1111642386177878E-2</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11662680</v>
      </c>
      <c r="D11" s="140">
        <f>C11/C34</f>
        <v>0.32535180819164122</v>
      </c>
      <c r="E11" s="116" t="s">
        <v>797</v>
      </c>
      <c r="F11" s="117">
        <f>SUM(F12:F17)</f>
        <v>5554171</v>
      </c>
      <c r="G11" s="118">
        <f t="shared" ref="G11:G17" ca="1" si="6">F11/$F$34</f>
        <v>0.15494376745787214</v>
      </c>
      <c r="I11" s="504"/>
      <c r="J11" s="504"/>
      <c r="K11" s="504"/>
      <c r="L11" s="504"/>
      <c r="M11" s="504"/>
      <c r="N11" s="504"/>
      <c r="O11" s="504"/>
      <c r="P11" s="504"/>
      <c r="Q11" s="504"/>
      <c r="R11" s="504"/>
      <c r="S11" s="504"/>
    </row>
    <row r="12" spans="2:19" x14ac:dyDescent="0.25">
      <c r="B12" s="129" t="s">
        <v>122</v>
      </c>
      <c r="C12" s="130">
        <f>SUMIF(I4:I520,"S",$P$4:$P$520)</f>
        <v>0</v>
      </c>
      <c r="D12" s="220">
        <f>C12/C34</f>
        <v>0</v>
      </c>
      <c r="E12" s="49" t="s">
        <v>123</v>
      </c>
      <c r="F12" s="131">
        <f>SUMIF(I4:I520,"J",$O$4:$O$520)</f>
        <v>0</v>
      </c>
      <c r="G12" s="121">
        <f t="shared" ca="1" si="6"/>
        <v>0</v>
      </c>
      <c r="I12" s="504"/>
      <c r="J12" s="504"/>
      <c r="K12" s="504"/>
      <c r="L12" s="504"/>
      <c r="M12" s="504"/>
      <c r="N12" s="504"/>
      <c r="O12" s="504"/>
      <c r="P12" s="504"/>
      <c r="Q12" s="504"/>
      <c r="R12" s="504"/>
      <c r="S12" s="504"/>
    </row>
    <row r="13" spans="2:19" x14ac:dyDescent="0.25">
      <c r="B13" s="129" t="s">
        <v>101</v>
      </c>
      <c r="C13" s="130">
        <f>SUMIF(I4:I520,"J",$P$4:$P$520)</f>
        <v>11662680</v>
      </c>
      <c r="D13" s="220">
        <f>C13/C34</f>
        <v>0.32535180819164122</v>
      </c>
      <c r="E13" s="49" t="s">
        <v>124</v>
      </c>
      <c r="F13" s="131">
        <f>SUMIF(I4:I520,"S",$O$4:$O$520)</f>
        <v>0</v>
      </c>
      <c r="G13" s="121">
        <f t="shared" ca="1" si="6"/>
        <v>0</v>
      </c>
      <c r="I13" s="504"/>
      <c r="J13" s="504"/>
      <c r="K13" s="504"/>
      <c r="L13" s="504"/>
      <c r="M13" s="504"/>
      <c r="N13" s="504"/>
      <c r="O13" s="504"/>
      <c r="P13" s="504"/>
      <c r="Q13" s="504"/>
      <c r="R13" s="504"/>
      <c r="S13" s="504"/>
    </row>
    <row r="14" spans="2:19" x14ac:dyDescent="0.25">
      <c r="B14" s="129" t="s">
        <v>100</v>
      </c>
      <c r="C14" s="130">
        <f>SUMIF(I4:I520,"E",$P$4:$P$520)</f>
        <v>0</v>
      </c>
      <c r="D14" s="220">
        <f>C14/C34</f>
        <v>0</v>
      </c>
      <c r="E14" s="49" t="s">
        <v>125</v>
      </c>
      <c r="F14" s="131">
        <f>SUMIF(I4:I520,"C",$O$4:$O$520)</f>
        <v>80181</v>
      </c>
      <c r="G14" s="121">
        <f t="shared" ca="1" si="6"/>
        <v>2.236795773579828E-3</v>
      </c>
      <c r="I14" s="504"/>
      <c r="J14" s="504"/>
      <c r="K14" s="504"/>
      <c r="L14" s="504"/>
      <c r="M14" s="504"/>
      <c r="N14" s="504"/>
      <c r="O14" s="504"/>
      <c r="P14" s="504"/>
      <c r="Q14" s="504"/>
      <c r="R14" s="504"/>
      <c r="S14" s="504"/>
    </row>
    <row r="15" spans="2:19" x14ac:dyDescent="0.25">
      <c r="B15" s="129" t="s">
        <v>126</v>
      </c>
      <c r="C15" s="130">
        <f>SUMIF(I4:I520,"M",$P$4:$P$520)</f>
        <v>0</v>
      </c>
      <c r="D15" s="220">
        <f>C15/C34</f>
        <v>0</v>
      </c>
      <c r="E15" s="49" t="s">
        <v>127</v>
      </c>
      <c r="F15" s="131">
        <f>SUMIF(I4:I520,"E",$O$4:$O$520)</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SUMIF(I4:I520,"M",$O$4:$O$520)</f>
        <v>0</v>
      </c>
      <c r="G16" s="121">
        <f t="shared" ca="1" si="6"/>
        <v>0</v>
      </c>
      <c r="I16" s="504"/>
      <c r="J16" s="504"/>
      <c r="K16" s="504"/>
      <c r="L16" s="504"/>
      <c r="M16" s="504"/>
      <c r="N16" s="504"/>
      <c r="O16" s="504"/>
      <c r="P16" s="504"/>
      <c r="Q16" s="504"/>
      <c r="R16" s="504"/>
      <c r="S16" s="504"/>
    </row>
    <row r="17" spans="2:11" x14ac:dyDescent="0.25">
      <c r="B17" s="116" t="s">
        <v>75</v>
      </c>
      <c r="C17" s="134">
        <f>C18+C19</f>
        <v>80181</v>
      </c>
      <c r="D17" s="140">
        <f>C17/C34</f>
        <v>2.236795773579828E-3</v>
      </c>
      <c r="E17" s="135" t="s">
        <v>798</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799</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2"/>
      <c r="G22" s="503"/>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4"/>
      <c r="C26" s="605"/>
      <c r="D26" s="606"/>
      <c r="E26" s="607"/>
      <c r="F26" s="608"/>
      <c r="G26" s="609"/>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5" t="s">
        <v>91</v>
      </c>
      <c r="F33" s="506">
        <f>EconomiaT49!C22</f>
        <v>0</v>
      </c>
      <c r="G33" s="507">
        <f t="shared" ca="1" si="7"/>
        <v>0</v>
      </c>
    </row>
    <row r="34" spans="2:10" ht="18.75" x14ac:dyDescent="0.3">
      <c r="B34" s="146" t="s">
        <v>27</v>
      </c>
      <c r="C34" s="147">
        <f>C27+C21+C17+C11+C6</f>
        <v>35846366.014755197</v>
      </c>
      <c r="D34" s="508">
        <f>C34/C34</f>
        <v>1</v>
      </c>
      <c r="E34" s="146" t="s">
        <v>27</v>
      </c>
      <c r="F34" s="147">
        <f ca="1">F27+F19+F11+F6+F23</f>
        <v>35846366.014755197</v>
      </c>
      <c r="G34" s="145">
        <f ca="1">F34/$F$34</f>
        <v>1</v>
      </c>
      <c r="J34" s="106"/>
    </row>
    <row r="35" spans="2:10" x14ac:dyDescent="0.25">
      <c r="C35" s="106"/>
      <c r="D35" s="509"/>
      <c r="E35" s="510" t="s">
        <v>738</v>
      </c>
      <c r="F35" s="511">
        <f ca="1">F34-C34</f>
        <v>0</v>
      </c>
      <c r="G35" s="106"/>
    </row>
    <row r="36" spans="2:10" x14ac:dyDescent="0.25">
      <c r="C36" s="106"/>
      <c r="D36" s="106"/>
      <c r="F36" s="106"/>
      <c r="G36" s="106"/>
      <c r="H36" s="106"/>
    </row>
    <row r="37" spans="2:10" ht="15.75" x14ac:dyDescent="0.25">
      <c r="B37" s="512" t="s">
        <v>800</v>
      </c>
      <c r="C37" s="513">
        <f>EconomiaT48!C24</f>
        <v>9386456.0147551969</v>
      </c>
      <c r="D37" s="106"/>
      <c r="E37" s="4" t="s">
        <v>801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7">
        <f>25483+550584</f>
        <v>576067</v>
      </c>
      <c r="N6" s="497">
        <f>14126+59043</f>
        <v>73169</v>
      </c>
      <c r="O6" s="497">
        <v>21707</v>
      </c>
      <c r="P6" s="497">
        <f>22579+394156</f>
        <v>416735</v>
      </c>
      <c r="Q6" s="497">
        <v>21824</v>
      </c>
      <c r="R6" s="497">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43"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44"/>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45">
        <f>C13</f>
        <v>10943703</v>
      </c>
      <c r="Z14" s="746"/>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47" t="s">
        <v>94</v>
      </c>
      <c r="B26" s="747"/>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38" t="s">
        <v>95</v>
      </c>
      <c r="B27" s="738"/>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39" t="s">
        <v>96</v>
      </c>
      <c r="B28" s="739"/>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47" t="s">
        <v>97</v>
      </c>
      <c r="B29" s="747"/>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38" t="s">
        <v>98</v>
      </c>
      <c r="B30" s="738"/>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39" t="s">
        <v>99</v>
      </c>
      <c r="B31" s="739"/>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48"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40">
        <f>C23</f>
        <v>7143175</v>
      </c>
      <c r="Z34" s="741"/>
    </row>
    <row r="35" spans="1:26" x14ac:dyDescent="0.25">
      <c r="A35" s="57"/>
      <c r="B35" s="748"/>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48"/>
      <c r="C36" s="174" t="s">
        <v>803</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48"/>
      <c r="C37" s="174" t="s">
        <v>804</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48"/>
      <c r="C38" s="174" t="s">
        <v>805</v>
      </c>
      <c r="D38" s="176" t="s">
        <v>962</v>
      </c>
      <c r="E38" s="176" t="s">
        <v>966</v>
      </c>
      <c r="F38" s="176"/>
      <c r="G38" s="176" t="s">
        <v>984</v>
      </c>
      <c r="H38" s="176" t="s">
        <v>985</v>
      </c>
      <c r="I38" s="176" t="s">
        <v>986</v>
      </c>
      <c r="J38" s="176" t="s">
        <v>990</v>
      </c>
      <c r="K38" s="176" t="s">
        <v>996</v>
      </c>
      <c r="L38" s="176" t="s">
        <v>1006</v>
      </c>
      <c r="M38" s="176"/>
      <c r="N38" s="176"/>
      <c r="O38" s="176"/>
      <c r="P38" s="176"/>
      <c r="Q38" s="176"/>
      <c r="R38" s="176" t="s">
        <v>1012</v>
      </c>
      <c r="S38" s="176" t="s">
        <v>1015</v>
      </c>
    </row>
    <row r="39" spans="1:26" x14ac:dyDescent="0.25">
      <c r="A39" s="57"/>
      <c r="B39" s="748"/>
      <c r="C39" s="174" t="s">
        <v>806</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48"/>
      <c r="C40" s="174" t="s">
        <v>807</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48"/>
      <c r="C41" s="174" t="s">
        <v>808</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2"/>
      <c r="G43" s="742"/>
      <c r="H43" s="742"/>
      <c r="I43" s="742"/>
      <c r="J43" s="742"/>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37"/>
      <c r="H46" s="737"/>
      <c r="I46" s="737"/>
      <c r="J46" s="737"/>
      <c r="M46" s="413"/>
    </row>
    <row r="47" spans="1:26" x14ac:dyDescent="0.25">
      <c r="E47" s="106"/>
      <c r="G47" s="623"/>
      <c r="H47" s="623"/>
      <c r="I47" s="623"/>
      <c r="J47" s="623"/>
    </row>
    <row r="48" spans="1:26" x14ac:dyDescent="0.25">
      <c r="G48" s="737"/>
      <c r="H48" s="737"/>
      <c r="I48" s="737"/>
      <c r="J48" s="737"/>
      <c r="P48" s="413"/>
    </row>
    <row r="49" spans="7:10" ht="15" customHeight="1" x14ac:dyDescent="0.25">
      <c r="G49" s="737"/>
      <c r="H49" s="737"/>
      <c r="I49" s="737"/>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959</v>
      </c>
      <c r="C2" s="750"/>
      <c r="D2" s="750"/>
      <c r="E2" s="750"/>
      <c r="F2" s="750"/>
      <c r="G2" s="751"/>
      <c r="I2" s="760" t="s">
        <v>960</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602" t="s">
        <v>116</v>
      </c>
      <c r="J4" s="110" t="s">
        <v>929</v>
      </c>
      <c r="K4" s="658">
        <f>11662680+53436</f>
        <v>11716116</v>
      </c>
      <c r="L4" s="658">
        <v>0</v>
      </c>
      <c r="M4" s="658">
        <v>0</v>
      </c>
      <c r="N4" s="658">
        <v>0</v>
      </c>
      <c r="O4" s="111">
        <f t="shared" ref="O4:O5" si="0">IF(M4=0,0,M4-K4)-N4</f>
        <v>0</v>
      </c>
      <c r="P4" s="111">
        <f t="shared" ref="P4:P5" si="1">IF(M4=0,K4,0)</f>
        <v>11716116</v>
      </c>
      <c r="Q4" s="603"/>
      <c r="R4" s="112">
        <v>42468</v>
      </c>
      <c r="S4" s="112"/>
    </row>
    <row r="5" spans="2:19" x14ac:dyDescent="0.25">
      <c r="B5" s="113"/>
      <c r="C5" s="114"/>
      <c r="D5" s="219"/>
      <c r="E5" s="113"/>
      <c r="F5" s="114"/>
      <c r="G5" s="115"/>
      <c r="I5" s="429" t="s">
        <v>584</v>
      </c>
      <c r="J5" s="430" t="s">
        <v>987</v>
      </c>
      <c r="K5" s="659">
        <v>0</v>
      </c>
      <c r="L5" s="659">
        <v>0</v>
      </c>
      <c r="M5" s="659">
        <v>2000</v>
      </c>
      <c r="N5" s="659">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988</v>
      </c>
      <c r="K6" s="659">
        <v>0</v>
      </c>
      <c r="L6" s="659">
        <v>0</v>
      </c>
      <c r="M6" s="659">
        <v>59000</v>
      </c>
      <c r="N6" s="659">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993</v>
      </c>
      <c r="K7" s="659">
        <v>0</v>
      </c>
      <c r="L7" s="659">
        <v>0</v>
      </c>
      <c r="M7" s="659">
        <v>261000</v>
      </c>
      <c r="N7" s="659">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995</v>
      </c>
      <c r="K8" s="659">
        <v>0</v>
      </c>
      <c r="L8" s="659">
        <v>0</v>
      </c>
      <c r="M8" s="659">
        <v>84660</v>
      </c>
      <c r="N8" s="659">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961</v>
      </c>
      <c r="F9" s="222">
        <f>'A-P_T49'!F11+192375</f>
        <v>5746546</v>
      </c>
      <c r="G9" s="121">
        <f ca="1">F9/$F$34</f>
        <v>0.17223117405929145</v>
      </c>
      <c r="I9" s="429" t="s">
        <v>584</v>
      </c>
      <c r="J9" s="430" t="s">
        <v>1009</v>
      </c>
      <c r="K9" s="659">
        <v>0</v>
      </c>
      <c r="L9" s="659">
        <v>0</v>
      </c>
      <c r="M9" s="659">
        <v>84000</v>
      </c>
      <c r="N9" s="659">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1010</v>
      </c>
      <c r="K10" s="659">
        <v>0</v>
      </c>
      <c r="L10" s="659">
        <v>0</v>
      </c>
      <c r="M10" s="659">
        <v>10000</v>
      </c>
      <c r="N10" s="659">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797</v>
      </c>
      <c r="F11" s="117">
        <f>SUM(F12:F17)</f>
        <v>6162445</v>
      </c>
      <c r="G11" s="118">
        <f t="shared" ref="G11:G17" ca="1" si="12">F11/$F$34</f>
        <v>0.18469618748824254</v>
      </c>
      <c r="I11" s="429" t="s">
        <v>584</v>
      </c>
      <c r="J11" s="430" t="s">
        <v>1011</v>
      </c>
      <c r="K11" s="659">
        <v>0</v>
      </c>
      <c r="L11" s="659">
        <v>0</v>
      </c>
      <c r="M11" s="659">
        <v>116000</v>
      </c>
      <c r="N11" s="659">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2" t="s">
        <v>502</v>
      </c>
      <c r="J12" s="110" t="s">
        <v>1014</v>
      </c>
      <c r="K12" s="658">
        <v>1916000</v>
      </c>
      <c r="L12" s="658">
        <v>372</v>
      </c>
      <c r="M12" s="658">
        <v>0</v>
      </c>
      <c r="N12" s="658">
        <v>0</v>
      </c>
      <c r="O12" s="111">
        <f t="shared" si="13"/>
        <v>0</v>
      </c>
      <c r="P12" s="111">
        <f t="shared" si="14"/>
        <v>1916000</v>
      </c>
      <c r="Q12" s="603"/>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4"/>
      <c r="J13" s="504"/>
      <c r="K13" s="504"/>
      <c r="L13" s="504"/>
      <c r="M13" s="504"/>
      <c r="N13" s="504"/>
      <c r="O13" s="504"/>
      <c r="P13" s="504"/>
      <c r="Q13" s="504"/>
      <c r="R13" s="504"/>
      <c r="S13" s="504"/>
    </row>
    <row r="14" spans="2:19" x14ac:dyDescent="0.25">
      <c r="B14" s="129" t="s">
        <v>100</v>
      </c>
      <c r="C14" s="130">
        <f>SUMIF(I4:I518,"E",$P$4:$P$518)</f>
        <v>0</v>
      </c>
      <c r="D14" s="220">
        <f>C14/C34</f>
        <v>0</v>
      </c>
      <c r="E14" s="49" t="s">
        <v>125</v>
      </c>
      <c r="F14" s="131">
        <f>SUMIF(I4:I518,"C",$O$4:$O$518)</f>
        <v>588577</v>
      </c>
      <c r="G14" s="121">
        <f t="shared" ca="1" si="12"/>
        <v>1.764038915451048E-2</v>
      </c>
      <c r="I14" s="504"/>
      <c r="J14" s="504"/>
      <c r="K14" s="504"/>
      <c r="L14" s="504"/>
      <c r="M14" s="504"/>
      <c r="N14" s="504"/>
      <c r="O14" s="504"/>
      <c r="P14" s="504"/>
      <c r="Q14" s="504"/>
      <c r="R14" s="504"/>
      <c r="S14" s="504"/>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798</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799</v>
      </c>
      <c r="C21" s="117">
        <f>EconomiaT50!C5</f>
        <v>3042401.0147551969</v>
      </c>
      <c r="D21" s="140">
        <f>C21/C34</f>
        <v>9.1184565255453834E-2</v>
      </c>
      <c r="E21" s="122" t="s">
        <v>131</v>
      </c>
      <c r="F21" s="226">
        <v>0</v>
      </c>
      <c r="G21" s="121">
        <f ca="1">F21/$F$34</f>
        <v>0</v>
      </c>
    </row>
    <row r="22" spans="2:10" x14ac:dyDescent="0.25">
      <c r="B22" s="116"/>
      <c r="C22" s="117"/>
      <c r="D22" s="140"/>
      <c r="E22" s="132"/>
      <c r="F22" s="502"/>
      <c r="G22" s="503"/>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4"/>
      <c r="C26" s="605"/>
      <c r="D26" s="606"/>
      <c r="E26" s="607"/>
      <c r="F26" s="608"/>
      <c r="G26" s="609"/>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5" t="s">
        <v>91</v>
      </c>
      <c r="F33" s="506">
        <f>EconomiaT50!C22</f>
        <v>0</v>
      </c>
      <c r="G33" s="507">
        <f t="shared" ca="1" si="15"/>
        <v>0</v>
      </c>
    </row>
    <row r="34" spans="2:8" ht="18.75" x14ac:dyDescent="0.3">
      <c r="B34" s="146" t="s">
        <v>27</v>
      </c>
      <c r="C34" s="147">
        <f>C27+C21+C17+C11+C6</f>
        <v>33365307.014755197</v>
      </c>
      <c r="D34" s="508">
        <f>C34/C34</f>
        <v>1</v>
      </c>
      <c r="E34" s="146" t="s">
        <v>27</v>
      </c>
      <c r="F34" s="147">
        <f ca="1">F27+F19+F11+F6+F23</f>
        <v>33365307.014755197</v>
      </c>
      <c r="G34" s="145">
        <f ca="1">F34/$F$34</f>
        <v>1</v>
      </c>
    </row>
    <row r="35" spans="2:8" x14ac:dyDescent="0.25">
      <c r="C35" s="106"/>
      <c r="D35" s="509"/>
      <c r="E35" s="510" t="s">
        <v>738</v>
      </c>
      <c r="F35" s="511">
        <f ca="1">F34-C34</f>
        <v>0</v>
      </c>
      <c r="G35" s="106"/>
    </row>
    <row r="36" spans="2:8" x14ac:dyDescent="0.25">
      <c r="C36" s="106"/>
      <c r="D36" s="106"/>
      <c r="F36" s="106"/>
      <c r="G36" s="106"/>
      <c r="H36" s="106"/>
    </row>
    <row r="37" spans="2:8" ht="15.75" x14ac:dyDescent="0.25">
      <c r="B37" s="512" t="s">
        <v>800</v>
      </c>
      <c r="C37" s="513">
        <f>EconomiaT48!C24</f>
        <v>9386456.0147551969</v>
      </c>
      <c r="D37" s="106"/>
      <c r="E37" s="4" t="s">
        <v>801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opLeftCell="A4" workbookViewId="0">
      <selection activeCell="Q38" sqref="Q38"/>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900</v>
      </c>
      <c r="B1" s="4" t="s">
        <v>897</v>
      </c>
      <c r="C1" s="4" t="s">
        <v>898</v>
      </c>
      <c r="D1" s="4" t="s">
        <v>876</v>
      </c>
      <c r="E1" s="4" t="s">
        <v>899</v>
      </c>
      <c r="G1" s="4" t="s">
        <v>879</v>
      </c>
      <c r="H1" s="4" t="s">
        <v>897</v>
      </c>
      <c r="I1" s="4" t="s">
        <v>898</v>
      </c>
      <c r="J1" s="4" t="s">
        <v>876</v>
      </c>
      <c r="K1" s="4" t="s">
        <v>899</v>
      </c>
      <c r="M1" s="4" t="s">
        <v>581</v>
      </c>
      <c r="N1" s="4" t="s">
        <v>897</v>
      </c>
      <c r="O1" s="4" t="s">
        <v>898</v>
      </c>
      <c r="P1" s="4" t="s">
        <v>876</v>
      </c>
      <c r="Q1" s="4" t="s">
        <v>899</v>
      </c>
      <c r="S1" s="4" t="s">
        <v>64</v>
      </c>
      <c r="T1" s="4" t="s">
        <v>897</v>
      </c>
      <c r="U1" s="4" t="s">
        <v>898</v>
      </c>
      <c r="V1" s="4" t="s">
        <v>876</v>
      </c>
      <c r="W1" s="4" t="s">
        <v>899</v>
      </c>
    </row>
    <row r="2" spans="1:23" x14ac:dyDescent="0.25">
      <c r="A2" t="s">
        <v>880</v>
      </c>
      <c r="B2">
        <v>2</v>
      </c>
      <c r="C2">
        <v>3</v>
      </c>
      <c r="D2">
        <v>1.5</v>
      </c>
      <c r="E2">
        <f>D2</f>
        <v>1.5</v>
      </c>
      <c r="G2" t="s">
        <v>880</v>
      </c>
      <c r="H2">
        <v>2</v>
      </c>
      <c r="I2">
        <v>3</v>
      </c>
      <c r="J2">
        <v>3</v>
      </c>
      <c r="K2">
        <f>J2</f>
        <v>3</v>
      </c>
      <c r="M2" t="s">
        <v>880</v>
      </c>
      <c r="N2">
        <v>2</v>
      </c>
      <c r="O2">
        <v>3</v>
      </c>
      <c r="P2">
        <v>3</v>
      </c>
      <c r="Q2">
        <f>P2</f>
        <v>3</v>
      </c>
      <c r="S2" t="s">
        <v>880</v>
      </c>
      <c r="T2">
        <v>2</v>
      </c>
      <c r="U2">
        <v>3</v>
      </c>
      <c r="V2">
        <v>1.5</v>
      </c>
      <c r="W2">
        <f>V2</f>
        <v>1.5</v>
      </c>
    </row>
    <row r="3" spans="1:23" x14ac:dyDescent="0.25">
      <c r="A3" t="s">
        <v>881</v>
      </c>
      <c r="B3">
        <v>3</v>
      </c>
      <c r="C3">
        <v>4</v>
      </c>
      <c r="D3">
        <v>2</v>
      </c>
      <c r="E3">
        <f>E2+D3</f>
        <v>3.5</v>
      </c>
      <c r="G3" t="s">
        <v>881</v>
      </c>
      <c r="H3">
        <v>3</v>
      </c>
      <c r="I3">
        <v>4</v>
      </c>
      <c r="J3">
        <v>3</v>
      </c>
      <c r="K3">
        <f>K2+J3</f>
        <v>6</v>
      </c>
      <c r="M3" t="s">
        <v>881</v>
      </c>
      <c r="N3">
        <v>3</v>
      </c>
      <c r="O3">
        <v>4</v>
      </c>
      <c r="P3">
        <v>3</v>
      </c>
      <c r="Q3">
        <f>Q2+P3</f>
        <v>6</v>
      </c>
      <c r="S3" t="s">
        <v>881</v>
      </c>
      <c r="T3">
        <v>3</v>
      </c>
      <c r="U3">
        <v>4</v>
      </c>
      <c r="V3">
        <v>2</v>
      </c>
      <c r="W3">
        <f>W2+V3</f>
        <v>3.5</v>
      </c>
    </row>
    <row r="4" spans="1:23" x14ac:dyDescent="0.25">
      <c r="A4" t="s">
        <v>882</v>
      </c>
      <c r="B4">
        <v>4</v>
      </c>
      <c r="C4">
        <v>5</v>
      </c>
      <c r="D4">
        <v>2</v>
      </c>
      <c r="E4">
        <f t="shared" ref="E4:E17" si="0">E3+D4</f>
        <v>5.5</v>
      </c>
      <c r="G4" t="s">
        <v>882</v>
      </c>
      <c r="H4">
        <v>4</v>
      </c>
      <c r="I4">
        <v>5</v>
      </c>
      <c r="J4">
        <v>4</v>
      </c>
      <c r="K4">
        <f t="shared" ref="K4:K17" si="1">K3+J4</f>
        <v>10</v>
      </c>
      <c r="M4" t="s">
        <v>882</v>
      </c>
      <c r="N4">
        <v>4</v>
      </c>
      <c r="O4">
        <v>5</v>
      </c>
      <c r="P4">
        <v>3</v>
      </c>
      <c r="Q4">
        <f t="shared" ref="Q4:Q17" si="2">Q3+P4</f>
        <v>9</v>
      </c>
      <c r="S4" t="s">
        <v>882</v>
      </c>
      <c r="T4">
        <v>4</v>
      </c>
      <c r="U4">
        <v>5</v>
      </c>
      <c r="V4">
        <v>2</v>
      </c>
      <c r="W4">
        <f t="shared" ref="W4:W17" si="3">W3+V4</f>
        <v>5.5</v>
      </c>
    </row>
    <row r="5" spans="1:23" x14ac:dyDescent="0.25">
      <c r="A5" t="s">
        <v>883</v>
      </c>
      <c r="B5">
        <v>5</v>
      </c>
      <c r="C5">
        <v>6</v>
      </c>
      <c r="D5">
        <v>2</v>
      </c>
      <c r="E5">
        <f t="shared" si="0"/>
        <v>7.5</v>
      </c>
      <c r="G5" t="s">
        <v>883</v>
      </c>
      <c r="H5">
        <v>5</v>
      </c>
      <c r="I5">
        <v>6</v>
      </c>
      <c r="J5">
        <v>4</v>
      </c>
      <c r="K5">
        <f t="shared" si="1"/>
        <v>14</v>
      </c>
      <c r="M5" t="s">
        <v>883</v>
      </c>
      <c r="N5">
        <v>5</v>
      </c>
      <c r="O5">
        <v>6</v>
      </c>
      <c r="P5">
        <v>3</v>
      </c>
      <c r="Q5">
        <f t="shared" si="2"/>
        <v>12</v>
      </c>
      <c r="S5" t="s">
        <v>883</v>
      </c>
      <c r="T5">
        <v>5</v>
      </c>
      <c r="U5">
        <v>6</v>
      </c>
      <c r="V5">
        <v>3</v>
      </c>
      <c r="W5">
        <f t="shared" si="3"/>
        <v>8.5</v>
      </c>
    </row>
    <row r="6" spans="1:23" x14ac:dyDescent="0.25">
      <c r="A6" t="s">
        <v>884</v>
      </c>
      <c r="B6">
        <v>6</v>
      </c>
      <c r="C6">
        <v>7</v>
      </c>
      <c r="D6">
        <v>3</v>
      </c>
      <c r="E6">
        <f t="shared" si="0"/>
        <v>10.5</v>
      </c>
      <c r="G6" t="s">
        <v>884</v>
      </c>
      <c r="H6">
        <v>6</v>
      </c>
      <c r="I6">
        <v>7</v>
      </c>
      <c r="J6">
        <v>4</v>
      </c>
      <c r="K6">
        <f t="shared" si="1"/>
        <v>18</v>
      </c>
      <c r="M6" t="s">
        <v>884</v>
      </c>
      <c r="N6">
        <v>6</v>
      </c>
      <c r="O6">
        <v>7</v>
      </c>
      <c r="P6">
        <v>4</v>
      </c>
      <c r="Q6">
        <f t="shared" si="2"/>
        <v>16</v>
      </c>
      <c r="S6" t="s">
        <v>884</v>
      </c>
      <c r="T6">
        <v>6</v>
      </c>
      <c r="U6">
        <v>7</v>
      </c>
      <c r="V6">
        <v>2</v>
      </c>
      <c r="W6">
        <f t="shared" si="3"/>
        <v>10.5</v>
      </c>
    </row>
    <row r="7" spans="1:23" x14ac:dyDescent="0.25">
      <c r="A7" t="s">
        <v>885</v>
      </c>
      <c r="B7">
        <v>7</v>
      </c>
      <c r="C7">
        <v>8</v>
      </c>
      <c r="D7">
        <v>3</v>
      </c>
      <c r="E7">
        <f t="shared" si="0"/>
        <v>13.5</v>
      </c>
      <c r="G7" t="s">
        <v>885</v>
      </c>
      <c r="H7">
        <v>7</v>
      </c>
      <c r="I7">
        <v>8</v>
      </c>
      <c r="J7">
        <v>6</v>
      </c>
      <c r="K7">
        <f t="shared" si="1"/>
        <v>24</v>
      </c>
      <c r="M7" t="s">
        <v>885</v>
      </c>
      <c r="N7">
        <v>7</v>
      </c>
      <c r="O7">
        <v>8</v>
      </c>
      <c r="P7">
        <v>5</v>
      </c>
      <c r="Q7">
        <f t="shared" si="2"/>
        <v>21</v>
      </c>
      <c r="S7" t="s">
        <v>885</v>
      </c>
      <c r="T7">
        <v>7</v>
      </c>
      <c r="U7">
        <v>8</v>
      </c>
      <c r="V7">
        <v>4</v>
      </c>
      <c r="W7">
        <f t="shared" si="3"/>
        <v>14.5</v>
      </c>
    </row>
    <row r="8" spans="1:23" x14ac:dyDescent="0.25">
      <c r="A8" t="s">
        <v>886</v>
      </c>
      <c r="B8">
        <v>8</v>
      </c>
      <c r="C8">
        <v>9</v>
      </c>
      <c r="D8">
        <v>3</v>
      </c>
      <c r="E8">
        <f t="shared" si="0"/>
        <v>16.5</v>
      </c>
      <c r="G8" t="s">
        <v>886</v>
      </c>
      <c r="H8">
        <v>8</v>
      </c>
      <c r="I8">
        <v>9</v>
      </c>
      <c r="J8">
        <v>6</v>
      </c>
      <c r="K8">
        <f t="shared" si="1"/>
        <v>30</v>
      </c>
      <c r="M8" t="s">
        <v>886</v>
      </c>
      <c r="N8">
        <v>8</v>
      </c>
      <c r="O8">
        <v>9</v>
      </c>
      <c r="P8">
        <v>5</v>
      </c>
      <c r="Q8">
        <f t="shared" si="2"/>
        <v>26</v>
      </c>
      <c r="S8" t="s">
        <v>886</v>
      </c>
      <c r="T8">
        <v>8</v>
      </c>
      <c r="U8">
        <v>9</v>
      </c>
      <c r="V8">
        <v>3</v>
      </c>
      <c r="W8">
        <f t="shared" si="3"/>
        <v>17.5</v>
      </c>
    </row>
    <row r="9" spans="1:23" x14ac:dyDescent="0.25">
      <c r="A9" t="s">
        <v>887</v>
      </c>
      <c r="B9">
        <v>9</v>
      </c>
      <c r="C9">
        <v>10</v>
      </c>
      <c r="D9">
        <v>4</v>
      </c>
      <c r="E9">
        <f t="shared" si="0"/>
        <v>20.5</v>
      </c>
      <c r="G9" t="s">
        <v>887</v>
      </c>
      <c r="H9">
        <v>9</v>
      </c>
      <c r="I9">
        <v>10</v>
      </c>
      <c r="J9">
        <v>7</v>
      </c>
      <c r="K9">
        <f t="shared" si="1"/>
        <v>37</v>
      </c>
      <c r="M9" t="s">
        <v>887</v>
      </c>
      <c r="N9">
        <v>9</v>
      </c>
      <c r="O9">
        <v>10</v>
      </c>
      <c r="P9">
        <v>7</v>
      </c>
      <c r="Q9">
        <f t="shared" si="2"/>
        <v>33</v>
      </c>
      <c r="S9" t="s">
        <v>887</v>
      </c>
      <c r="T9">
        <v>9</v>
      </c>
      <c r="U9">
        <v>10</v>
      </c>
      <c r="V9">
        <v>5</v>
      </c>
      <c r="W9">
        <f t="shared" si="3"/>
        <v>22.5</v>
      </c>
    </row>
    <row r="10" spans="1:23" x14ac:dyDescent="0.25">
      <c r="A10" t="s">
        <v>888</v>
      </c>
      <c r="B10">
        <v>10</v>
      </c>
      <c r="C10">
        <v>11</v>
      </c>
      <c r="D10">
        <v>5</v>
      </c>
      <c r="E10">
        <f t="shared" si="0"/>
        <v>25.5</v>
      </c>
      <c r="G10" t="s">
        <v>888</v>
      </c>
      <c r="H10">
        <v>10</v>
      </c>
      <c r="I10">
        <v>11</v>
      </c>
      <c r="J10">
        <v>9</v>
      </c>
      <c r="K10">
        <f t="shared" si="1"/>
        <v>46</v>
      </c>
      <c r="M10" t="s">
        <v>888</v>
      </c>
      <c r="N10">
        <v>10</v>
      </c>
      <c r="O10">
        <v>11</v>
      </c>
      <c r="P10">
        <v>7</v>
      </c>
      <c r="Q10">
        <f t="shared" si="2"/>
        <v>40</v>
      </c>
      <c r="S10" t="s">
        <v>888</v>
      </c>
      <c r="T10">
        <v>10</v>
      </c>
      <c r="U10">
        <v>11</v>
      </c>
      <c r="V10">
        <v>5</v>
      </c>
      <c r="W10">
        <f t="shared" si="3"/>
        <v>27.5</v>
      </c>
    </row>
    <row r="11" spans="1:23" x14ac:dyDescent="0.25">
      <c r="A11" t="s">
        <v>889</v>
      </c>
      <c r="B11">
        <v>11</v>
      </c>
      <c r="C11">
        <v>12</v>
      </c>
      <c r="D11">
        <v>5</v>
      </c>
      <c r="E11">
        <f t="shared" si="0"/>
        <v>30.5</v>
      </c>
      <c r="G11" t="s">
        <v>889</v>
      </c>
      <c r="H11">
        <v>11</v>
      </c>
      <c r="I11">
        <v>12</v>
      </c>
      <c r="J11">
        <v>10</v>
      </c>
      <c r="K11">
        <f t="shared" si="1"/>
        <v>56</v>
      </c>
      <c r="M11" t="s">
        <v>889</v>
      </c>
      <c r="N11">
        <v>11</v>
      </c>
      <c r="O11">
        <v>12</v>
      </c>
      <c r="P11">
        <v>8</v>
      </c>
      <c r="Q11">
        <f t="shared" si="2"/>
        <v>48</v>
      </c>
      <c r="S11" t="s">
        <v>889</v>
      </c>
      <c r="T11">
        <v>11</v>
      </c>
      <c r="U11">
        <v>12</v>
      </c>
      <c r="V11">
        <v>5</v>
      </c>
      <c r="W11">
        <f t="shared" si="3"/>
        <v>32.5</v>
      </c>
    </row>
    <row r="12" spans="1:23" x14ac:dyDescent="0.25">
      <c r="A12" t="s">
        <v>890</v>
      </c>
      <c r="B12">
        <v>12</v>
      </c>
      <c r="C12">
        <v>13</v>
      </c>
      <c r="D12">
        <v>6</v>
      </c>
      <c r="E12">
        <f t="shared" si="0"/>
        <v>36.5</v>
      </c>
      <c r="G12" t="s">
        <v>890</v>
      </c>
      <c r="H12">
        <v>12</v>
      </c>
      <c r="I12">
        <v>13</v>
      </c>
      <c r="J12">
        <v>11</v>
      </c>
      <c r="K12">
        <f t="shared" si="1"/>
        <v>67</v>
      </c>
      <c r="M12" t="s">
        <v>890</v>
      </c>
      <c r="N12">
        <v>12</v>
      </c>
      <c r="O12">
        <v>13</v>
      </c>
      <c r="P12">
        <v>10</v>
      </c>
      <c r="Q12">
        <f t="shared" si="2"/>
        <v>58</v>
      </c>
      <c r="S12" t="s">
        <v>890</v>
      </c>
      <c r="T12">
        <v>12</v>
      </c>
      <c r="U12">
        <v>13</v>
      </c>
      <c r="V12">
        <v>7</v>
      </c>
      <c r="W12">
        <f t="shared" si="3"/>
        <v>39.5</v>
      </c>
    </row>
    <row r="13" spans="1:23" x14ac:dyDescent="0.25">
      <c r="A13" t="s">
        <v>891</v>
      </c>
      <c r="B13">
        <v>13</v>
      </c>
      <c r="C13">
        <v>14</v>
      </c>
      <c r="D13">
        <v>7</v>
      </c>
      <c r="E13">
        <f t="shared" si="0"/>
        <v>43.5</v>
      </c>
      <c r="G13" t="s">
        <v>891</v>
      </c>
      <c r="H13">
        <v>13</v>
      </c>
      <c r="I13">
        <v>14</v>
      </c>
      <c r="J13">
        <v>12</v>
      </c>
      <c r="K13">
        <f t="shared" si="1"/>
        <v>79</v>
      </c>
      <c r="M13" t="s">
        <v>891</v>
      </c>
      <c r="N13">
        <v>13</v>
      </c>
      <c r="O13">
        <v>14</v>
      </c>
      <c r="P13">
        <v>10</v>
      </c>
      <c r="Q13">
        <f t="shared" si="2"/>
        <v>68</v>
      </c>
      <c r="S13" t="s">
        <v>891</v>
      </c>
      <c r="T13">
        <v>13</v>
      </c>
      <c r="U13">
        <v>14</v>
      </c>
      <c r="V13">
        <v>7</v>
      </c>
      <c r="W13">
        <f t="shared" si="3"/>
        <v>46.5</v>
      </c>
    </row>
    <row r="14" spans="1:23" x14ac:dyDescent="0.25">
      <c r="A14" t="s">
        <v>892</v>
      </c>
      <c r="B14">
        <v>14</v>
      </c>
      <c r="C14">
        <v>15</v>
      </c>
      <c r="D14">
        <v>8</v>
      </c>
      <c r="E14">
        <f t="shared" si="0"/>
        <v>51.5</v>
      </c>
      <c r="G14" t="s">
        <v>892</v>
      </c>
      <c r="H14">
        <v>14</v>
      </c>
      <c r="I14">
        <v>15</v>
      </c>
      <c r="J14">
        <v>16</v>
      </c>
      <c r="K14">
        <f t="shared" si="1"/>
        <v>95</v>
      </c>
      <c r="M14" t="s">
        <v>892</v>
      </c>
      <c r="N14">
        <v>14</v>
      </c>
      <c r="O14">
        <v>15</v>
      </c>
      <c r="P14">
        <v>13</v>
      </c>
      <c r="Q14">
        <f t="shared" si="2"/>
        <v>81</v>
      </c>
      <c r="S14" t="s">
        <v>892</v>
      </c>
      <c r="T14">
        <v>14</v>
      </c>
      <c r="U14">
        <v>15</v>
      </c>
      <c r="V14">
        <v>9</v>
      </c>
      <c r="W14">
        <f t="shared" si="3"/>
        <v>55.5</v>
      </c>
    </row>
    <row r="15" spans="1:23" x14ac:dyDescent="0.25">
      <c r="A15" t="s">
        <v>893</v>
      </c>
      <c r="B15">
        <v>15</v>
      </c>
      <c r="C15">
        <v>16</v>
      </c>
      <c r="D15">
        <v>10</v>
      </c>
      <c r="E15">
        <f t="shared" si="0"/>
        <v>61.5</v>
      </c>
      <c r="G15" t="s">
        <v>893</v>
      </c>
      <c r="H15">
        <v>15</v>
      </c>
      <c r="I15">
        <v>16</v>
      </c>
      <c r="J15">
        <v>18</v>
      </c>
      <c r="K15">
        <f t="shared" si="1"/>
        <v>113</v>
      </c>
      <c r="M15" t="s">
        <v>893</v>
      </c>
      <c r="N15">
        <v>15</v>
      </c>
      <c r="O15">
        <v>16</v>
      </c>
      <c r="P15">
        <v>15</v>
      </c>
      <c r="Q15">
        <f t="shared" si="2"/>
        <v>96</v>
      </c>
      <c r="S15" t="s">
        <v>893</v>
      </c>
      <c r="T15">
        <v>15</v>
      </c>
      <c r="U15">
        <v>16</v>
      </c>
      <c r="V15">
        <v>10</v>
      </c>
      <c r="W15">
        <f t="shared" si="3"/>
        <v>65.5</v>
      </c>
    </row>
    <row r="16" spans="1:23" x14ac:dyDescent="0.25">
      <c r="A16" t="s">
        <v>894</v>
      </c>
      <c r="B16">
        <v>16</v>
      </c>
      <c r="C16">
        <v>17</v>
      </c>
      <c r="D16">
        <v>11</v>
      </c>
      <c r="E16">
        <f t="shared" si="0"/>
        <v>72.5</v>
      </c>
      <c r="G16" t="s">
        <v>894</v>
      </c>
      <c r="H16">
        <v>16</v>
      </c>
      <c r="I16">
        <v>17</v>
      </c>
      <c r="J16">
        <v>23</v>
      </c>
      <c r="K16">
        <f t="shared" si="1"/>
        <v>136</v>
      </c>
      <c r="M16" t="s">
        <v>894</v>
      </c>
      <c r="N16">
        <v>16</v>
      </c>
      <c r="O16">
        <v>17</v>
      </c>
      <c r="P16">
        <v>19</v>
      </c>
      <c r="Q16">
        <f t="shared" si="2"/>
        <v>115</v>
      </c>
      <c r="S16" t="s">
        <v>894</v>
      </c>
      <c r="T16">
        <v>16</v>
      </c>
      <c r="U16">
        <v>17</v>
      </c>
      <c r="V16">
        <v>12</v>
      </c>
      <c r="W16">
        <f t="shared" si="3"/>
        <v>77.5</v>
      </c>
    </row>
    <row r="17" spans="1:23" x14ac:dyDescent="0.25">
      <c r="A17" t="s">
        <v>895</v>
      </c>
      <c r="B17">
        <v>17</v>
      </c>
      <c r="C17">
        <v>18</v>
      </c>
      <c r="D17">
        <v>14</v>
      </c>
      <c r="E17">
        <f t="shared" si="0"/>
        <v>86.5</v>
      </c>
      <c r="G17" t="s">
        <v>895</v>
      </c>
      <c r="H17">
        <v>17</v>
      </c>
      <c r="I17">
        <v>18</v>
      </c>
      <c r="J17">
        <v>36</v>
      </c>
      <c r="K17">
        <f t="shared" si="1"/>
        <v>172</v>
      </c>
      <c r="M17" t="s">
        <v>895</v>
      </c>
      <c r="N17">
        <v>17</v>
      </c>
      <c r="O17">
        <v>18</v>
      </c>
      <c r="P17">
        <v>26</v>
      </c>
      <c r="Q17">
        <f t="shared" si="2"/>
        <v>141</v>
      </c>
      <c r="S17" t="s">
        <v>895</v>
      </c>
      <c r="T17">
        <v>17</v>
      </c>
      <c r="U17">
        <v>18</v>
      </c>
      <c r="V17">
        <v>15</v>
      </c>
      <c r="W17">
        <f t="shared" si="3"/>
        <v>92.5</v>
      </c>
    </row>
    <row r="18" spans="1:23" x14ac:dyDescent="0.25">
      <c r="A18" t="s">
        <v>896</v>
      </c>
      <c r="B18">
        <v>18</v>
      </c>
      <c r="C18">
        <v>19</v>
      </c>
      <c r="D18">
        <v>19</v>
      </c>
      <c r="G18" t="s">
        <v>896</v>
      </c>
      <c r="H18">
        <v>18</v>
      </c>
      <c r="I18">
        <v>19</v>
      </c>
      <c r="M18" t="s">
        <v>896</v>
      </c>
      <c r="N18">
        <v>18</v>
      </c>
      <c r="O18">
        <v>19</v>
      </c>
      <c r="P18">
        <v>58</v>
      </c>
      <c r="S18" t="s">
        <v>896</v>
      </c>
      <c r="T18">
        <v>18</v>
      </c>
      <c r="U18">
        <v>19</v>
      </c>
      <c r="V18">
        <v>21</v>
      </c>
    </row>
    <row r="21" spans="1:23" x14ac:dyDescent="0.25">
      <c r="A21" s="4" t="s">
        <v>901</v>
      </c>
      <c r="B21" s="4" t="s">
        <v>897</v>
      </c>
      <c r="C21" s="4" t="s">
        <v>898</v>
      </c>
      <c r="D21" s="4" t="s">
        <v>876</v>
      </c>
      <c r="E21" s="4" t="s">
        <v>899</v>
      </c>
      <c r="G21" s="4" t="s">
        <v>902</v>
      </c>
      <c r="H21" s="4" t="s">
        <v>897</v>
      </c>
      <c r="I21" s="4" t="s">
        <v>898</v>
      </c>
      <c r="J21" s="4" t="s">
        <v>876</v>
      </c>
      <c r="K21" s="4" t="s">
        <v>899</v>
      </c>
      <c r="M21" s="4" t="s">
        <v>0</v>
      </c>
      <c r="N21" s="4" t="s">
        <v>897</v>
      </c>
      <c r="O21" s="4" t="s">
        <v>898</v>
      </c>
      <c r="P21" s="4" t="s">
        <v>876</v>
      </c>
      <c r="Q21" s="4" t="s">
        <v>899</v>
      </c>
      <c r="S21" s="4" t="s">
        <v>62</v>
      </c>
      <c r="T21">
        <v>19</v>
      </c>
    </row>
    <row r="22" spans="1:23" x14ac:dyDescent="0.25">
      <c r="A22" t="s">
        <v>880</v>
      </c>
      <c r="B22">
        <v>2</v>
      </c>
      <c r="C22">
        <v>3</v>
      </c>
      <c r="D22">
        <v>2</v>
      </c>
      <c r="E22">
        <f>D22</f>
        <v>2</v>
      </c>
      <c r="G22" t="s">
        <v>880</v>
      </c>
      <c r="H22">
        <v>2</v>
      </c>
      <c r="I22">
        <v>3</v>
      </c>
      <c r="J22">
        <v>2</v>
      </c>
      <c r="K22">
        <f>J22</f>
        <v>2</v>
      </c>
      <c r="M22" t="s">
        <v>880</v>
      </c>
      <c r="N22">
        <v>2</v>
      </c>
      <c r="O22">
        <v>3</v>
      </c>
      <c r="P22">
        <v>1</v>
      </c>
      <c r="Q22">
        <f>P22</f>
        <v>1</v>
      </c>
      <c r="S22" t="s">
        <v>903</v>
      </c>
      <c r="T22" s="591">
        <v>0.15</v>
      </c>
    </row>
    <row r="23" spans="1:23" x14ac:dyDescent="0.25">
      <c r="A23" t="s">
        <v>881</v>
      </c>
      <c r="B23">
        <v>3</v>
      </c>
      <c r="C23">
        <v>4</v>
      </c>
      <c r="D23">
        <v>2</v>
      </c>
      <c r="E23">
        <f>E22+D23</f>
        <v>4</v>
      </c>
      <c r="G23" t="s">
        <v>881</v>
      </c>
      <c r="H23">
        <v>3</v>
      </c>
      <c r="I23">
        <v>4</v>
      </c>
      <c r="J23">
        <v>3</v>
      </c>
      <c r="K23">
        <f>K22+J23</f>
        <v>5</v>
      </c>
      <c r="M23" t="s">
        <v>881</v>
      </c>
      <c r="N23">
        <v>3</v>
      </c>
      <c r="O23">
        <v>4</v>
      </c>
      <c r="P23">
        <v>1</v>
      </c>
      <c r="Q23">
        <f>Q22+P23</f>
        <v>2</v>
      </c>
      <c r="S23" t="s">
        <v>904</v>
      </c>
      <c r="T23" t="s">
        <v>906</v>
      </c>
    </row>
    <row r="24" spans="1:23" x14ac:dyDescent="0.25">
      <c r="A24" t="s">
        <v>882</v>
      </c>
      <c r="B24">
        <v>4</v>
      </c>
      <c r="C24">
        <v>5</v>
      </c>
      <c r="D24">
        <v>3</v>
      </c>
      <c r="E24">
        <f t="shared" ref="E24:E37" si="4">E23+D24</f>
        <v>7</v>
      </c>
      <c r="G24" t="s">
        <v>882</v>
      </c>
      <c r="H24">
        <v>4</v>
      </c>
      <c r="I24">
        <v>5</v>
      </c>
      <c r="J24">
        <v>3</v>
      </c>
      <c r="K24">
        <f t="shared" ref="K24:K37" si="5">K23+J24</f>
        <v>8</v>
      </c>
      <c r="M24" t="s">
        <v>882</v>
      </c>
      <c r="N24">
        <v>4</v>
      </c>
      <c r="O24">
        <v>5</v>
      </c>
      <c r="P24">
        <v>1</v>
      </c>
      <c r="Q24">
        <f t="shared" ref="Q24:Q37" si="6">Q23+P24</f>
        <v>3</v>
      </c>
      <c r="S24" t="s">
        <v>905</v>
      </c>
      <c r="T24" s="591">
        <v>1</v>
      </c>
    </row>
    <row r="25" spans="1:23" x14ac:dyDescent="0.25">
      <c r="A25" t="s">
        <v>883</v>
      </c>
      <c r="B25">
        <v>5</v>
      </c>
      <c r="C25">
        <v>6</v>
      </c>
      <c r="D25">
        <v>3</v>
      </c>
      <c r="E25">
        <f t="shared" si="4"/>
        <v>10</v>
      </c>
      <c r="G25" t="s">
        <v>883</v>
      </c>
      <c r="H25">
        <v>5</v>
      </c>
      <c r="I25">
        <v>6</v>
      </c>
      <c r="J25">
        <v>4</v>
      </c>
      <c r="K25">
        <f t="shared" si="5"/>
        <v>12</v>
      </c>
      <c r="M25" t="s">
        <v>883</v>
      </c>
      <c r="N25">
        <v>5</v>
      </c>
      <c r="O25">
        <v>6</v>
      </c>
      <c r="P25">
        <v>1</v>
      </c>
      <c r="Q25">
        <f t="shared" si="6"/>
        <v>4</v>
      </c>
    </row>
    <row r="26" spans="1:23" x14ac:dyDescent="0.25">
      <c r="A26" t="s">
        <v>884</v>
      </c>
      <c r="B26">
        <v>6</v>
      </c>
      <c r="C26">
        <v>7</v>
      </c>
      <c r="D26">
        <v>4</v>
      </c>
      <c r="E26">
        <f t="shared" si="4"/>
        <v>14</v>
      </c>
      <c r="G26" t="s">
        <v>884</v>
      </c>
      <c r="H26">
        <v>6</v>
      </c>
      <c r="I26">
        <v>7</v>
      </c>
      <c r="J26">
        <v>4</v>
      </c>
      <c r="K26">
        <f t="shared" si="5"/>
        <v>16</v>
      </c>
      <c r="M26" t="s">
        <v>884</v>
      </c>
      <c r="N26">
        <v>6</v>
      </c>
      <c r="O26">
        <v>7</v>
      </c>
      <c r="P26">
        <v>1</v>
      </c>
      <c r="Q26">
        <f t="shared" si="6"/>
        <v>5</v>
      </c>
    </row>
    <row r="27" spans="1:23" x14ac:dyDescent="0.25">
      <c r="A27" t="s">
        <v>885</v>
      </c>
      <c r="B27">
        <v>7</v>
      </c>
      <c r="C27">
        <v>8</v>
      </c>
      <c r="D27">
        <v>4</v>
      </c>
      <c r="E27">
        <f t="shared" si="4"/>
        <v>18</v>
      </c>
      <c r="G27" t="s">
        <v>885</v>
      </c>
      <c r="H27">
        <v>7</v>
      </c>
      <c r="I27">
        <v>8</v>
      </c>
      <c r="J27">
        <v>5</v>
      </c>
      <c r="K27">
        <f t="shared" si="5"/>
        <v>21</v>
      </c>
      <c r="M27" t="s">
        <v>885</v>
      </c>
      <c r="N27">
        <v>7</v>
      </c>
      <c r="O27">
        <v>8</v>
      </c>
      <c r="P27">
        <v>1</v>
      </c>
      <c r="Q27">
        <f t="shared" si="6"/>
        <v>6</v>
      </c>
    </row>
    <row r="28" spans="1:23" x14ac:dyDescent="0.25">
      <c r="A28" t="s">
        <v>886</v>
      </c>
      <c r="B28">
        <v>8</v>
      </c>
      <c r="C28">
        <v>9</v>
      </c>
      <c r="D28">
        <v>5</v>
      </c>
      <c r="E28">
        <f t="shared" si="4"/>
        <v>23</v>
      </c>
      <c r="G28" t="s">
        <v>886</v>
      </c>
      <c r="H28">
        <v>8</v>
      </c>
      <c r="I28">
        <v>9</v>
      </c>
      <c r="J28">
        <v>6</v>
      </c>
      <c r="K28">
        <f t="shared" si="5"/>
        <v>27</v>
      </c>
      <c r="M28" t="s">
        <v>886</v>
      </c>
      <c r="N28">
        <v>8</v>
      </c>
      <c r="O28">
        <v>9</v>
      </c>
      <c r="P28">
        <v>1</v>
      </c>
      <c r="Q28">
        <f t="shared" si="6"/>
        <v>7</v>
      </c>
    </row>
    <row r="29" spans="1:23" x14ac:dyDescent="0.25">
      <c r="A29" t="s">
        <v>887</v>
      </c>
      <c r="B29">
        <v>9</v>
      </c>
      <c r="C29">
        <v>10</v>
      </c>
      <c r="D29">
        <v>6</v>
      </c>
      <c r="E29">
        <f t="shared" si="4"/>
        <v>29</v>
      </c>
      <c r="G29" t="s">
        <v>887</v>
      </c>
      <c r="H29">
        <v>9</v>
      </c>
      <c r="I29">
        <v>10</v>
      </c>
      <c r="J29">
        <v>6</v>
      </c>
      <c r="K29">
        <f t="shared" si="5"/>
        <v>33</v>
      </c>
      <c r="M29" t="s">
        <v>887</v>
      </c>
      <c r="N29">
        <v>9</v>
      </c>
      <c r="O29">
        <v>10</v>
      </c>
      <c r="P29">
        <v>1</v>
      </c>
      <c r="Q29">
        <f t="shared" si="6"/>
        <v>8</v>
      </c>
    </row>
    <row r="30" spans="1:23" x14ac:dyDescent="0.25">
      <c r="A30" t="s">
        <v>888</v>
      </c>
      <c r="B30">
        <v>10</v>
      </c>
      <c r="C30">
        <v>11</v>
      </c>
      <c r="D30">
        <v>7</v>
      </c>
      <c r="E30">
        <f t="shared" si="4"/>
        <v>36</v>
      </c>
      <c r="G30" t="s">
        <v>888</v>
      </c>
      <c r="H30">
        <v>10</v>
      </c>
      <c r="I30">
        <v>11</v>
      </c>
      <c r="J30">
        <v>7</v>
      </c>
      <c r="K30">
        <f t="shared" si="5"/>
        <v>40</v>
      </c>
      <c r="M30" t="s">
        <v>888</v>
      </c>
      <c r="N30">
        <v>10</v>
      </c>
      <c r="O30">
        <v>11</v>
      </c>
      <c r="P30">
        <v>2</v>
      </c>
      <c r="Q30">
        <f t="shared" si="6"/>
        <v>10</v>
      </c>
    </row>
    <row r="31" spans="1:23" x14ac:dyDescent="0.25">
      <c r="A31" t="s">
        <v>889</v>
      </c>
      <c r="B31">
        <v>11</v>
      </c>
      <c r="C31">
        <v>12</v>
      </c>
      <c r="D31">
        <v>7</v>
      </c>
      <c r="E31">
        <f t="shared" si="4"/>
        <v>43</v>
      </c>
      <c r="G31" t="s">
        <v>889</v>
      </c>
      <c r="H31">
        <v>11</v>
      </c>
      <c r="I31">
        <v>12</v>
      </c>
      <c r="J31">
        <v>9</v>
      </c>
      <c r="K31">
        <f t="shared" si="5"/>
        <v>49</v>
      </c>
      <c r="M31" t="s">
        <v>889</v>
      </c>
      <c r="N31">
        <v>11</v>
      </c>
      <c r="O31">
        <v>12</v>
      </c>
      <c r="P31">
        <v>2</v>
      </c>
      <c r="Q31">
        <f t="shared" si="6"/>
        <v>12</v>
      </c>
    </row>
    <row r="32" spans="1:23" x14ac:dyDescent="0.25">
      <c r="A32" t="s">
        <v>890</v>
      </c>
      <c r="B32">
        <v>12</v>
      </c>
      <c r="C32">
        <v>13</v>
      </c>
      <c r="D32">
        <v>9</v>
      </c>
      <c r="E32">
        <f t="shared" si="4"/>
        <v>52</v>
      </c>
      <c r="G32" t="s">
        <v>890</v>
      </c>
      <c r="H32">
        <v>12</v>
      </c>
      <c r="I32">
        <v>13</v>
      </c>
      <c r="J32">
        <v>10</v>
      </c>
      <c r="K32">
        <f t="shared" si="5"/>
        <v>59</v>
      </c>
      <c r="M32" t="s">
        <v>890</v>
      </c>
      <c r="N32">
        <v>12</v>
      </c>
      <c r="O32">
        <v>13</v>
      </c>
      <c r="P32">
        <v>2</v>
      </c>
      <c r="Q32">
        <f t="shared" si="6"/>
        <v>14</v>
      </c>
    </row>
    <row r="33" spans="1:17" x14ac:dyDescent="0.25">
      <c r="A33" t="s">
        <v>891</v>
      </c>
      <c r="B33">
        <v>13</v>
      </c>
      <c r="C33">
        <v>14</v>
      </c>
      <c r="D33">
        <v>10</v>
      </c>
      <c r="E33">
        <f t="shared" si="4"/>
        <v>62</v>
      </c>
      <c r="G33" t="s">
        <v>891</v>
      </c>
      <c r="H33">
        <v>13</v>
      </c>
      <c r="I33">
        <v>14</v>
      </c>
      <c r="J33">
        <v>11</v>
      </c>
      <c r="K33">
        <f t="shared" si="5"/>
        <v>70</v>
      </c>
      <c r="M33" t="s">
        <v>891</v>
      </c>
      <c r="N33">
        <v>13</v>
      </c>
      <c r="O33">
        <v>14</v>
      </c>
      <c r="P33">
        <v>2</v>
      </c>
      <c r="Q33">
        <f t="shared" si="6"/>
        <v>16</v>
      </c>
    </row>
    <row r="34" spans="1:17" x14ac:dyDescent="0.25">
      <c r="A34" t="s">
        <v>892</v>
      </c>
      <c r="B34">
        <v>14</v>
      </c>
      <c r="C34">
        <v>15</v>
      </c>
      <c r="D34">
        <v>12</v>
      </c>
      <c r="E34">
        <f t="shared" si="4"/>
        <v>74</v>
      </c>
      <c r="G34" t="s">
        <v>892</v>
      </c>
      <c r="H34">
        <v>14</v>
      </c>
      <c r="I34">
        <v>15</v>
      </c>
      <c r="J34">
        <v>13</v>
      </c>
      <c r="K34">
        <f t="shared" si="5"/>
        <v>83</v>
      </c>
      <c r="M34" t="s">
        <v>892</v>
      </c>
      <c r="N34">
        <v>14</v>
      </c>
      <c r="O34">
        <v>15</v>
      </c>
      <c r="P34">
        <v>2</v>
      </c>
      <c r="Q34">
        <f t="shared" si="6"/>
        <v>18</v>
      </c>
    </row>
    <row r="35" spans="1:17" x14ac:dyDescent="0.25">
      <c r="A35" t="s">
        <v>893</v>
      </c>
      <c r="B35">
        <v>15</v>
      </c>
      <c r="C35">
        <v>16</v>
      </c>
      <c r="D35">
        <v>14</v>
      </c>
      <c r="E35">
        <f t="shared" si="4"/>
        <v>88</v>
      </c>
      <c r="G35" t="s">
        <v>893</v>
      </c>
      <c r="H35">
        <v>15</v>
      </c>
      <c r="I35">
        <v>16</v>
      </c>
      <c r="J35">
        <v>16</v>
      </c>
      <c r="K35">
        <f t="shared" si="5"/>
        <v>99</v>
      </c>
      <c r="M35" t="s">
        <v>893</v>
      </c>
      <c r="N35">
        <v>15</v>
      </c>
      <c r="O35">
        <v>16</v>
      </c>
      <c r="P35">
        <v>3</v>
      </c>
      <c r="Q35">
        <f t="shared" si="6"/>
        <v>21</v>
      </c>
    </row>
    <row r="36" spans="1:17" x14ac:dyDescent="0.25">
      <c r="A36" t="s">
        <v>894</v>
      </c>
      <c r="B36">
        <v>16</v>
      </c>
      <c r="C36">
        <v>17</v>
      </c>
      <c r="D36">
        <v>17</v>
      </c>
      <c r="E36">
        <f t="shared" si="4"/>
        <v>105</v>
      </c>
      <c r="G36" t="s">
        <v>894</v>
      </c>
      <c r="H36">
        <v>16</v>
      </c>
      <c r="I36">
        <v>17</v>
      </c>
      <c r="J36">
        <v>20</v>
      </c>
      <c r="K36">
        <f t="shared" si="5"/>
        <v>119</v>
      </c>
      <c r="M36" t="s">
        <v>894</v>
      </c>
      <c r="N36">
        <v>16</v>
      </c>
      <c r="O36">
        <v>17</v>
      </c>
      <c r="P36">
        <v>4</v>
      </c>
      <c r="Q36">
        <f t="shared" si="6"/>
        <v>25</v>
      </c>
    </row>
    <row r="37" spans="1:17" x14ac:dyDescent="0.25">
      <c r="A37" t="s">
        <v>895</v>
      </c>
      <c r="B37">
        <v>17</v>
      </c>
      <c r="C37">
        <v>18</v>
      </c>
      <c r="D37">
        <v>23</v>
      </c>
      <c r="E37">
        <f t="shared" si="4"/>
        <v>128</v>
      </c>
      <c r="G37" t="s">
        <v>895</v>
      </c>
      <c r="H37">
        <v>17</v>
      </c>
      <c r="I37">
        <v>18</v>
      </c>
      <c r="J37">
        <v>29</v>
      </c>
      <c r="K37">
        <f t="shared" si="5"/>
        <v>148</v>
      </c>
      <c r="M37" t="s">
        <v>895</v>
      </c>
      <c r="N37">
        <v>17</v>
      </c>
      <c r="O37">
        <v>18</v>
      </c>
      <c r="P37">
        <v>4</v>
      </c>
      <c r="Q37">
        <f t="shared" si="6"/>
        <v>29</v>
      </c>
    </row>
    <row r="38" spans="1:17" x14ac:dyDescent="0.25">
      <c r="A38" t="s">
        <v>896</v>
      </c>
      <c r="B38">
        <v>18</v>
      </c>
      <c r="C38">
        <v>19</v>
      </c>
      <c r="D38">
        <v>41</v>
      </c>
      <c r="G38" t="s">
        <v>896</v>
      </c>
      <c r="H38">
        <v>18</v>
      </c>
      <c r="I38">
        <v>19</v>
      </c>
      <c r="M38" t="s">
        <v>896</v>
      </c>
      <c r="N38">
        <v>18</v>
      </c>
      <c r="O38">
        <v>19</v>
      </c>
      <c r="P38">
        <v>4</v>
      </c>
    </row>
  </sheetData>
  <pageMargins left="0.7" right="0.7" top="0.75" bottom="0.75" header="0.3" footer="0.3"/>
  <pageSetup paperSize="9" scale="69"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719</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720</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768</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849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931</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989</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67" t="s">
        <v>148</v>
      </c>
      <c r="B6" s="150" t="s">
        <v>149</v>
      </c>
      <c r="C6" s="150" t="s">
        <v>150</v>
      </c>
      <c r="D6" s="2">
        <v>0</v>
      </c>
      <c r="E6" s="2">
        <v>22</v>
      </c>
      <c r="F6" s="2">
        <v>0</v>
      </c>
      <c r="G6" s="2">
        <v>0</v>
      </c>
      <c r="H6" s="155">
        <f>H4*2</f>
        <v>8.8000000000000007</v>
      </c>
      <c r="I6" s="2">
        <f t="shared" si="0"/>
        <v>35.200000000000003</v>
      </c>
    </row>
    <row r="7" spans="1:9" x14ac:dyDescent="0.25">
      <c r="A7" s="767"/>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21" t="s">
        <v>366</v>
      </c>
      <c r="B30" s="721"/>
      <c r="C30" s="721"/>
      <c r="D30" s="721"/>
      <c r="F30" s="258" t="s">
        <v>377</v>
      </c>
      <c r="G30" s="253"/>
      <c r="H30" s="246">
        <v>4210500</v>
      </c>
      <c r="I30" s="252"/>
      <c r="J30" s="106"/>
    </row>
    <row r="31" spans="1:14" x14ac:dyDescent="0.25">
      <c r="A31" s="722" t="s">
        <v>297</v>
      </c>
      <c r="B31" s="723" t="s">
        <v>367</v>
      </c>
      <c r="C31" s="723" t="s">
        <v>368</v>
      </c>
      <c r="D31" s="723" t="s">
        <v>369</v>
      </c>
      <c r="F31" s="259" t="s">
        <v>381</v>
      </c>
      <c r="G31" s="254"/>
      <c r="H31" s="246">
        <v>3750000</v>
      </c>
      <c r="I31" s="252"/>
      <c r="J31" s="106"/>
    </row>
    <row r="32" spans="1:14" x14ac:dyDescent="0.25">
      <c r="A32" s="722"/>
      <c r="B32" s="723"/>
      <c r="C32" s="723"/>
      <c r="D32" s="723"/>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30</v>
      </c>
      <c r="C3" s="165">
        <f>PLANTILLA!H5</f>
        <v>6</v>
      </c>
      <c r="D3" s="391">
        <f>PLANTILLA!I5</f>
        <v>18.100000000000001</v>
      </c>
      <c r="E3" s="384">
        <f>D3</f>
        <v>18.100000000000001</v>
      </c>
      <c r="F3" s="384">
        <f>E3+0.1</f>
        <v>18.200000000000003</v>
      </c>
      <c r="G3" s="384">
        <f>C3</f>
        <v>6</v>
      </c>
      <c r="H3" s="384">
        <f t="shared" ref="H3" si="0">G3+0.99</f>
        <v>6.99</v>
      </c>
      <c r="I3" s="388">
        <f t="shared" ref="I3:J3" si="1">G3*G3*E3</f>
        <v>651.6</v>
      </c>
      <c r="J3" s="388">
        <f t="shared" si="1"/>
        <v>889.25382000000013</v>
      </c>
      <c r="K3" s="385"/>
      <c r="N3" s="4" t="s">
        <v>612</v>
      </c>
      <c r="O3" t="str">
        <f>A3</f>
        <v>D. Gehmacher</v>
      </c>
      <c r="P3" s="386">
        <f>E3</f>
        <v>18.100000000000001</v>
      </c>
      <c r="Q3" s="386">
        <f t="shared" ref="Q3:S3" si="2">F3</f>
        <v>18.200000000000003</v>
      </c>
      <c r="R3" s="386">
        <f t="shared" si="2"/>
        <v>6</v>
      </c>
      <c r="S3" s="386">
        <f t="shared" si="2"/>
        <v>6.99</v>
      </c>
      <c r="U3" s="4" t="s">
        <v>612</v>
      </c>
      <c r="V3" s="180" t="str">
        <f>O3</f>
        <v>D. Gehmacher</v>
      </c>
      <c r="W3" s="386">
        <f>P3</f>
        <v>18.100000000000001</v>
      </c>
      <c r="X3" s="386">
        <f t="shared" ref="X3:Z3" si="3">Q3</f>
        <v>18.200000000000003</v>
      </c>
      <c r="Y3" s="386">
        <f t="shared" si="3"/>
        <v>6</v>
      </c>
      <c r="Z3" s="386">
        <f t="shared" si="3"/>
        <v>6.99</v>
      </c>
    </row>
    <row r="4" spans="1:26" x14ac:dyDescent="0.25">
      <c r="A4" s="389" t="str">
        <f>PLANTILLA!D6</f>
        <v>T. Hammond</v>
      </c>
      <c r="B4" s="165">
        <f>PLANTILLA!E6</f>
        <v>34</v>
      </c>
      <c r="C4" s="165">
        <f>PLANTILLA!H6</f>
        <v>3</v>
      </c>
      <c r="D4" s="391">
        <f>PLANTILLA!I6</f>
        <v>7.8</v>
      </c>
      <c r="E4" s="384">
        <f t="shared" ref="E4:E22" si="4">D4</f>
        <v>7.8</v>
      </c>
      <c r="F4" s="384">
        <f t="shared" ref="F4:F22" si="5">E4+0.1</f>
        <v>7.8999999999999995</v>
      </c>
      <c r="G4" s="384">
        <f t="shared" ref="G4:G22" si="6">C4</f>
        <v>3</v>
      </c>
      <c r="H4" s="384">
        <f t="shared" ref="H4:H22" si="7">G4+0.99</f>
        <v>3.99</v>
      </c>
      <c r="I4" s="388">
        <f t="shared" ref="I4:I22" si="8">G4*G4*E4</f>
        <v>70.2</v>
      </c>
      <c r="J4" s="388">
        <f t="shared" ref="J4:J22" si="9">H4*H4*F4</f>
        <v>125.76879000000001</v>
      </c>
      <c r="K4" s="385"/>
      <c r="O4" t="str">
        <f>A7</f>
        <v>E. Toney</v>
      </c>
      <c r="P4" s="386">
        <f>E7</f>
        <v>12.2</v>
      </c>
      <c r="Q4" s="386">
        <f t="shared" ref="Q4:S4" si="10">F7</f>
        <v>12.299999999999999</v>
      </c>
      <c r="R4" s="386">
        <f t="shared" si="10"/>
        <v>4</v>
      </c>
      <c r="S4" s="386">
        <f t="shared" si="10"/>
        <v>4.99</v>
      </c>
      <c r="V4" s="180" t="str">
        <f t="shared" ref="V4:V13" si="11">O4</f>
        <v>E. Toney</v>
      </c>
      <c r="W4" s="386">
        <f t="shared" ref="W4:W13" si="12">P4</f>
        <v>12.2</v>
      </c>
      <c r="X4" s="386">
        <f t="shared" ref="X4:X13" si="13">Q4</f>
        <v>12.299999999999999</v>
      </c>
      <c r="Y4" s="386">
        <f t="shared" ref="Y4:Y13" si="14">R4</f>
        <v>4</v>
      </c>
      <c r="Z4" s="386">
        <f t="shared" ref="Z4:Z13" si="15">S4</f>
        <v>4.99</v>
      </c>
    </row>
    <row r="5" spans="1:26" x14ac:dyDescent="0.25">
      <c r="A5" s="389" t="str">
        <f>PLANTILLA!D7</f>
        <v>B. Pinczehelyi</v>
      </c>
      <c r="B5" s="165">
        <f>PLANTILLA!E7</f>
        <v>30</v>
      </c>
      <c r="C5" s="165">
        <f>PLANTILLA!H7</f>
        <v>2</v>
      </c>
      <c r="D5" s="391">
        <f>PLANTILLA!I7</f>
        <v>14.1</v>
      </c>
      <c r="E5" s="384">
        <f t="shared" si="4"/>
        <v>14.1</v>
      </c>
      <c r="F5" s="384">
        <f t="shared" si="5"/>
        <v>14.2</v>
      </c>
      <c r="G5" s="384">
        <f t="shared" si="6"/>
        <v>2</v>
      </c>
      <c r="H5" s="384">
        <f t="shared" si="7"/>
        <v>2.99</v>
      </c>
      <c r="I5" s="388">
        <f t="shared" si="8"/>
        <v>56.4</v>
      </c>
      <c r="J5" s="388">
        <f t="shared" si="9"/>
        <v>126.94942</v>
      </c>
      <c r="K5" s="385"/>
      <c r="L5" s="179"/>
      <c r="O5" t="str">
        <f>A15</f>
        <v>E. Gross</v>
      </c>
      <c r="P5" s="386">
        <f>E15</f>
        <v>9.1</v>
      </c>
      <c r="Q5" s="386">
        <f t="shared" ref="Q5:S5" si="16">F15</f>
        <v>9.1999999999999993</v>
      </c>
      <c r="R5" s="386">
        <f t="shared" si="16"/>
        <v>3</v>
      </c>
      <c r="S5" s="386">
        <f t="shared" si="16"/>
        <v>3.99</v>
      </c>
      <c r="V5" s="180" t="str">
        <f t="shared" si="11"/>
        <v>E. Gross</v>
      </c>
      <c r="W5" s="386">
        <f t="shared" si="12"/>
        <v>9.1</v>
      </c>
      <c r="X5" s="386">
        <f t="shared" si="13"/>
        <v>9.1999999999999993</v>
      </c>
      <c r="Y5" s="386">
        <f t="shared" si="14"/>
        <v>3</v>
      </c>
      <c r="Z5" s="386">
        <f t="shared" si="15"/>
        <v>3.99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A5</f>
        <v>B. Pinczehelyi</v>
      </c>
      <c r="P6" s="386">
        <f>E5</f>
        <v>14.1</v>
      </c>
      <c r="Q6" s="386">
        <f t="shared" ref="Q6:S6" si="17">F5</f>
        <v>14.2</v>
      </c>
      <c r="R6" s="386">
        <f t="shared" si="17"/>
        <v>2</v>
      </c>
      <c r="S6" s="386">
        <f t="shared" si="17"/>
        <v>2.99</v>
      </c>
      <c r="V6" s="180" t="str">
        <f t="shared" si="11"/>
        <v>B. Pinczehelyi</v>
      </c>
      <c r="W6" s="386">
        <f t="shared" si="12"/>
        <v>14.1</v>
      </c>
      <c r="X6" s="386">
        <f t="shared" si="13"/>
        <v>14.2</v>
      </c>
      <c r="Y6" s="386">
        <f t="shared" si="14"/>
        <v>2</v>
      </c>
      <c r="Z6" s="386">
        <f t="shared" si="15"/>
        <v>2.99</v>
      </c>
    </row>
    <row r="7" spans="1:26" x14ac:dyDescent="0.25">
      <c r="A7" s="389" t="str">
        <f>PLANTILLA!D9</f>
        <v>E. Toney</v>
      </c>
      <c r="B7" s="165">
        <f>PLANTILLA!E9</f>
        <v>31</v>
      </c>
      <c r="C7" s="165">
        <f>PLANTILLA!H9</f>
        <v>4</v>
      </c>
      <c r="D7" s="391">
        <f>PLANTILLA!I9</f>
        <v>12.2</v>
      </c>
      <c r="E7" s="384">
        <f t="shared" si="4"/>
        <v>12.2</v>
      </c>
      <c r="F7" s="384">
        <f t="shared" si="5"/>
        <v>12.299999999999999</v>
      </c>
      <c r="G7" s="384">
        <f t="shared" si="6"/>
        <v>4</v>
      </c>
      <c r="H7" s="384">
        <f t="shared" si="7"/>
        <v>4.99</v>
      </c>
      <c r="I7" s="388">
        <f t="shared" si="8"/>
        <v>195.2</v>
      </c>
      <c r="J7" s="388">
        <f t="shared" si="9"/>
        <v>306.27123</v>
      </c>
      <c r="K7" s="385"/>
      <c r="O7" t="str">
        <f>A10</f>
        <v>E. Romweber</v>
      </c>
      <c r="P7" s="386">
        <f>E10</f>
        <v>12.3</v>
      </c>
      <c r="Q7" s="386">
        <f t="shared" ref="Q7:S7" si="18">F10</f>
        <v>12.4</v>
      </c>
      <c r="R7" s="386">
        <f t="shared" si="18"/>
        <v>0</v>
      </c>
      <c r="S7" s="386">
        <f t="shared" si="18"/>
        <v>0.99</v>
      </c>
      <c r="V7" s="180" t="str">
        <f t="shared" si="11"/>
        <v>E. Romweber</v>
      </c>
      <c r="W7" s="386">
        <f t="shared" si="12"/>
        <v>12.3</v>
      </c>
      <c r="X7" s="386">
        <f t="shared" si="13"/>
        <v>12.4</v>
      </c>
      <c r="Y7" s="386">
        <f t="shared" si="14"/>
        <v>0</v>
      </c>
      <c r="Z7" s="386">
        <f t="shared" si="15"/>
        <v>0.99</v>
      </c>
    </row>
    <row r="8" spans="1:26" x14ac:dyDescent="0.25">
      <c r="A8" s="389" t="str">
        <f>PLANTILLA!D10</f>
        <v>B. Bartolache</v>
      </c>
      <c r="B8" s="165">
        <f>PLANTILLA!E10</f>
        <v>30</v>
      </c>
      <c r="C8" s="165">
        <f>PLANTILLA!H10</f>
        <v>3</v>
      </c>
      <c r="D8" s="391">
        <f>PLANTILLA!I10</f>
        <v>9.3000000000000007</v>
      </c>
      <c r="E8" s="384">
        <f t="shared" si="4"/>
        <v>9.3000000000000007</v>
      </c>
      <c r="F8" s="384">
        <f t="shared" si="5"/>
        <v>9.4</v>
      </c>
      <c r="G8" s="384">
        <f t="shared" si="6"/>
        <v>3</v>
      </c>
      <c r="H8" s="384">
        <f t="shared" si="7"/>
        <v>3.99</v>
      </c>
      <c r="I8" s="388">
        <f t="shared" si="8"/>
        <v>83.7</v>
      </c>
      <c r="J8" s="388">
        <f t="shared" si="9"/>
        <v>149.64894000000001</v>
      </c>
      <c r="K8" s="385"/>
      <c r="O8" t="str">
        <f>A13</f>
        <v>S. Buschelman</v>
      </c>
      <c r="P8" s="386">
        <f>E13</f>
        <v>10.4</v>
      </c>
      <c r="Q8" s="386">
        <f t="shared" ref="Q8:S8" si="19">F13</f>
        <v>10.5</v>
      </c>
      <c r="R8" s="386">
        <f t="shared" si="19"/>
        <v>3</v>
      </c>
      <c r="S8" s="386">
        <f t="shared" si="19"/>
        <v>3.99</v>
      </c>
      <c r="V8" s="180" t="str">
        <f t="shared" si="11"/>
        <v>S. Buschelman</v>
      </c>
      <c r="W8" s="386">
        <f t="shared" si="12"/>
        <v>10.4</v>
      </c>
      <c r="X8" s="386">
        <f t="shared" si="13"/>
        <v>10.5</v>
      </c>
      <c r="Y8" s="386">
        <f t="shared" si="14"/>
        <v>3</v>
      </c>
      <c r="Z8" s="386">
        <f t="shared" si="15"/>
        <v>3.99</v>
      </c>
    </row>
    <row r="9" spans="1:26" x14ac:dyDescent="0.25">
      <c r="A9" s="389" t="str">
        <f>PLANTILLA!D11</f>
        <v>F. Lasprilla</v>
      </c>
      <c r="B9" s="165">
        <f>PLANTILLA!E11</f>
        <v>27</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A16</f>
        <v>L. Bauman</v>
      </c>
      <c r="P9" s="386">
        <f>E16</f>
        <v>8.1</v>
      </c>
      <c r="Q9" s="386">
        <f t="shared" ref="Q9:S9" si="20">F16</f>
        <v>8.1999999999999993</v>
      </c>
      <c r="R9" s="386">
        <f t="shared" si="20"/>
        <v>0</v>
      </c>
      <c r="S9" s="386">
        <f t="shared" si="20"/>
        <v>0.99</v>
      </c>
      <c r="V9" s="180" t="str">
        <f t="shared" si="11"/>
        <v>L. Bauman</v>
      </c>
      <c r="W9" s="386">
        <f t="shared" si="12"/>
        <v>8.1</v>
      </c>
      <c r="X9" s="386">
        <f t="shared" si="13"/>
        <v>8.1999999999999993</v>
      </c>
      <c r="Y9" s="386">
        <f t="shared" si="14"/>
        <v>0</v>
      </c>
      <c r="Z9" s="386">
        <f t="shared" si="15"/>
        <v>0.99</v>
      </c>
    </row>
    <row r="10" spans="1:26" x14ac:dyDescent="0.25">
      <c r="A10" s="389" t="str">
        <f>PLANTILLA!D12</f>
        <v>E. Romweber</v>
      </c>
      <c r="B10" s="165">
        <f>PLANTILLA!E12</f>
        <v>30</v>
      </c>
      <c r="C10" s="165">
        <f>PLANTILLA!H12</f>
        <v>0</v>
      </c>
      <c r="D10" s="391">
        <f>PLANTILLA!I12</f>
        <v>12.3</v>
      </c>
      <c r="E10" s="384">
        <f t="shared" si="4"/>
        <v>12.3</v>
      </c>
      <c r="F10" s="384">
        <f t="shared" si="5"/>
        <v>12.4</v>
      </c>
      <c r="G10" s="384">
        <f t="shared" si="6"/>
        <v>0</v>
      </c>
      <c r="H10" s="384">
        <f t="shared" si="7"/>
        <v>0.99</v>
      </c>
      <c r="I10" s="388">
        <f t="shared" si="8"/>
        <v>0</v>
      </c>
      <c r="J10" s="388">
        <f t="shared" si="9"/>
        <v>12.15324</v>
      </c>
      <c r="K10" s="385"/>
      <c r="O10" t="str">
        <f>A14</f>
        <v>C. Rojas</v>
      </c>
      <c r="P10" s="386">
        <f>E14</f>
        <v>11</v>
      </c>
      <c r="Q10" s="386">
        <f t="shared" ref="Q10:S10" si="21">F14</f>
        <v>11.1</v>
      </c>
      <c r="R10" s="386">
        <f t="shared" si="21"/>
        <v>4</v>
      </c>
      <c r="S10" s="386">
        <f t="shared" si="21"/>
        <v>4.99</v>
      </c>
      <c r="V10" s="180" t="str">
        <f t="shared" si="11"/>
        <v>C. Rojas</v>
      </c>
      <c r="W10" s="386">
        <f t="shared" si="12"/>
        <v>11</v>
      </c>
      <c r="X10" s="386">
        <f t="shared" si="13"/>
        <v>11.1</v>
      </c>
      <c r="Y10" s="386">
        <f t="shared" si="14"/>
        <v>4</v>
      </c>
      <c r="Z10" s="386">
        <f t="shared" si="15"/>
        <v>4.99</v>
      </c>
    </row>
    <row r="11" spans="1:26" x14ac:dyDescent="0.25">
      <c r="A11" s="389" t="str">
        <f>PLANTILLA!D13</f>
        <v>K. Helms</v>
      </c>
      <c r="B11" s="165">
        <f>PLANTILLA!E13</f>
        <v>30</v>
      </c>
      <c r="C11" s="165">
        <f>PLANTILLA!H13</f>
        <v>2</v>
      </c>
      <c r="D11" s="391">
        <f>PLANTILLA!I13</f>
        <v>10.3</v>
      </c>
      <c r="E11" s="384">
        <f t="shared" si="4"/>
        <v>10.3</v>
      </c>
      <c r="F11" s="384">
        <f t="shared" si="5"/>
        <v>10.4</v>
      </c>
      <c r="G11" s="384">
        <f t="shared" si="6"/>
        <v>2</v>
      </c>
      <c r="H11" s="384">
        <f t="shared" si="7"/>
        <v>2.99</v>
      </c>
      <c r="I11" s="388">
        <f t="shared" si="8"/>
        <v>41.2</v>
      </c>
      <c r="J11" s="388">
        <f t="shared" si="9"/>
        <v>92.977040000000017</v>
      </c>
      <c r="K11" s="385"/>
      <c r="O11" t="str">
        <f>A11</f>
        <v>K. Helms</v>
      </c>
      <c r="P11" s="386">
        <f>E11</f>
        <v>10.3</v>
      </c>
      <c r="Q11" s="386">
        <f t="shared" ref="Q11:S11" si="22">F11</f>
        <v>10.4</v>
      </c>
      <c r="R11" s="386">
        <f t="shared" si="22"/>
        <v>2</v>
      </c>
      <c r="S11" s="386">
        <f t="shared" si="22"/>
        <v>2.99</v>
      </c>
      <c r="V11" s="180" t="str">
        <f t="shared" si="11"/>
        <v>K. Helms</v>
      </c>
      <c r="W11" s="386">
        <f t="shared" si="12"/>
        <v>10.3</v>
      </c>
      <c r="X11" s="386">
        <f t="shared" si="13"/>
        <v>10.4</v>
      </c>
      <c r="Y11" s="386">
        <f t="shared" si="14"/>
        <v>2</v>
      </c>
      <c r="Z11" s="386">
        <f t="shared" si="15"/>
        <v>2.99</v>
      </c>
    </row>
    <row r="12" spans="1:26" x14ac:dyDescent="0.25">
      <c r="A12" s="389" t="str">
        <f>PLANTILLA!D14</f>
        <v>S. Zobbe</v>
      </c>
      <c r="B12" s="165">
        <f>PLANTILLA!E14</f>
        <v>27</v>
      </c>
      <c r="C12" s="165">
        <f>PLANTILLA!H14</f>
        <v>2</v>
      </c>
      <c r="D12" s="391">
        <f>PLANTILLA!I14</f>
        <v>8.6999999999999993</v>
      </c>
      <c r="E12" s="384">
        <f t="shared" si="4"/>
        <v>8.6999999999999993</v>
      </c>
      <c r="F12" s="384">
        <f t="shared" si="5"/>
        <v>8.7999999999999989</v>
      </c>
      <c r="G12" s="384">
        <f t="shared" si="6"/>
        <v>2</v>
      </c>
      <c r="H12" s="384">
        <f t="shared" si="7"/>
        <v>2.99</v>
      </c>
      <c r="I12" s="388">
        <f t="shared" si="8"/>
        <v>34.799999999999997</v>
      </c>
      <c r="J12" s="388">
        <f t="shared" si="9"/>
        <v>78.672880000000006</v>
      </c>
      <c r="K12" s="385"/>
      <c r="O12" t="str">
        <f>A21</f>
        <v>L. Calosso</v>
      </c>
      <c r="P12" s="386">
        <f>E21</f>
        <v>10.199999999999999</v>
      </c>
      <c r="Q12" s="386">
        <f t="shared" ref="Q12:S12" si="23">F21</f>
        <v>10.299999999999999</v>
      </c>
      <c r="R12" s="386">
        <f t="shared" si="23"/>
        <v>3</v>
      </c>
      <c r="S12" s="386">
        <f t="shared" si="23"/>
        <v>3.99</v>
      </c>
      <c r="V12" s="180" t="str">
        <f t="shared" si="11"/>
        <v>L. Calosso</v>
      </c>
      <c r="W12" s="386">
        <f t="shared" si="12"/>
        <v>10.199999999999999</v>
      </c>
      <c r="X12" s="386">
        <f t="shared" si="13"/>
        <v>10.299999999999999</v>
      </c>
      <c r="Y12" s="386">
        <f t="shared" si="14"/>
        <v>3</v>
      </c>
      <c r="Z12" s="386">
        <f t="shared" si="15"/>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A20</f>
        <v>J. Limon</v>
      </c>
      <c r="P13" s="386">
        <f>E20</f>
        <v>10</v>
      </c>
      <c r="Q13" s="386">
        <f t="shared" ref="Q13:S13" si="24">F20</f>
        <v>10.1</v>
      </c>
      <c r="R13" s="386">
        <f t="shared" si="24"/>
        <v>3</v>
      </c>
      <c r="S13" s="386">
        <f t="shared" si="24"/>
        <v>3.99</v>
      </c>
      <c r="V13" s="180" t="str">
        <f t="shared" si="11"/>
        <v>J. Limon</v>
      </c>
      <c r="W13" s="386">
        <f t="shared" si="12"/>
        <v>10</v>
      </c>
      <c r="X13" s="386">
        <f t="shared" si="13"/>
        <v>10.1</v>
      </c>
      <c r="Y13" s="386">
        <f t="shared" si="14"/>
        <v>3</v>
      </c>
      <c r="Z13" s="386">
        <f t="shared" si="15"/>
        <v>3.99</v>
      </c>
    </row>
    <row r="14" spans="1:26" x14ac:dyDescent="0.25">
      <c r="A14" s="389" t="str">
        <f>PLANTILLA!D16</f>
        <v>C. Rojas</v>
      </c>
      <c r="B14" s="165">
        <f>PLANTILLA!E16</f>
        <v>31</v>
      </c>
      <c r="C14" s="165">
        <f>PLANTILLA!H16</f>
        <v>4</v>
      </c>
      <c r="D14" s="391">
        <f>PLANTILLA!I16</f>
        <v>11</v>
      </c>
      <c r="E14" s="384">
        <f t="shared" si="4"/>
        <v>11</v>
      </c>
      <c r="F14" s="384">
        <f t="shared" si="5"/>
        <v>11.1</v>
      </c>
      <c r="G14" s="384">
        <f t="shared" si="6"/>
        <v>4</v>
      </c>
      <c r="H14" s="384">
        <f t="shared" si="7"/>
        <v>4.99</v>
      </c>
      <c r="I14" s="388">
        <f t="shared" si="8"/>
        <v>176</v>
      </c>
      <c r="J14" s="388">
        <f t="shared" si="9"/>
        <v>276.39111000000003</v>
      </c>
      <c r="K14" s="385"/>
      <c r="P14" s="159">
        <f>SUM(P4:P13)/10</f>
        <v>10.77</v>
      </c>
      <c r="Q14" s="159">
        <f>SUM(Q4:Q13)/10</f>
        <v>10.87</v>
      </c>
      <c r="R14" s="159"/>
      <c r="S14" s="159"/>
      <c r="W14" s="159">
        <f>SUM(W4:W13)/10</f>
        <v>10.77</v>
      </c>
      <c r="X14" s="159">
        <f>SUM(X4:X13)/10</f>
        <v>10.87</v>
      </c>
      <c r="Y14" s="159"/>
      <c r="Z14" s="159"/>
    </row>
    <row r="15" spans="1:26" x14ac:dyDescent="0.25">
      <c r="A15" s="389" t="str">
        <f>PLANTILLA!D17</f>
        <v>E. Gross</v>
      </c>
      <c r="B15" s="165">
        <f>PLANTILLA!E17</f>
        <v>30</v>
      </c>
      <c r="C15" s="165">
        <f>PLANTILLA!H17</f>
        <v>3</v>
      </c>
      <c r="D15" s="391">
        <f>PLANTILLA!I17</f>
        <v>9.1</v>
      </c>
      <c r="E15" s="384">
        <f t="shared" si="4"/>
        <v>9.1</v>
      </c>
      <c r="F15" s="384">
        <f t="shared" si="5"/>
        <v>9.1999999999999993</v>
      </c>
      <c r="G15" s="384">
        <f t="shared" si="6"/>
        <v>3</v>
      </c>
      <c r="H15" s="384">
        <f t="shared" si="7"/>
        <v>3.99</v>
      </c>
      <c r="I15" s="388">
        <f t="shared" si="8"/>
        <v>81.899999999999991</v>
      </c>
      <c r="J15" s="388">
        <f t="shared" si="9"/>
        <v>146.46492000000001</v>
      </c>
      <c r="K15" s="385"/>
    </row>
    <row r="16" spans="1:26" x14ac:dyDescent="0.25">
      <c r="A16" s="389" t="str">
        <f>PLANTILLA!D18</f>
        <v>L. Bauman</v>
      </c>
      <c r="B16" s="165">
        <f>PLANTILLA!E18</f>
        <v>30</v>
      </c>
      <c r="C16" s="165">
        <f>PLANTILLA!H18</f>
        <v>0</v>
      </c>
      <c r="D16" s="391">
        <f>PLANTILLA!I18</f>
        <v>8.1</v>
      </c>
      <c r="E16" s="384">
        <f t="shared" si="4"/>
        <v>8.1</v>
      </c>
      <c r="F16" s="384">
        <f t="shared" si="5"/>
        <v>8.1999999999999993</v>
      </c>
      <c r="G16" s="384">
        <f t="shared" si="6"/>
        <v>0</v>
      </c>
      <c r="H16" s="384">
        <f t="shared" si="7"/>
        <v>0.99</v>
      </c>
      <c r="I16" s="388">
        <f t="shared" si="8"/>
        <v>0</v>
      </c>
      <c r="J16" s="388">
        <f t="shared" si="9"/>
        <v>8.0368199999999987</v>
      </c>
      <c r="K16" s="385"/>
      <c r="L16" s="202" t="s">
        <v>613</v>
      </c>
      <c r="O16" t="s">
        <v>614</v>
      </c>
      <c r="P16" s="290">
        <f>SUM(P3:P13)</f>
        <v>125.8</v>
      </c>
      <c r="Q16" s="290">
        <f>SUM(Q3:Q13)</f>
        <v>126.9</v>
      </c>
      <c r="R16" s="290"/>
      <c r="V16" s="180" t="s">
        <v>614</v>
      </c>
      <c r="W16" s="290">
        <f>SUM(W3:W13)</f>
        <v>125.8</v>
      </c>
      <c r="X16" s="290">
        <f>SUM(X3:X13)</f>
        <v>126.9</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s="345" t="s">
        <v>1038</v>
      </c>
      <c r="P17" s="159">
        <f>P16/16.5</f>
        <v>7.624242424242424</v>
      </c>
      <c r="Q17" s="159">
        <f>Q16/16.5</f>
        <v>7.6909090909090914</v>
      </c>
      <c r="R17" s="159"/>
      <c r="V17" s="180" t="s">
        <v>615</v>
      </c>
      <c r="W17" s="159">
        <f>W16/17</f>
        <v>7.3999999999999995</v>
      </c>
      <c r="X17" s="159">
        <f>X16/17</f>
        <v>7.4647058823529413</v>
      </c>
      <c r="Y17" s="159"/>
    </row>
    <row r="18" spans="1:25" x14ac:dyDescent="0.25">
      <c r="A18" s="389" t="str">
        <f>PLANTILLA!D20</f>
        <v>M. Amico</v>
      </c>
      <c r="B18" s="165">
        <f>PLANTILLA!E20</f>
        <v>29</v>
      </c>
      <c r="C18" s="165">
        <f>PLANTILLA!H20</f>
        <v>4</v>
      </c>
      <c r="D18" s="391">
        <f>PLANTILLA!I20</f>
        <v>1.2</v>
      </c>
      <c r="E18" s="384">
        <f t="shared" ref="E18" si="25">D18</f>
        <v>1.2</v>
      </c>
      <c r="F18" s="384">
        <f t="shared" ref="F18" si="26">E18+0.1</f>
        <v>1.3</v>
      </c>
      <c r="G18" s="384">
        <f t="shared" ref="G18" si="27">C18</f>
        <v>4</v>
      </c>
      <c r="H18" s="384">
        <f t="shared" ref="H18" si="28">G18+0.99</f>
        <v>4.99</v>
      </c>
      <c r="I18" s="388">
        <f t="shared" ref="I18" si="29">G18*G18*E18</f>
        <v>19.2</v>
      </c>
      <c r="J18" s="388">
        <f t="shared" ref="J18" si="30">H18*H18*F18</f>
        <v>32.370130000000003</v>
      </c>
      <c r="K18" s="385"/>
      <c r="L18" s="202" t="s">
        <v>616</v>
      </c>
      <c r="O18" s="264" t="s">
        <v>617</v>
      </c>
      <c r="P18" s="290">
        <f>R3^2</f>
        <v>36</v>
      </c>
      <c r="Q18" s="290">
        <f>S3^2</f>
        <v>48.860100000000003</v>
      </c>
      <c r="R18" s="290"/>
      <c r="V18" s="180" t="s">
        <v>617</v>
      </c>
      <c r="W18" s="290">
        <f>Y3^2</f>
        <v>36</v>
      </c>
      <c r="X18" s="290">
        <f>Z3^2</f>
        <v>48.860100000000003</v>
      </c>
      <c r="Y18" s="290"/>
    </row>
    <row r="19" spans="1:25" x14ac:dyDescent="0.25">
      <c r="A19" s="389" t="str">
        <f>PLANTILLA!D21</f>
        <v>G. Kerschl</v>
      </c>
      <c r="B19" s="165">
        <f>PLANTILLA!E21</f>
        <v>28</v>
      </c>
      <c r="C19" s="165">
        <f>PLANTILLA!H21</f>
        <v>1</v>
      </c>
      <c r="D19" s="391">
        <f>PLANTILLA!I21</f>
        <v>8.6</v>
      </c>
      <c r="E19" s="384">
        <f t="shared" ref="E19" si="31">D19</f>
        <v>8.6</v>
      </c>
      <c r="F19" s="384">
        <f t="shared" ref="F19" si="32">E19+0.1</f>
        <v>8.6999999999999993</v>
      </c>
      <c r="G19" s="384">
        <f t="shared" ref="G19" si="33">C19</f>
        <v>1</v>
      </c>
      <c r="H19" s="384">
        <f t="shared" ref="H19" si="34">G19+0.99</f>
        <v>1.99</v>
      </c>
      <c r="I19" s="388">
        <f t="shared" ref="I19" si="35">G19*G19*E19</f>
        <v>8.6</v>
      </c>
      <c r="J19" s="388">
        <f t="shared" ref="J19" si="36">H19*H19*F19</f>
        <v>34.452869999999997</v>
      </c>
      <c r="K19" s="385"/>
      <c r="L19" s="202" t="s">
        <v>618</v>
      </c>
      <c r="O19" s="264" t="s">
        <v>619</v>
      </c>
      <c r="P19" s="290">
        <f>P18*P3</f>
        <v>651.6</v>
      </c>
      <c r="Q19" s="290">
        <f>Q18*Q3</f>
        <v>889.25382000000013</v>
      </c>
      <c r="R19" s="290"/>
      <c r="V19" s="180" t="s">
        <v>619</v>
      </c>
      <c r="W19" s="290">
        <f>W18*W3</f>
        <v>651.6</v>
      </c>
      <c r="X19" s="290">
        <f>X18*X3</f>
        <v>889.25382000000013</v>
      </c>
      <c r="Y19" s="290"/>
    </row>
    <row r="20" spans="1:25" x14ac:dyDescent="0.25">
      <c r="A20" s="389" t="str">
        <f>PLANTILLA!D22</f>
        <v>J. Limon</v>
      </c>
      <c r="B20" s="165">
        <f>PLANTILLA!E22</f>
        <v>29</v>
      </c>
      <c r="C20" s="165">
        <f>PLANTILLA!H22</f>
        <v>3</v>
      </c>
      <c r="D20" s="391">
        <f>PLANTILLA!I22</f>
        <v>10</v>
      </c>
      <c r="E20" s="384">
        <f t="shared" si="4"/>
        <v>10</v>
      </c>
      <c r="F20" s="384">
        <f t="shared" si="5"/>
        <v>10.1</v>
      </c>
      <c r="G20" s="384">
        <f t="shared" si="6"/>
        <v>3</v>
      </c>
      <c r="H20" s="384">
        <f t="shared" si="7"/>
        <v>3.99</v>
      </c>
      <c r="I20" s="388">
        <f t="shared" si="8"/>
        <v>90</v>
      </c>
      <c r="J20" s="388">
        <f t="shared" si="9"/>
        <v>160.79301000000001</v>
      </c>
      <c r="K20" s="385"/>
      <c r="L20" s="202" t="s">
        <v>620</v>
      </c>
      <c r="O20" s="345" t="s">
        <v>1039</v>
      </c>
      <c r="P20" s="159">
        <f>(P19^(2/3))/27</f>
        <v>2.7837076285616571</v>
      </c>
      <c r="Q20" s="159">
        <f>(Q19^(2/3))/27</f>
        <v>3.4249433737932482</v>
      </c>
      <c r="R20" s="159"/>
      <c r="V20" s="180" t="s">
        <v>621</v>
      </c>
      <c r="W20" s="159">
        <f>(W19^(2/3))/30</f>
        <v>2.5053368657054915</v>
      </c>
      <c r="X20" s="159">
        <f>(X19^(2/3))/30</f>
        <v>3.0824490364139234</v>
      </c>
      <c r="Y20" s="159"/>
    </row>
    <row r="21" spans="1:25" x14ac:dyDescent="0.25">
      <c r="A21" s="389" t="str">
        <f>PLANTILLA!D23</f>
        <v>L. Calosso</v>
      </c>
      <c r="B21" s="165">
        <f>PLANTILLA!E23</f>
        <v>30</v>
      </c>
      <c r="C21" s="165">
        <f>PLANTILLA!H23</f>
        <v>3</v>
      </c>
      <c r="D21" s="391">
        <f>PLANTILLA!I23</f>
        <v>10.199999999999999</v>
      </c>
      <c r="E21" s="384">
        <f t="shared" si="4"/>
        <v>10.199999999999999</v>
      </c>
      <c r="F21" s="384">
        <f t="shared" si="5"/>
        <v>10.299999999999999</v>
      </c>
      <c r="G21" s="384">
        <f t="shared" si="6"/>
        <v>3</v>
      </c>
      <c r="H21" s="384">
        <f t="shared" si="7"/>
        <v>3.99</v>
      </c>
      <c r="I21" s="388">
        <f t="shared" si="8"/>
        <v>91.8</v>
      </c>
      <c r="J21" s="388">
        <f t="shared" si="9"/>
        <v>163.97702999999998</v>
      </c>
      <c r="K21" s="385"/>
      <c r="L21" s="202" t="s">
        <v>622</v>
      </c>
      <c r="O21" s="180" t="s">
        <v>623</v>
      </c>
      <c r="P21" s="705">
        <f>P17+P20</f>
        <v>10.407950052804081</v>
      </c>
      <c r="Q21" s="705">
        <f>Q17+Q20</f>
        <v>11.115852464702339</v>
      </c>
      <c r="V21" s="180" t="s">
        <v>623</v>
      </c>
      <c r="W21" s="705">
        <f>W17+W20</f>
        <v>9.9053368657054914</v>
      </c>
      <c r="X21" s="705">
        <f>X17+X20</f>
        <v>10.547154918766864</v>
      </c>
    </row>
    <row r="22" spans="1:25" x14ac:dyDescent="0.25">
      <c r="A22" s="389" t="str">
        <f>PLANTILLA!D24</f>
        <v>P .Trivadi</v>
      </c>
      <c r="B22" s="165">
        <f>PLANTILLA!E24</f>
        <v>27</v>
      </c>
      <c r="C22" s="165">
        <f>PLANTILLA!H24</f>
        <v>5</v>
      </c>
      <c r="D22" s="391">
        <f>PLANTILLA!I24</f>
        <v>5.3</v>
      </c>
      <c r="E22" s="384">
        <f t="shared" si="4"/>
        <v>5.3</v>
      </c>
      <c r="F22" s="384">
        <f t="shared" si="5"/>
        <v>5.3999999999999995</v>
      </c>
      <c r="G22" s="384">
        <f t="shared" si="6"/>
        <v>5</v>
      </c>
      <c r="H22" s="384">
        <f t="shared" si="7"/>
        <v>5.99</v>
      </c>
      <c r="I22" s="388">
        <f t="shared" si="8"/>
        <v>132.5</v>
      </c>
      <c r="J22" s="388">
        <f t="shared" si="9"/>
        <v>193.75254000000001</v>
      </c>
      <c r="K22" s="385"/>
      <c r="L22" t="s">
        <v>624</v>
      </c>
    </row>
    <row r="23" spans="1:25" x14ac:dyDescent="0.25">
      <c r="A23" s="389"/>
      <c r="B23" s="165"/>
      <c r="C23" s="165"/>
      <c r="D23" s="391"/>
      <c r="E23" s="384"/>
      <c r="F23" s="384"/>
      <c r="G23" s="384"/>
      <c r="H23" s="384"/>
      <c r="I23" s="388"/>
      <c r="J23" s="388"/>
      <c r="K23" s="385"/>
      <c r="O23" s="317">
        <v>42576</v>
      </c>
      <c r="P23">
        <v>6.76</v>
      </c>
      <c r="Q23">
        <v>6.99</v>
      </c>
      <c r="R23" t="s">
        <v>994</v>
      </c>
      <c r="W23" s="159"/>
    </row>
    <row r="24" spans="1:25" x14ac:dyDescent="0.25">
      <c r="A24" s="389"/>
      <c r="B24" s="165"/>
      <c r="C24" s="165"/>
      <c r="D24" s="391"/>
      <c r="E24" s="384"/>
      <c r="F24" s="384"/>
      <c r="G24" s="384"/>
      <c r="H24" s="384"/>
      <c r="I24" s="388"/>
      <c r="J24" s="388"/>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row r="28" spans="1:25" x14ac:dyDescent="0.25">
      <c r="A28" s="389"/>
      <c r="B28" s="165"/>
      <c r="C28" s="165"/>
      <c r="D28" s="39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810</v>
      </c>
      <c r="D1" s="4" t="s">
        <v>442</v>
      </c>
      <c r="E1" s="4" t="s">
        <v>814</v>
      </c>
      <c r="F1" s="4" t="s">
        <v>815</v>
      </c>
      <c r="G1" s="4" t="s">
        <v>816</v>
      </c>
      <c r="H1" s="4" t="s">
        <v>17</v>
      </c>
      <c r="I1" s="4" t="s">
        <v>817</v>
      </c>
      <c r="K1" s="4" t="s">
        <v>442</v>
      </c>
      <c r="L1" s="4" t="s">
        <v>814</v>
      </c>
      <c r="M1" s="4" t="s">
        <v>815</v>
      </c>
      <c r="N1" s="4" t="s">
        <v>816</v>
      </c>
      <c r="O1" s="4" t="s">
        <v>17</v>
      </c>
      <c r="P1" s="4" t="s">
        <v>817</v>
      </c>
    </row>
    <row r="2" spans="1:16" x14ac:dyDescent="0.25">
      <c r="A2">
        <v>3.5</v>
      </c>
      <c r="B2" t="s">
        <v>811</v>
      </c>
      <c r="D2" s="515">
        <v>10</v>
      </c>
      <c r="E2" s="516">
        <f t="shared" ref="E2:E11" si="0">D2*$A$2</f>
        <v>35</v>
      </c>
      <c r="F2" s="516">
        <f t="shared" ref="F2:F11" si="1">D2*$A$3</f>
        <v>25</v>
      </c>
      <c r="G2" s="517">
        <f t="shared" ref="G2:G11" si="2">D2*$A$4</f>
        <v>0.33333333333333331</v>
      </c>
      <c r="H2" s="515">
        <f>48000*0.68</f>
        <v>32640.000000000004</v>
      </c>
      <c r="I2" s="518">
        <f t="shared" ref="I2:I11" si="3">H2/D2</f>
        <v>3264.0000000000005</v>
      </c>
      <c r="K2">
        <v>15</v>
      </c>
      <c r="L2" s="290">
        <f>K2*3.2</f>
        <v>48</v>
      </c>
      <c r="M2" s="290">
        <f>K2*$A$3</f>
        <v>37.5</v>
      </c>
      <c r="N2" s="438">
        <f>K2*$A$4</f>
        <v>0.5</v>
      </c>
      <c r="O2">
        <f>24000*3</f>
        <v>72000</v>
      </c>
      <c r="P2">
        <f>O2/K2</f>
        <v>4800</v>
      </c>
    </row>
    <row r="3" spans="1:16" x14ac:dyDescent="0.25">
      <c r="A3">
        <v>2.5</v>
      </c>
      <c r="B3" t="s">
        <v>813</v>
      </c>
      <c r="D3" s="515">
        <v>9</v>
      </c>
      <c r="E3" s="516">
        <f t="shared" si="0"/>
        <v>31.5</v>
      </c>
      <c r="F3" s="516">
        <f t="shared" si="1"/>
        <v>22.5</v>
      </c>
      <c r="G3" s="517">
        <f t="shared" si="2"/>
        <v>0.3</v>
      </c>
      <c r="H3" s="515">
        <f>36000*0.68</f>
        <v>24480</v>
      </c>
      <c r="I3" s="518">
        <f t="shared" si="3"/>
        <v>2720</v>
      </c>
      <c r="K3">
        <v>12</v>
      </c>
      <c r="L3" s="290">
        <f>K3*3.2</f>
        <v>38.400000000000006</v>
      </c>
      <c r="M3" s="290">
        <f>K3*$A$3</f>
        <v>30</v>
      </c>
      <c r="N3" s="438">
        <f>K3*$A$4</f>
        <v>0.4</v>
      </c>
      <c r="O3">
        <f>12000*3</f>
        <v>36000</v>
      </c>
      <c r="P3">
        <f>O3/K3</f>
        <v>3000</v>
      </c>
    </row>
    <row r="4" spans="1:16" x14ac:dyDescent="0.25">
      <c r="A4" s="514">
        <f>0.5/15</f>
        <v>3.3333333333333333E-2</v>
      </c>
      <c r="B4" t="s">
        <v>812</v>
      </c>
      <c r="D4" s="515">
        <v>8</v>
      </c>
      <c r="E4" s="516">
        <f t="shared" si="0"/>
        <v>28</v>
      </c>
      <c r="F4" s="516">
        <f t="shared" si="1"/>
        <v>20</v>
      </c>
      <c r="G4" s="517">
        <f t="shared" si="2"/>
        <v>0.26666666666666666</v>
      </c>
      <c r="H4" s="515">
        <f>24000*0.68</f>
        <v>16320.000000000002</v>
      </c>
      <c r="I4" s="518">
        <f t="shared" si="3"/>
        <v>2040.0000000000002</v>
      </c>
    </row>
    <row r="5" spans="1:16" x14ac:dyDescent="0.25">
      <c r="D5" s="515">
        <v>7</v>
      </c>
      <c r="E5" s="516">
        <f t="shared" si="0"/>
        <v>24.5</v>
      </c>
      <c r="F5" s="516">
        <f t="shared" si="1"/>
        <v>17.5</v>
      </c>
      <c r="G5" s="517">
        <f t="shared" si="2"/>
        <v>0.23333333333333334</v>
      </c>
      <c r="H5" s="515">
        <f>18000*0.68</f>
        <v>12240</v>
      </c>
      <c r="I5" s="518">
        <f t="shared" si="3"/>
        <v>1748.5714285714287</v>
      </c>
    </row>
    <row r="6" spans="1:16" x14ac:dyDescent="0.25">
      <c r="D6" s="515">
        <v>6</v>
      </c>
      <c r="E6" s="516">
        <f t="shared" si="0"/>
        <v>21</v>
      </c>
      <c r="F6" s="516">
        <f t="shared" si="1"/>
        <v>15</v>
      </c>
      <c r="G6" s="517">
        <f t="shared" si="2"/>
        <v>0.2</v>
      </c>
      <c r="H6" s="515">
        <f>12000*0.68</f>
        <v>8160.0000000000009</v>
      </c>
      <c r="I6" s="518">
        <f t="shared" si="3"/>
        <v>1360.0000000000002</v>
      </c>
    </row>
    <row r="7" spans="1:16" x14ac:dyDescent="0.25">
      <c r="D7" s="515">
        <v>5</v>
      </c>
      <c r="E7" s="516">
        <f t="shared" si="0"/>
        <v>17.5</v>
      </c>
      <c r="F7" s="516">
        <f t="shared" si="1"/>
        <v>12.5</v>
      </c>
      <c r="G7" s="517">
        <f t="shared" si="2"/>
        <v>0.16666666666666666</v>
      </c>
      <c r="H7" s="515">
        <f>24000*0.68</f>
        <v>16320.000000000002</v>
      </c>
      <c r="I7" s="518">
        <f t="shared" si="3"/>
        <v>3264.0000000000005</v>
      </c>
      <c r="L7" s="290"/>
    </row>
    <row r="8" spans="1:16" x14ac:dyDescent="0.25">
      <c r="D8" s="515">
        <v>4</v>
      </c>
      <c r="E8" s="516">
        <f t="shared" si="0"/>
        <v>14</v>
      </c>
      <c r="F8" s="516">
        <f t="shared" si="1"/>
        <v>10</v>
      </c>
      <c r="G8" s="517">
        <f t="shared" si="2"/>
        <v>0.13333333333333333</v>
      </c>
      <c r="H8" s="515">
        <f>12000*0.68</f>
        <v>8160.0000000000009</v>
      </c>
      <c r="I8" s="518">
        <f t="shared" si="3"/>
        <v>2040.0000000000002</v>
      </c>
    </row>
    <row r="9" spans="1:16" x14ac:dyDescent="0.25">
      <c r="D9" s="515">
        <v>3</v>
      </c>
      <c r="E9" s="516">
        <f t="shared" si="0"/>
        <v>10.5</v>
      </c>
      <c r="F9" s="516">
        <f t="shared" si="1"/>
        <v>7.5</v>
      </c>
      <c r="G9" s="517">
        <f t="shared" si="2"/>
        <v>0.1</v>
      </c>
      <c r="H9" s="515">
        <f>6000*0.68</f>
        <v>4080.0000000000005</v>
      </c>
      <c r="I9" s="518">
        <f t="shared" si="3"/>
        <v>1360.0000000000002</v>
      </c>
    </row>
    <row r="10" spans="1:16" x14ac:dyDescent="0.25">
      <c r="D10" s="515">
        <v>2</v>
      </c>
      <c r="E10" s="516">
        <f t="shared" si="0"/>
        <v>7</v>
      </c>
      <c r="F10" s="516">
        <f t="shared" si="1"/>
        <v>5</v>
      </c>
      <c r="G10" s="517">
        <f t="shared" si="2"/>
        <v>6.6666666666666666E-2</v>
      </c>
      <c r="H10" s="515">
        <f>3000*0.68</f>
        <v>2040.0000000000002</v>
      </c>
      <c r="I10" s="518">
        <f t="shared" si="3"/>
        <v>1020.0000000000001</v>
      </c>
    </row>
    <row r="11" spans="1:16" x14ac:dyDescent="0.25">
      <c r="D11" s="515">
        <v>1</v>
      </c>
      <c r="E11" s="516">
        <f t="shared" si="0"/>
        <v>3.5</v>
      </c>
      <c r="F11" s="516">
        <f t="shared" si="1"/>
        <v>2.5</v>
      </c>
      <c r="G11" s="517">
        <f t="shared" si="2"/>
        <v>3.3333333333333333E-2</v>
      </c>
      <c r="H11" s="515">
        <f>1500*0.68</f>
        <v>1020.0000000000001</v>
      </c>
      <c r="I11" s="518">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0" bestFit="1" customWidth="1"/>
    <col min="14" max="14" width="21.5703125" style="450" bestFit="1" customWidth="1"/>
    <col min="15" max="15" width="14" style="500" bestFit="1" customWidth="1"/>
    <col min="16" max="16" width="13" style="450" bestFit="1" customWidth="1"/>
    <col min="17" max="17" width="10.42578125" style="450" bestFit="1" customWidth="1"/>
    <col min="18" max="18" width="10.28515625" style="450" bestFit="1" customWidth="1"/>
    <col min="19" max="19" width="21" style="450" bestFit="1" customWidth="1"/>
    <col min="20" max="20" width="12" style="450" bestFit="1" customWidth="1"/>
    <col min="21" max="21" width="16.85546875" style="450"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1" t="s">
        <v>728</v>
      </c>
      <c r="N1" s="451" t="s">
        <v>729</v>
      </c>
      <c r="O1" s="451" t="s">
        <v>802</v>
      </c>
      <c r="P1" s="451" t="s">
        <v>726</v>
      </c>
      <c r="Q1" s="451" t="s">
        <v>732</v>
      </c>
      <c r="R1" s="451" t="s">
        <v>733</v>
      </c>
      <c r="S1" s="451" t="s">
        <v>727</v>
      </c>
      <c r="T1" s="451" t="s">
        <v>630</v>
      </c>
      <c r="U1" s="451" t="s">
        <v>730</v>
      </c>
      <c r="V1" s="451" t="s">
        <v>731</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2">
        <v>41576</v>
      </c>
      <c r="N2" s="452">
        <v>41731</v>
      </c>
      <c r="O2" s="452">
        <v>42305</v>
      </c>
      <c r="P2" s="246">
        <v>772000</v>
      </c>
      <c r="Q2" s="246">
        <f>((N2-M2)/7)*L2</f>
        <v>6642.8571428571431</v>
      </c>
      <c r="R2" s="246">
        <f ca="1">((TODAY()-N2)/7)*L2</f>
        <v>57814.285714285717</v>
      </c>
      <c r="S2" s="246">
        <v>2068800</v>
      </c>
      <c r="T2" s="246">
        <f ca="1">S2+Q2+P2+R2</f>
        <v>2905257.1428571432</v>
      </c>
      <c r="U2" s="251">
        <f ca="1">T2/((O2-N2)/112)</f>
        <v>566879.4425087109</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1" t="s">
        <v>728</v>
      </c>
      <c r="N3" s="451" t="s">
        <v>729</v>
      </c>
      <c r="O3" s="451" t="s">
        <v>802</v>
      </c>
      <c r="P3" s="451" t="s">
        <v>726</v>
      </c>
      <c r="Q3" s="451" t="s">
        <v>732</v>
      </c>
      <c r="R3" s="451" t="s">
        <v>733</v>
      </c>
      <c r="S3" s="451" t="s">
        <v>727</v>
      </c>
      <c r="T3" s="451" t="s">
        <v>630</v>
      </c>
      <c r="U3" s="451" t="s">
        <v>730</v>
      </c>
      <c r="V3" s="451" t="s">
        <v>731</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2">
        <v>41976</v>
      </c>
      <c r="N4" s="452">
        <v>42305</v>
      </c>
      <c r="O4" s="452">
        <v>42908</v>
      </c>
      <c r="P4" s="246">
        <v>1052640</v>
      </c>
      <c r="Q4" s="246">
        <f>((N4-M4)/7)*L4</f>
        <v>14100</v>
      </c>
      <c r="R4" s="246">
        <f ca="1">((TODAY()-N4)/7)*L4</f>
        <v>33214.28571428571</v>
      </c>
      <c r="S4" s="246">
        <v>2059800</v>
      </c>
      <c r="T4" s="246">
        <f>S4+Q4+P4</f>
        <v>3126540</v>
      </c>
      <c r="U4" s="251">
        <f>T4/((O4-N4)/112)</f>
        <v>580717.21393034828</v>
      </c>
      <c r="V4" s="163">
        <f ca="1">(A7-N4)/112</f>
        <v>6.9196428571428568</v>
      </c>
    </row>
    <row r="5" spans="1:22" x14ac:dyDescent="0.25">
      <c r="M5" s="500"/>
      <c r="N5" s="500"/>
      <c r="O5" s="654"/>
      <c r="P5" s="500"/>
      <c r="Q5" s="500"/>
      <c r="R5" s="500"/>
      <c r="S5" s="500"/>
      <c r="T5" s="500"/>
      <c r="U5" s="500"/>
    </row>
    <row r="6" spans="1:22" x14ac:dyDescent="0.25">
      <c r="M6" s="500"/>
      <c r="N6" s="500"/>
      <c r="P6" s="500"/>
      <c r="Q6" s="500"/>
      <c r="R6" s="500"/>
      <c r="S6" s="500"/>
      <c r="T6" s="500"/>
      <c r="U6" s="500"/>
    </row>
    <row r="7" spans="1:22" x14ac:dyDescent="0.25">
      <c r="A7" s="178">
        <f ca="1">TODAY()</f>
        <v>43080</v>
      </c>
    </row>
    <row r="8" spans="1:22" x14ac:dyDescent="0.25">
      <c r="A8" s="178">
        <v>41757</v>
      </c>
    </row>
    <row r="9" spans="1:22" x14ac:dyDescent="0.25">
      <c r="A9" s="180">
        <f ca="1">A7-A8</f>
        <v>1323</v>
      </c>
    </row>
    <row r="10" spans="1:22" x14ac:dyDescent="0.25">
      <c r="A10" s="449">
        <f ca="1">A9/112</f>
        <v>11.8125</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1" t="s">
        <v>728</v>
      </c>
      <c r="N12" s="451" t="s">
        <v>729</v>
      </c>
      <c r="O12" s="451" t="s">
        <v>802</v>
      </c>
      <c r="P12" s="451" t="s">
        <v>726</v>
      </c>
      <c r="Q12" s="451" t="s">
        <v>732</v>
      </c>
      <c r="R12" s="451" t="s">
        <v>733</v>
      </c>
      <c r="S12" s="451" t="s">
        <v>727</v>
      </c>
      <c r="T12" s="451" t="s">
        <v>630</v>
      </c>
      <c r="U12" s="451" t="s">
        <v>730</v>
      </c>
      <c r="V12" s="451" t="s">
        <v>731</v>
      </c>
    </row>
    <row r="13" spans="1:22" x14ac:dyDescent="0.25">
      <c r="D13" s="321" t="s">
        <v>1008</v>
      </c>
      <c r="E13" s="228">
        <v>39</v>
      </c>
      <c r="F13" s="287"/>
      <c r="G13" s="401">
        <v>6</v>
      </c>
      <c r="H13" s="232">
        <v>13</v>
      </c>
      <c r="I13" s="330">
        <f t="shared" ref="I13" si="2">(G13)*(G13)*(H13)</f>
        <v>468</v>
      </c>
      <c r="J13" s="330">
        <f t="shared" ref="J13" si="3">(G13+1)*(G13+1)*H13</f>
        <v>637</v>
      </c>
      <c r="K13" s="322">
        <v>1130</v>
      </c>
      <c r="L13" s="322">
        <v>864</v>
      </c>
      <c r="M13" s="452">
        <v>42628</v>
      </c>
      <c r="N13" s="452">
        <f>O4</f>
        <v>42908</v>
      </c>
      <c r="O13" s="452">
        <f ca="1">TODAY()</f>
        <v>43080</v>
      </c>
      <c r="P13" s="656">
        <v>1800000</v>
      </c>
      <c r="Q13" s="246">
        <v>372</v>
      </c>
      <c r="R13" s="246">
        <f t="shared" ref="R13" ca="1" si="4">((TODAY()-N13)/7)*L13</f>
        <v>21229.714285714286</v>
      </c>
      <c r="S13" s="656">
        <v>2553000</v>
      </c>
      <c r="T13" s="246">
        <f t="shared" ref="T13" si="5">S13+Q13+P13</f>
        <v>4353372</v>
      </c>
      <c r="U13" s="251">
        <f t="shared" ref="U13" ca="1" si="6">T13/((O13-N13)/112)</f>
        <v>2834753.8604651163</v>
      </c>
      <c r="V13" s="163">
        <v>7</v>
      </c>
    </row>
    <row r="17" spans="1:22" ht="18" x14ac:dyDescent="0.25">
      <c r="A17" s="641">
        <v>42908</v>
      </c>
      <c r="B17" s="317"/>
      <c r="C17">
        <v>112</v>
      </c>
      <c r="D17">
        <v>0</v>
      </c>
    </row>
    <row r="18" spans="1:22" x14ac:dyDescent="0.25">
      <c r="A18" s="317">
        <f ca="1">TODAY()</f>
        <v>43080</v>
      </c>
      <c r="B18" s="317"/>
      <c r="C18">
        <v>400</v>
      </c>
      <c r="D18">
        <v>1</v>
      </c>
    </row>
    <row r="19" spans="1:22" x14ac:dyDescent="0.25">
      <c r="A19">
        <f ca="1">A18-A17</f>
        <v>172</v>
      </c>
      <c r="C19">
        <f>C18-C17</f>
        <v>288</v>
      </c>
      <c r="D19" s="642">
        <f ca="1">(A19-C17)/C19</f>
        <v>0.20833333333333334</v>
      </c>
    </row>
    <row r="20" spans="1:22" x14ac:dyDescent="0.25">
      <c r="D20" t="s">
        <v>1029</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1" t="s">
        <v>728</v>
      </c>
      <c r="N24" s="451" t="s">
        <v>729</v>
      </c>
      <c r="O24" s="451" t="s">
        <v>802</v>
      </c>
      <c r="P24" s="451" t="s">
        <v>726</v>
      </c>
      <c r="Q24" s="451" t="s">
        <v>732</v>
      </c>
      <c r="R24" s="451" t="s">
        <v>733</v>
      </c>
      <c r="S24" s="451" t="s">
        <v>727</v>
      </c>
      <c r="T24" s="451" t="s">
        <v>630</v>
      </c>
      <c r="U24" s="451" t="s">
        <v>730</v>
      </c>
      <c r="V24" s="451" t="s">
        <v>731</v>
      </c>
    </row>
    <row r="28" spans="1:22" ht="19.5" x14ac:dyDescent="0.25">
      <c r="A28" s="721" t="s">
        <v>366</v>
      </c>
      <c r="B28" s="721"/>
      <c r="C28" s="721"/>
      <c r="D28" s="721"/>
    </row>
    <row r="29" spans="1:22" x14ac:dyDescent="0.25">
      <c r="A29" s="722" t="s">
        <v>297</v>
      </c>
      <c r="B29" s="723" t="s">
        <v>367</v>
      </c>
      <c r="C29" s="723" t="s">
        <v>368</v>
      </c>
      <c r="D29" s="723" t="s">
        <v>369</v>
      </c>
    </row>
    <row r="30" spans="1:22" x14ac:dyDescent="0.25">
      <c r="A30" s="722"/>
      <c r="B30" s="723"/>
      <c r="C30" s="723"/>
      <c r="D30" s="723"/>
    </row>
    <row r="31" spans="1:22" x14ac:dyDescent="0.25">
      <c r="A31" s="247" t="s">
        <v>367</v>
      </c>
      <c r="B31" s="248" t="s">
        <v>370</v>
      </c>
      <c r="C31" s="248" t="s">
        <v>371</v>
      </c>
      <c r="D31" s="248" t="s">
        <v>371</v>
      </c>
    </row>
    <row r="32" spans="1:22" x14ac:dyDescent="0.25">
      <c r="A32" s="655" t="s">
        <v>368</v>
      </c>
      <c r="B32" s="250" t="s">
        <v>372</v>
      </c>
      <c r="C32" s="250" t="s">
        <v>373</v>
      </c>
      <c r="D32" s="250" t="s">
        <v>371</v>
      </c>
    </row>
    <row r="33" spans="1:4" x14ac:dyDescent="0.25">
      <c r="A33" s="247" t="s">
        <v>369</v>
      </c>
      <c r="B33" s="248" t="s">
        <v>374</v>
      </c>
      <c r="C33" s="248" t="s">
        <v>375</v>
      </c>
      <c r="D33" s="248" t="s">
        <v>376</v>
      </c>
    </row>
    <row r="34" spans="1:4" x14ac:dyDescent="0.25">
      <c r="A34" s="655" t="s">
        <v>377</v>
      </c>
      <c r="B34" s="250" t="s">
        <v>378</v>
      </c>
      <c r="C34" s="250" t="s">
        <v>379</v>
      </c>
      <c r="D34" s="250" t="s">
        <v>380</v>
      </c>
    </row>
    <row r="35" spans="1:4" x14ac:dyDescent="0.25">
      <c r="A35" s="247" t="s">
        <v>381</v>
      </c>
      <c r="B35" s="248" t="s">
        <v>382</v>
      </c>
      <c r="C35" s="248" t="s">
        <v>383</v>
      </c>
      <c r="D35" s="248" t="s">
        <v>384</v>
      </c>
    </row>
    <row r="36" spans="1:4" x14ac:dyDescent="0.25">
      <c r="A36" s="655" t="s">
        <v>385</v>
      </c>
      <c r="B36" s="250" t="s">
        <v>386</v>
      </c>
      <c r="C36" s="250" t="s">
        <v>387</v>
      </c>
      <c r="D36" s="250" t="s">
        <v>388</v>
      </c>
    </row>
    <row r="37" spans="1:4" x14ac:dyDescent="0.25">
      <c r="A37" s="247" t="s">
        <v>389</v>
      </c>
      <c r="B37" s="248" t="s">
        <v>390</v>
      </c>
      <c r="C37" s="248" t="s">
        <v>391</v>
      </c>
      <c r="D37" s="248" t="s">
        <v>392</v>
      </c>
    </row>
    <row r="38" spans="1:4" x14ac:dyDescent="0.25">
      <c r="A38" s="655" t="s">
        <v>393</v>
      </c>
      <c r="B38" s="250" t="s">
        <v>394</v>
      </c>
      <c r="C38" s="250" t="s">
        <v>395</v>
      </c>
      <c r="D38" s="250" t="s">
        <v>396</v>
      </c>
    </row>
    <row r="39" spans="1:4" x14ac:dyDescent="0.25">
      <c r="A39" s="247" t="s">
        <v>397</v>
      </c>
      <c r="B39" s="248" t="s">
        <v>398</v>
      </c>
      <c r="C39" s="248" t="s">
        <v>399</v>
      </c>
      <c r="D39" s="248" t="s">
        <v>400</v>
      </c>
    </row>
    <row r="40" spans="1:4" x14ac:dyDescent="0.25">
      <c r="A40" s="655" t="s">
        <v>401</v>
      </c>
      <c r="B40" s="250" t="s">
        <v>402</v>
      </c>
      <c r="C40" s="250" t="s">
        <v>403</v>
      </c>
      <c r="D40" s="250" t="s">
        <v>404</v>
      </c>
    </row>
    <row r="41" spans="1:4" x14ac:dyDescent="0.25">
      <c r="A41" s="247" t="s">
        <v>405</v>
      </c>
      <c r="B41" s="248" t="s">
        <v>406</v>
      </c>
      <c r="C41" s="248" t="s">
        <v>407</v>
      </c>
      <c r="D41" s="248" t="s">
        <v>408</v>
      </c>
    </row>
    <row r="42" spans="1:4" x14ac:dyDescent="0.25">
      <c r="A42" s="655" t="s">
        <v>409</v>
      </c>
      <c r="B42" s="250" t="s">
        <v>410</v>
      </c>
      <c r="C42" s="250" t="s">
        <v>411</v>
      </c>
      <c r="D42" s="250" t="s">
        <v>412</v>
      </c>
    </row>
    <row r="43" spans="1:4" x14ac:dyDescent="0.25">
      <c r="A43" s="247" t="s">
        <v>413</v>
      </c>
      <c r="B43" s="248" t="s">
        <v>414</v>
      </c>
      <c r="C43" s="248" t="s">
        <v>415</v>
      </c>
      <c r="D43" s="248" t="s">
        <v>416</v>
      </c>
    </row>
    <row r="44" spans="1:4" x14ac:dyDescent="0.25">
      <c r="A44" s="655"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zoomScaleNormal="100" workbookViewId="0">
      <pane xSplit="30" ySplit="4" topLeftCell="AE5" activePane="bottomRight" state="frozen"/>
      <selection pane="topRight" activeCell="T1" sqref="T1"/>
      <selection pane="bottomLeft" activeCell="A4" sqref="A4"/>
      <selection pane="bottomRight" activeCell="R10" sqref="R10"/>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7" bestFit="1" customWidth="1"/>
    <col min="15" max="15" width="10.42578125" style="707" bestFit="1" customWidth="1"/>
    <col min="16" max="16" width="4.5703125" style="707" bestFit="1" customWidth="1"/>
    <col min="17" max="17" width="4.140625" style="448" bestFit="1" customWidth="1"/>
    <col min="18" max="19" width="5.7109375" style="521" bestFit="1" customWidth="1"/>
    <col min="20" max="20" width="12" bestFit="1" customWidth="1"/>
    <col min="21" max="21" width="9.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67" customFormat="1" x14ac:dyDescent="0.25">
      <c r="C1" s="664">
        <f ca="1">AVERAGE(C5,C8,C9,C10,C11,C12,C13,C14,C15,C16,C17,C18,C19,C22,C24)</f>
        <v>4.1749999999999998</v>
      </c>
      <c r="D1" s="375">
        <f ca="1">TODAY()</f>
        <v>43080</v>
      </c>
      <c r="E1" s="714">
        <v>41471</v>
      </c>
      <c r="F1" s="714"/>
      <c r="G1" s="714"/>
      <c r="H1" s="269"/>
      <c r="I1" s="269"/>
      <c r="J1" s="269"/>
      <c r="K1" s="270"/>
      <c r="L1" s="269"/>
      <c r="M1" s="270"/>
      <c r="N1" s="270"/>
      <c r="O1" s="270"/>
      <c r="P1" s="270"/>
      <c r="Q1" s="664">
        <f>AVERAGE(Q5,Q8,Q9,Q10,Q11,Q12,Q13,Q14,Q15,Q16,Q17,Q18,Q19,Q22,Q24)</f>
        <v>5.5333333333333332</v>
      </c>
      <c r="R1" s="270"/>
      <c r="S1" s="270"/>
      <c r="T1" s="269"/>
      <c r="U1" s="269"/>
      <c r="V1" s="269"/>
      <c r="W1" s="269"/>
      <c r="X1" s="337"/>
      <c r="Y1" s="269"/>
      <c r="Z1" s="269"/>
      <c r="AA1" s="269"/>
      <c r="AB1" s="269"/>
      <c r="AC1" s="269"/>
      <c r="AD1" s="269"/>
      <c r="AE1" s="337"/>
      <c r="AH1" s="337"/>
      <c r="AI1" s="337"/>
      <c r="AJ1" s="269"/>
      <c r="AK1" s="337"/>
      <c r="AL1" s="337"/>
      <c r="AM1" s="337"/>
      <c r="AN1" s="337"/>
      <c r="AO1" s="269"/>
      <c r="AP1" s="269"/>
      <c r="AQ1" s="269"/>
    </row>
    <row r="2" spans="1:46" s="3" customFormat="1" x14ac:dyDescent="0.25">
      <c r="A2" s="3">
        <v>16</v>
      </c>
      <c r="B2" s="310"/>
      <c r="C2" s="311"/>
      <c r="D2" s="341"/>
      <c r="E2" s="324"/>
      <c r="F2" s="324"/>
      <c r="I2" s="377">
        <f>AVERAGE(I5:I24)</f>
        <v>9.1549999999999994</v>
      </c>
      <c r="J2" s="324"/>
      <c r="K2" s="324"/>
      <c r="M2" s="377">
        <f>AVERAGE(M5:M24)</f>
        <v>7.2750000000000004</v>
      </c>
      <c r="N2" s="324"/>
      <c r="O2" s="324"/>
      <c r="P2" s="324"/>
      <c r="Q2" s="377">
        <f>AVERAGE(Q5:Q24)</f>
        <v>5.5</v>
      </c>
      <c r="R2" s="535">
        <f>AVERAGE(R5:R24)</f>
        <v>0.87915005970790516</v>
      </c>
      <c r="S2" s="535">
        <f>AVERAGE(S5:S24)</f>
        <v>0.94037208816858797</v>
      </c>
      <c r="T2" s="378">
        <f>AVERAGE(T5:T24)</f>
        <v>108343</v>
      </c>
      <c r="U2" s="378"/>
      <c r="V2" s="378">
        <f>AVERAGE(V5:V24)</f>
        <v>14648.7</v>
      </c>
      <c r="W2" s="320"/>
      <c r="X2" s="376">
        <f>(X5+X6)/2</f>
        <v>13.483333333333334</v>
      </c>
      <c r="Y2" s="376">
        <f>AVERAGE(Y5:Y11)</f>
        <v>11.588199134199133</v>
      </c>
      <c r="Z2" s="376">
        <f>AVERAGE(Z12:Z20)</f>
        <v>11.909314315108759</v>
      </c>
      <c r="AA2" s="376">
        <f>AVERAGE(AA12:AA14)</f>
        <v>12.923888888888889</v>
      </c>
      <c r="AB2" s="376">
        <f>AVERAGE(AB6:AB24)</f>
        <v>9.729766081871345</v>
      </c>
      <c r="AC2" s="376">
        <f>AVERAGE(AC22:AC24)</f>
        <v>8.9823333333333348</v>
      </c>
      <c r="AD2" s="376">
        <f>AVERAGE(AD5:AD24)</f>
        <v>14.188833333333331</v>
      </c>
      <c r="AE2" s="320"/>
      <c r="AH2" s="320"/>
      <c r="AI2" s="320"/>
      <c r="AJ2" s="320"/>
      <c r="AK2" s="320"/>
      <c r="AL2" s="320"/>
      <c r="AM2" s="320"/>
      <c r="AN2" s="320"/>
    </row>
    <row r="3" spans="1:46" s="271" customFormat="1" x14ac:dyDescent="0.25">
      <c r="A3" s="325"/>
      <c r="B3" s="325" t="s">
        <v>1013</v>
      </c>
      <c r="C3" s="325"/>
      <c r="D3" s="321" t="s">
        <v>1008</v>
      </c>
      <c r="E3" s="228">
        <v>41</v>
      </c>
      <c r="F3" s="229">
        <v>101</v>
      </c>
      <c r="G3" s="287"/>
      <c r="H3" s="401">
        <v>6</v>
      </c>
      <c r="I3" s="232">
        <v>13.2</v>
      </c>
      <c r="J3" s="232"/>
      <c r="K3" s="330">
        <f>(H3)*(H3)*(I3)</f>
        <v>475.2</v>
      </c>
      <c r="L3" s="330">
        <f>(H3+1)*(H3+1)*I3</f>
        <v>646.79999999999995</v>
      </c>
      <c r="M3" s="287">
        <v>2</v>
      </c>
      <c r="N3" s="287"/>
      <c r="O3" s="287"/>
      <c r="P3" s="287"/>
      <c r="Q3" s="287"/>
      <c r="R3" s="657"/>
      <c r="S3" s="657"/>
      <c r="T3" s="322">
        <v>110</v>
      </c>
      <c r="U3" s="287"/>
      <c r="V3" s="322">
        <v>324</v>
      </c>
      <c r="W3" s="343"/>
      <c r="X3" s="334">
        <v>0</v>
      </c>
      <c r="Y3" s="232">
        <v>7</v>
      </c>
      <c r="Z3" s="231">
        <v>0</v>
      </c>
      <c r="AA3" s="232">
        <v>0</v>
      </c>
      <c r="AB3" s="231">
        <v>2</v>
      </c>
      <c r="AC3" s="232">
        <v>0</v>
      </c>
      <c r="AD3" s="231">
        <v>6</v>
      </c>
      <c r="AE3" s="351"/>
      <c r="AH3" s="351"/>
      <c r="AI3" s="351"/>
      <c r="AJ3" s="351"/>
      <c r="AK3" s="351"/>
      <c r="AL3" s="351"/>
      <c r="AM3" s="351"/>
      <c r="AN3" s="351"/>
      <c r="AO3" s="287"/>
      <c r="AP3" s="287"/>
      <c r="AQ3" s="287"/>
    </row>
    <row r="4" spans="1:46" x14ac:dyDescent="0.25">
      <c r="A4" s="326" t="s">
        <v>453</v>
      </c>
      <c r="B4" s="326" t="s">
        <v>316</v>
      </c>
      <c r="C4" s="327" t="s">
        <v>781</v>
      </c>
      <c r="D4" s="328" t="s">
        <v>182</v>
      </c>
      <c r="E4" s="326" t="s">
        <v>183</v>
      </c>
      <c r="F4" s="326" t="s">
        <v>63</v>
      </c>
      <c r="G4" s="326" t="s">
        <v>185</v>
      </c>
      <c r="H4" s="326" t="s">
        <v>186</v>
      </c>
      <c r="I4" s="326" t="s">
        <v>176</v>
      </c>
      <c r="J4" s="326" t="s">
        <v>845</v>
      </c>
      <c r="K4" s="329" t="s">
        <v>782</v>
      </c>
      <c r="L4" s="329" t="s">
        <v>783</v>
      </c>
      <c r="M4" s="326" t="s">
        <v>187</v>
      </c>
      <c r="N4" s="326" t="s">
        <v>749</v>
      </c>
      <c r="O4" s="326" t="s">
        <v>1043</v>
      </c>
      <c r="P4" s="326" t="s">
        <v>835</v>
      </c>
      <c r="Q4" s="326" t="s">
        <v>724</v>
      </c>
      <c r="R4" s="524" t="s">
        <v>833</v>
      </c>
      <c r="S4" s="524" t="s">
        <v>834</v>
      </c>
      <c r="T4" s="326" t="s">
        <v>184</v>
      </c>
      <c r="U4" s="326" t="s">
        <v>738</v>
      </c>
      <c r="V4" s="326" t="s">
        <v>212</v>
      </c>
      <c r="W4" s="326" t="s">
        <v>527</v>
      </c>
      <c r="X4" s="326" t="s">
        <v>337</v>
      </c>
      <c r="Y4" s="326" t="s">
        <v>188</v>
      </c>
      <c r="Z4" s="326" t="s">
        <v>189</v>
      </c>
      <c r="AA4" s="326" t="s">
        <v>190</v>
      </c>
      <c r="AB4" s="326" t="s">
        <v>191</v>
      </c>
      <c r="AC4" s="326" t="s">
        <v>192</v>
      </c>
      <c r="AD4" s="326" t="s">
        <v>185</v>
      </c>
      <c r="AE4" s="326" t="s">
        <v>554</v>
      </c>
      <c r="AF4" s="374" t="s">
        <v>981</v>
      </c>
      <c r="AG4" s="374" t="s">
        <v>982</v>
      </c>
      <c r="AH4" s="374" t="s">
        <v>991</v>
      </c>
      <c r="AI4" s="374" t="s">
        <v>992</v>
      </c>
      <c r="AJ4" s="374" t="s">
        <v>602</v>
      </c>
      <c r="AK4" s="374" t="s">
        <v>603</v>
      </c>
      <c r="AL4" s="374" t="s">
        <v>604</v>
      </c>
      <c r="AM4" s="374" t="s">
        <v>722</v>
      </c>
      <c r="AN4" s="374" t="s">
        <v>723</v>
      </c>
      <c r="AO4" s="326" t="s">
        <v>963</v>
      </c>
      <c r="AP4" s="326" t="s">
        <v>964</v>
      </c>
      <c r="AQ4" s="326" t="s">
        <v>965</v>
      </c>
      <c r="AR4" s="451" t="s">
        <v>1016</v>
      </c>
    </row>
    <row r="5" spans="1:46" x14ac:dyDescent="0.25">
      <c r="A5" s="416" t="s">
        <v>443</v>
      </c>
      <c r="B5" s="416" t="s">
        <v>1</v>
      </c>
      <c r="C5" s="417">
        <f ca="1">((34*112)-(E5*112)-(F5))/112</f>
        <v>3.9821428571428572</v>
      </c>
      <c r="D5" s="691" t="s">
        <v>928</v>
      </c>
      <c r="E5" s="419">
        <v>30</v>
      </c>
      <c r="F5" s="427">
        <f ca="1">-42406+$D$1-112-112-112-112-112-112</f>
        <v>2</v>
      </c>
      <c r="G5" s="420"/>
      <c r="H5" s="435">
        <v>6</v>
      </c>
      <c r="I5" s="335">
        <v>18.100000000000001</v>
      </c>
      <c r="J5" s="520">
        <f>LOG(I5+1)*4/3</f>
        <v>1.7080444896636369</v>
      </c>
      <c r="K5" s="330">
        <f t="shared" ref="K5" si="0">(H5)*(H5)*(I5)</f>
        <v>651.6</v>
      </c>
      <c r="L5" s="330">
        <f t="shared" ref="L5" si="1">(H5+1)*(H5+1)*I5</f>
        <v>886.90000000000009</v>
      </c>
      <c r="M5" s="421">
        <v>7.7</v>
      </c>
      <c r="N5" s="478">
        <f>M5*10+19</f>
        <v>96</v>
      </c>
      <c r="O5" s="711">
        <v>42468</v>
      </c>
      <c r="P5" s="712">
        <f ca="1">IF((TODAY()-O5)&gt;335,1,((TODAY()-O5)^0.64)/(336^0.64))</f>
        <v>1</v>
      </c>
      <c r="Q5" s="478">
        <v>6</v>
      </c>
      <c r="R5" s="534">
        <f>(Q5/7)^0.5</f>
        <v>0.92582009977255142</v>
      </c>
      <c r="S5" s="534">
        <f>IF(Q5=7,1,((Q5+0.99)/7)^0.5)</f>
        <v>0.99928545900129484</v>
      </c>
      <c r="T5" s="351">
        <v>97700</v>
      </c>
      <c r="U5" s="660">
        <f t="shared" ref="U5:U24" si="2">T5-AR5</f>
        <v>3880</v>
      </c>
      <c r="V5" s="351">
        <v>39696</v>
      </c>
      <c r="W5" s="343">
        <f t="shared" ref="W5:W25" si="3">T5/V5</f>
        <v>2.4612051592099959</v>
      </c>
      <c r="X5" s="519">
        <f>16+12/18</f>
        <v>16.666666666666668</v>
      </c>
      <c r="Y5" s="520">
        <f>10.45+0.11+0.11+0.11+0.11+0.11+1/11+1/11*0.16+1/11+1/11+1/11+1/11+1/11+1/11+1/11+1/11</f>
        <v>11.832727272727276</v>
      </c>
      <c r="Z5" s="519">
        <f>2+0.01+0.01+0.01+0.01</f>
        <v>2.0399999999999991</v>
      </c>
      <c r="AA5" s="520">
        <f>1.94+0.03+0.03+0.03+0.03+0.03+0.03+0.02</f>
        <v>2.1399999999999992</v>
      </c>
      <c r="AB5" s="519">
        <f>0.6+0.04+0.04+0.04+0.04+0.04+0.04+0.03+0.03+0.02+0.02+0.02+0.02+0.02+0.02+0.01+0.01</f>
        <v>1.0400000000000003</v>
      </c>
      <c r="AC5" s="520">
        <f>0+0.05+0.05*37/90+0.04+0.02+0.01</f>
        <v>0.14055555555555557</v>
      </c>
      <c r="AD5" s="519">
        <f>13.8+0.5+0.5+0.5+0.34+0.34+0.34+0.34+0.34+0.25+0.2+0.2+0.2</f>
        <v>17.849999999999998</v>
      </c>
      <c r="AE5" s="351">
        <v>1371</v>
      </c>
      <c r="AF5" s="637">
        <f ca="1">(Z5+P5+J5)*(Q5/7)^0.5</f>
        <v>4.3958350231449002</v>
      </c>
      <c r="AG5" s="637">
        <f ca="1">(Z5+P5+J5)*(IF(Q5=7, (Q5/7)^0.5, ((Q5+1)/7)^0.5))</f>
        <v>4.748044489663636</v>
      </c>
      <c r="AH5" s="343">
        <f ca="1">(((Y5+P5+J5)+(AB5+P5+J5)*2)/8)*(Q5/7)^0.5</f>
        <v>2.5502710763214189</v>
      </c>
      <c r="AI5" s="343">
        <f ca="1">(1.66*(AC5+J5+P5)+0.55*(AD5+J5+P5)-7.6)*(Q5/7)^0.5</f>
        <v>7.8098485376382243</v>
      </c>
      <c r="AJ5" s="343">
        <f ca="1">((AD5+J5+P5)*0.7+(AC5+J5+P5)*0.3)*(Q5/7)^0.5</f>
        <v>14.114322913807333</v>
      </c>
      <c r="AK5" s="343">
        <f ca="1">(0.5*(AC5+P5+J5)+ 0.3*(AD5+P5+J5))/10</f>
        <v>0.75917133695086869</v>
      </c>
      <c r="AL5" s="343">
        <f ca="1">(0.4*(Y5+P5+J5)+0.3*(AD5+P5+J5))/10</f>
        <v>1.1983722051855454</v>
      </c>
      <c r="AM5" s="338">
        <f ca="1">(AD5+P5+(LOG(I5)*4/3))*(Q5/7)^0.5</f>
        <v>19.00422101893551</v>
      </c>
      <c r="AN5" s="338">
        <f ca="1">(AD5+P5+(LOG(I5)*4/3))*(IF(Q5=7, (Q5/7)^0.5, ((Q5+1)/7)^0.5))</f>
        <v>20.526904766492244</v>
      </c>
      <c r="AO5" s="478">
        <v>2</v>
      </c>
      <c r="AP5" s="478">
        <v>2</v>
      </c>
      <c r="AQ5" s="624">
        <f>IF(AO5=4,IF(AP5=0,0.137+0.0697,0.137+0.02),IF(AO5=3,IF(AP5=0,0.0958+0.0697,0.0958+0.02),IF(AO5=2,IF(AP5=0,0.0415+0.0697,0.0415+0.02),IF(AO5=1,IF(AP5=0,0.0294+0.0697,0.0294+0.02),IF(AO5=0,IF(AP5=0,0.0063+0.0697,0.0063+0.02))))))</f>
        <v>6.1499999999999999E-2</v>
      </c>
      <c r="AR5">
        <v>93820</v>
      </c>
      <c r="AS5">
        <f>AR5</f>
        <v>93820</v>
      </c>
      <c r="AT5" s="422">
        <f>AS5-T5</f>
        <v>-3880</v>
      </c>
    </row>
    <row r="6" spans="1:46" s="288" customFormat="1" x14ac:dyDescent="0.25">
      <c r="A6" s="416" t="s">
        <v>577</v>
      </c>
      <c r="B6" s="416" t="s">
        <v>1</v>
      </c>
      <c r="C6" s="417">
        <f t="shared" ref="C6:C24" ca="1" si="4">((34*112)-(E6*112)-(F6))/112</f>
        <v>-9.8214285714285712E-2</v>
      </c>
      <c r="D6" s="691" t="s">
        <v>307</v>
      </c>
      <c r="E6" s="419">
        <v>34</v>
      </c>
      <c r="F6" s="427">
        <f ca="1">82-41471+$D$1-112-112-112-112-112-112-112-112-112-112-112-112-112-112-112</f>
        <v>11</v>
      </c>
      <c r="G6" s="420" t="s">
        <v>595</v>
      </c>
      <c r="H6" s="401">
        <v>3</v>
      </c>
      <c r="I6" s="335">
        <v>7.8</v>
      </c>
      <c r="J6" s="520">
        <f t="shared" ref="J6:J24" si="5">LOG(I6+1)*4/3</f>
        <v>1.2593102295335583</v>
      </c>
      <c r="K6" s="330">
        <f t="shared" ref="K6:K24" si="6">(H6)*(H6)*(I6)</f>
        <v>70.2</v>
      </c>
      <c r="L6" s="330">
        <f t="shared" ref="L6:L24" si="7">(H6+1)*(H6+1)*I6</f>
        <v>124.8</v>
      </c>
      <c r="M6" s="421">
        <v>5.2</v>
      </c>
      <c r="N6" s="478">
        <f t="shared" ref="N6:N24" si="8">M6*10+19</f>
        <v>71</v>
      </c>
      <c r="O6" s="478" t="s">
        <v>676</v>
      </c>
      <c r="P6" s="712">
        <v>1.5</v>
      </c>
      <c r="Q6" s="478">
        <v>5</v>
      </c>
      <c r="R6" s="534">
        <f t="shared" ref="R6:R24" si="9">(Q6/7)^0.5</f>
        <v>0.84515425472851657</v>
      </c>
      <c r="S6" s="534">
        <f t="shared" ref="S6:S24" si="10">IF(Q6=7,1,((Q6+0.99)/7)^0.5)</f>
        <v>0.92504826128926143</v>
      </c>
      <c r="T6" s="351">
        <v>1700</v>
      </c>
      <c r="U6" s="660">
        <f t="shared" si="2"/>
        <v>-190</v>
      </c>
      <c r="V6" s="351">
        <v>2770</v>
      </c>
      <c r="W6" s="343">
        <f t="shared" si="3"/>
        <v>0.61371841155234652</v>
      </c>
      <c r="X6" s="519">
        <v>10.3</v>
      </c>
      <c r="Y6" s="520">
        <f>9.5+0.13+0.13/2+0.13+0.13+0.13+0.13+0.13+0.12+0.12+0.02+0.02+0.02+0.02+0.02+0.02+0.02+0.02+0.02+0.01+0.01+0.01</f>
        <v>10.794999999999998</v>
      </c>
      <c r="Z6" s="519">
        <f>4.2+0.04+0.04+0.04+0.03+0.03+0.03+0.03+0.03+0.03+0.03+0.03+0.02+0.02+0.01+0.01+0.01</f>
        <v>4.6300000000000008</v>
      </c>
      <c r="AA6" s="520">
        <v>4.95</v>
      </c>
      <c r="AB6" s="519">
        <f>4.99+0.05+0.32+0.32+0.32+0.05+0.16+0.05+0.03+0.25*31/90+0.03+0.02+0.02+0.01+0.01+0.01+0.15*29/90+0.01+0.01</f>
        <v>6.5444444444444434</v>
      </c>
      <c r="AC6" s="520">
        <v>3.99</v>
      </c>
      <c r="AD6" s="519">
        <f>11.8+0.67+0.5*1.25+0.35+0.35+0.35+0.35*8/90+0.35*80/90+0.35+0.35*75/90+0.35+0.3</f>
        <v>15.778888888888888</v>
      </c>
      <c r="AE6" s="351">
        <v>1166</v>
      </c>
      <c r="AF6" s="637">
        <f t="shared" ref="AF6:AF24" si="11">(Z6+P6+J6)*(Q6/7)^0.5</f>
        <v>6.2451069799992389</v>
      </c>
      <c r="AG6" s="637">
        <f t="shared" ref="AG6:AG24" si="12">(Z6+P6+J6)*(IF(Q6=7, (Q6/7)^0.5, ((Q6+1)/7)^0.5))</f>
        <v>6.8411719339570949</v>
      </c>
      <c r="AH6" s="343">
        <f t="shared" ref="AH6:AH24" si="13">(((Y6+P6+J6)+(AB6+P6+J6)*2)/8)*(Q6/7)^0.5</f>
        <v>3.3977123319657752</v>
      </c>
      <c r="AI6" s="343">
        <f t="shared" ref="AI6:AI24" si="14">(1.66*(AC6+J6+P6)+0.55*(AD6+J6+P6)-7.6)*(Q6/7)^0.5</f>
        <v>11.663014193604974</v>
      </c>
      <c r="AJ6" s="343">
        <f t="shared" ref="AJ6:AJ24" si="15">((AD6+J6+P6)*0.7+(AC6+J6+P6)*0.3)*(Q6/7)^0.5</f>
        <v>12.678608979049312</v>
      </c>
      <c r="AK6" s="343">
        <f t="shared" ref="AK6:AK24" si="16">(0.5*(AC6+P6+J6)+ 0.3*(AD6+P6+J6))/10</f>
        <v>0.89361148502935117</v>
      </c>
      <c r="AL6" s="343">
        <f t="shared" ref="AL6:AL24" si="17">(0.4*(Y6+P6+J6)+0.3*(AD6+P6+J6))/10</f>
        <v>1.0983183827340155</v>
      </c>
      <c r="AM6" s="338">
        <f t="shared" ref="AM6:AM24" si="18">(AD6+P6+(LOG(I6)*4/3))*(Q6/7)^0.5</f>
        <v>15.608603193538004</v>
      </c>
      <c r="AN6" s="338">
        <f t="shared" ref="AN6:AN24" si="19">(AD6+P6+(LOG(I6)*4/3))*(IF(Q6=7, (Q6/7)^0.5, ((Q6+1)/7)^0.5))</f>
        <v>17.098368120495877</v>
      </c>
      <c r="AO6" s="478">
        <v>4</v>
      </c>
      <c r="AP6" s="478">
        <v>3</v>
      </c>
      <c r="AQ6" s="624">
        <f t="shared" ref="AQ6:AQ24" si="20">IF(AO6=4,IF(AP6=0,0.137+0.0697,0.137+0.02),IF(AO6=3,IF(AP6=0,0.0958+0.0697,0.0958+0.02),IF(AO6=2,IF(AP6=0,0.0415+0.0697,0.0415+0.02),IF(AO6=1,IF(AP6=0,0.0294+0.0697,0.0294+0.02),IF(AO6=0,IF(AP6=0,0.0063+0.0697,0.0063+0.02))))))</f>
        <v>0.157</v>
      </c>
      <c r="AR6" s="288">
        <v>1890</v>
      </c>
      <c r="AS6">
        <f t="shared" ref="AS6:AS24" si="21">AR6</f>
        <v>1890</v>
      </c>
      <c r="AT6" s="422">
        <f t="shared" ref="AT6:AT23" si="22">AS6-T6</f>
        <v>190</v>
      </c>
    </row>
    <row r="7" spans="1:46" s="266" customFormat="1" x14ac:dyDescent="0.25">
      <c r="A7" s="416" t="s">
        <v>716</v>
      </c>
      <c r="B7" s="416" t="s">
        <v>2</v>
      </c>
      <c r="C7" s="417">
        <f t="shared" ca="1" si="4"/>
        <v>3.875</v>
      </c>
      <c r="D7" s="691" t="s">
        <v>1020</v>
      </c>
      <c r="E7" s="419">
        <v>30</v>
      </c>
      <c r="F7" s="427">
        <f ca="1">82-41471+$D$1-112-112-112-112-112-112-112-112-112-112-112+3-112-112-112-112</f>
        <v>14</v>
      </c>
      <c r="G7" s="420" t="s">
        <v>595</v>
      </c>
      <c r="H7" s="426">
        <v>2</v>
      </c>
      <c r="I7" s="335">
        <v>14.1</v>
      </c>
      <c r="J7" s="520">
        <f t="shared" si="5"/>
        <v>1.5719692630575592</v>
      </c>
      <c r="K7" s="330">
        <f>(H7)*(H7)*(I7)</f>
        <v>56.4</v>
      </c>
      <c r="L7" s="330">
        <f>(H7+1)*(H7+1)*I7</f>
        <v>126.89999999999999</v>
      </c>
      <c r="M7" s="421">
        <v>7.7</v>
      </c>
      <c r="N7" s="478">
        <f>M7*10+19</f>
        <v>96</v>
      </c>
      <c r="O7" s="711">
        <v>42716</v>
      </c>
      <c r="P7" s="712">
        <f ca="1">IF((TODAY()-O7)&gt;335,1,((TODAY()-O7)^0.64)/(336^0.64))</f>
        <v>1</v>
      </c>
      <c r="Q7" s="478">
        <v>7</v>
      </c>
      <c r="R7" s="534">
        <f>(Q7/7)^0.5</f>
        <v>1</v>
      </c>
      <c r="S7" s="534">
        <f>IF(Q7=7,1,((Q7+0.99)/7)^0.5)</f>
        <v>1</v>
      </c>
      <c r="T7" s="351">
        <v>252850</v>
      </c>
      <c r="U7" s="660">
        <f t="shared" si="2"/>
        <v>-730</v>
      </c>
      <c r="V7" s="351">
        <v>29520</v>
      </c>
      <c r="W7" s="343">
        <f>T7/V7</f>
        <v>8.5653794037940383</v>
      </c>
      <c r="X7" s="519">
        <v>0</v>
      </c>
      <c r="Y7" s="520">
        <f>14+1/20+1/20+1/20+1/20</f>
        <v>14.200000000000003</v>
      </c>
      <c r="Z7" s="519">
        <f>9+1/9*0.5+1/9*0.16+0.1*0.5+0.1*0.5+0.1*0.5+0.01+0.1*0.5+0.1*0.16+0.01</f>
        <v>9.3093333333333348</v>
      </c>
      <c r="AA7" s="520">
        <f>14+1/12*0.5+1/12*0.5+1/12*0.5+1/12*0.5+1/12*0.5+1/12*0.5+1/12*0.5</f>
        <v>14.291666666666663</v>
      </c>
      <c r="AB7" s="519">
        <f>8.45+0.15+0.15+0.02+0.12+0.12+0.11+0.01+0.08+0.07+0.07+0.07</f>
        <v>9.4199999999999982</v>
      </c>
      <c r="AC7" s="520">
        <f>1+1/7</f>
        <v>1.1428571428571428</v>
      </c>
      <c r="AD7" s="519">
        <f>9+0.4</f>
        <v>9.4</v>
      </c>
      <c r="AE7" s="351">
        <v>1902</v>
      </c>
      <c r="AF7" s="637">
        <f t="shared" ca="1" si="11"/>
        <v>11.881302596390894</v>
      </c>
      <c r="AG7" s="637">
        <f t="shared" ca="1" si="12"/>
        <v>11.881302596390894</v>
      </c>
      <c r="AH7" s="343">
        <f t="shared" ca="1" si="13"/>
        <v>5.0944884736465852</v>
      </c>
      <c r="AI7" s="343">
        <f t="shared" ca="1" si="14"/>
        <v>5.1511949285000629</v>
      </c>
      <c r="AJ7" s="343">
        <f t="shared" ca="1" si="15"/>
        <v>9.4948264059147007</v>
      </c>
      <c r="AK7" s="343">
        <f t="shared" ca="1" si="16"/>
        <v>0.54490039818746183</v>
      </c>
      <c r="AL7" s="343">
        <f t="shared" ca="1" si="17"/>
        <v>1.0300378484140293</v>
      </c>
      <c r="AM7" s="338">
        <f t="shared" ca="1" si="18"/>
        <v>11.932292150207173</v>
      </c>
      <c r="AN7" s="338">
        <f t="shared" ca="1" si="19"/>
        <v>11.932292150207173</v>
      </c>
      <c r="AO7" s="478">
        <v>1</v>
      </c>
      <c r="AP7" s="478">
        <v>2</v>
      </c>
      <c r="AQ7" s="624">
        <f>IF(AO7=4,IF(AP7=0,0.137+0.0697,0.137+0.02),IF(AO7=3,IF(AP7=0,0.0958+0.0697,0.0958+0.02),IF(AO7=2,IF(AP7=0,0.0415+0.0697,0.0415+0.02),IF(AO7=1,IF(AP7=0,0.0294+0.0697,0.0294+0.02),IF(AO7=0,IF(AP7=0,0.0063+0.0697,0.0063+0.02))))))</f>
        <v>4.9399999999999999E-2</v>
      </c>
      <c r="AR7" s="266">
        <v>253580</v>
      </c>
      <c r="AS7">
        <f t="shared" si="21"/>
        <v>253580</v>
      </c>
      <c r="AT7" s="422">
        <f t="shared" si="22"/>
        <v>730</v>
      </c>
    </row>
    <row r="8" spans="1:46" s="272" customFormat="1" x14ac:dyDescent="0.25">
      <c r="A8" s="332" t="s">
        <v>452</v>
      </c>
      <c r="B8" s="285" t="s">
        <v>2</v>
      </c>
      <c r="C8" s="417">
        <f t="shared" ca="1" si="4"/>
        <v>2.4732142857142856</v>
      </c>
      <c r="D8" s="692" t="s">
        <v>315</v>
      </c>
      <c r="E8" s="228">
        <v>31</v>
      </c>
      <c r="F8" s="229">
        <f ca="1">18-41471+$D$1-112-112-112-112-112-112-112-112-112-112-112-112-112-112</f>
        <v>59</v>
      </c>
      <c r="G8" s="287" t="s">
        <v>595</v>
      </c>
      <c r="H8" s="426">
        <v>4</v>
      </c>
      <c r="I8" s="232">
        <v>7.5</v>
      </c>
      <c r="J8" s="520">
        <f t="shared" si="5"/>
        <v>1.2392252342857237</v>
      </c>
      <c r="K8" s="330">
        <f t="shared" si="6"/>
        <v>120</v>
      </c>
      <c r="L8" s="330">
        <f t="shared" si="7"/>
        <v>187.5</v>
      </c>
      <c r="M8" s="323">
        <v>6.7</v>
      </c>
      <c r="N8" s="478">
        <f t="shared" si="8"/>
        <v>86</v>
      </c>
      <c r="O8" s="478" t="s">
        <v>676</v>
      </c>
      <c r="P8" s="712">
        <v>1.5</v>
      </c>
      <c r="Q8" s="479">
        <v>4</v>
      </c>
      <c r="R8" s="534">
        <f t="shared" si="9"/>
        <v>0.7559289460184544</v>
      </c>
      <c r="S8" s="534">
        <f t="shared" si="10"/>
        <v>0.84430867747355465</v>
      </c>
      <c r="T8" s="661">
        <v>16300</v>
      </c>
      <c r="U8" s="660">
        <f t="shared" si="2"/>
        <v>-1330</v>
      </c>
      <c r="V8" s="661">
        <v>3510</v>
      </c>
      <c r="W8" s="343">
        <f t="shared" si="3"/>
        <v>4.6438746438746437</v>
      </c>
      <c r="X8" s="519">
        <v>0</v>
      </c>
      <c r="Y8" s="520">
        <v>11</v>
      </c>
      <c r="Z8" s="519">
        <f>4.61+0.04+0.04+0.04+0.04+0.25+0.14+0.13+0.13+0.12+0.12+0.12+0.04*55/90+0.025+0.13+0.02+0.02+0.02+0.02+0.02+0.01+0.01+0.01+0.12*0.5+0.01+0.02+0.01</f>
        <v>6.1894444444444412</v>
      </c>
      <c r="AA8" s="520">
        <f>5.98+0.12*0.5</f>
        <v>6.04</v>
      </c>
      <c r="AB8" s="519">
        <f>3.88+0.33+(0.33/3)+(0.33/3)+0.31+0.31+0.04+0.3+0.28+0.28+0.28+0.25+0.25+0.2+0.15+0.15+0.02+0.12+0.12+0.11+0.11*35/90+0.08</f>
        <v>7.7227777777777789</v>
      </c>
      <c r="AC8" s="520">
        <f>3.82+0.06+0.06+0.06+0.06*80/90+0.06+0.05+0.05+0.05+0.02+0.2*0.5</f>
        <v>4.383333333333332</v>
      </c>
      <c r="AD8" s="519">
        <f>8.7+0.75+0.75+0.75+0.6+0.5+0.5+0.45*10/90+0.35+0.35+0.35+0.35+0.35+0.3+0.25+0.25+0.2</f>
        <v>15.349999999999998</v>
      </c>
      <c r="AE8" s="351">
        <v>1155</v>
      </c>
      <c r="AF8" s="637">
        <f t="shared" si="11"/>
        <v>6.7494398595894252</v>
      </c>
      <c r="AG8" s="637">
        <f t="shared" si="12"/>
        <v>7.5461031680442963</v>
      </c>
      <c r="AH8" s="343">
        <f t="shared" si="13"/>
        <v>3.2753674838457347</v>
      </c>
      <c r="AI8" s="343">
        <f t="shared" si="14"/>
        <v>10.713418938382441</v>
      </c>
      <c r="AJ8" s="343">
        <f t="shared" si="15"/>
        <v>11.187162733243317</v>
      </c>
      <c r="AK8" s="343">
        <f t="shared" si="16"/>
        <v>0.89880468540952452</v>
      </c>
      <c r="AL8" s="343">
        <f t="shared" si="17"/>
        <v>1.0922457664000007</v>
      </c>
      <c r="AM8" s="338">
        <f t="shared" si="18"/>
        <v>13.619381591793974</v>
      </c>
      <c r="AN8" s="338">
        <f t="shared" si="19"/>
        <v>15.22693152538031</v>
      </c>
      <c r="AO8" s="479">
        <v>2</v>
      </c>
      <c r="AP8" s="479">
        <v>3</v>
      </c>
      <c r="AQ8" s="624">
        <f t="shared" si="20"/>
        <v>6.1499999999999999E-2</v>
      </c>
      <c r="AR8" s="272">
        <v>17630</v>
      </c>
      <c r="AS8">
        <f t="shared" si="21"/>
        <v>17630</v>
      </c>
      <c r="AT8" s="422">
        <f t="shared" si="22"/>
        <v>1330</v>
      </c>
    </row>
    <row r="9" spans="1:46" s="264" customFormat="1" x14ac:dyDescent="0.25">
      <c r="A9" s="416" t="s">
        <v>597</v>
      </c>
      <c r="B9" s="416" t="s">
        <v>2</v>
      </c>
      <c r="C9" s="417">
        <f t="shared" ca="1" si="4"/>
        <v>2.8839285714285716</v>
      </c>
      <c r="D9" s="691" t="s">
        <v>309</v>
      </c>
      <c r="E9" s="419">
        <v>31</v>
      </c>
      <c r="F9" s="427">
        <f ca="1">84-41471+$D$1-112-112-112-112-112-112-112-112-112-112-112-112-112-112-112</f>
        <v>13</v>
      </c>
      <c r="G9" s="420"/>
      <c r="H9" s="426">
        <v>4</v>
      </c>
      <c r="I9" s="335">
        <v>12.2</v>
      </c>
      <c r="J9" s="520">
        <f t="shared" si="5"/>
        <v>1.4940985749411331</v>
      </c>
      <c r="K9" s="330">
        <f t="shared" si="6"/>
        <v>195.2</v>
      </c>
      <c r="L9" s="330">
        <f t="shared" si="7"/>
        <v>305</v>
      </c>
      <c r="M9" s="421">
        <v>7.3</v>
      </c>
      <c r="N9" s="478">
        <f t="shared" si="8"/>
        <v>92</v>
      </c>
      <c r="O9" s="478" t="s">
        <v>676</v>
      </c>
      <c r="P9" s="712">
        <v>1.5</v>
      </c>
      <c r="Q9" s="478">
        <v>5</v>
      </c>
      <c r="R9" s="534">
        <f t="shared" si="9"/>
        <v>0.84515425472851657</v>
      </c>
      <c r="S9" s="534">
        <f t="shared" si="10"/>
        <v>0.92504826128926143</v>
      </c>
      <c r="T9" s="351">
        <v>113360</v>
      </c>
      <c r="U9" s="660">
        <f t="shared" si="2"/>
        <v>3340</v>
      </c>
      <c r="V9" s="351">
        <v>14670</v>
      </c>
      <c r="W9" s="343">
        <f t="shared" si="3"/>
        <v>7.7273346966598497</v>
      </c>
      <c r="X9" s="519">
        <v>0</v>
      </c>
      <c r="Y9" s="520">
        <f>9.9+0.14+0.14+0.14+0.14+0.13+0.13+0.13+0.12+0.12+0.09+0.09+0.09+0.09+0.08+0.08+0.08+0.08+0.08+0.07+0.07+0.07</f>
        <v>12.060000000000004</v>
      </c>
      <c r="Z9" s="519">
        <f>10.72+0.15+0.15+0.15+0.14+0.14+0.11+0.11+0.11+0.11+0.11+0.11+0.11+0.11*0.5+0.11*0.5+0.11*0.5+0.1+0.1*0.5+0.1*0.5+0.1*0.5+0.1*0.16+0.09+0.08+0.08+0.08*0.5+0.08+1/18+0.08*0.5</f>
        <v>13.116555555555554</v>
      </c>
      <c r="AA9" s="520">
        <f>8.8+0.14+0.14+0.14+0.13+0.12*0.5+0.12*0.5+0.12*0.5+0.12*0.5+0.12*0.5+0.12*0.5+0.11</f>
        <v>9.8200000000000056</v>
      </c>
      <c r="AB9" s="519">
        <f>4.57+0.36+0.36+0.36+0.36+0.25+0.25+0.25+0.25+0.25+0.25+0.25+0.25+0.2+0.2+0.15+0.15+0.14+0.12+0.12+0.11+0.11+0.08+0.07+0.07+0.07</f>
        <v>9.6</v>
      </c>
      <c r="AC9" s="520">
        <f>3+0.07+0.07+0.07+0.07+0.07+0.05+0.05+0.05+0.2*48/90+0.15*0.5</f>
        <v>3.6816666666666658</v>
      </c>
      <c r="AD9" s="519">
        <f>10.7+0.5+0.5*77/90+0.5+0.45+0.45+0.45+0.35+0.35+0.3+0.35+0.3+0.3+0.3+0.25+0.25+0.2+0.2</f>
        <v>16.627777777777773</v>
      </c>
      <c r="AE9" s="351">
        <v>1858</v>
      </c>
      <c r="AF9" s="637">
        <f t="shared" si="11"/>
        <v>13.615987884848826</v>
      </c>
      <c r="AG9" s="637">
        <f t="shared" si="12"/>
        <v>14.915567414497511</v>
      </c>
      <c r="AH9" s="343">
        <f t="shared" si="13"/>
        <v>4.2513684314847113</v>
      </c>
      <c r="AI9" s="343">
        <f t="shared" si="14"/>
        <v>12.063564740827296</v>
      </c>
      <c r="AJ9" s="343">
        <f t="shared" si="15"/>
        <v>13.301074018934147</v>
      </c>
      <c r="AK9" s="343">
        <f t="shared" si="16"/>
        <v>0.92244455266195724</v>
      </c>
      <c r="AL9" s="343">
        <f t="shared" si="17"/>
        <v>1.1908202335792126</v>
      </c>
      <c r="AM9" s="338">
        <f t="shared" si="18"/>
        <v>16.544957361743155</v>
      </c>
      <c r="AN9" s="338">
        <f t="shared" si="19"/>
        <v>18.124092719975774</v>
      </c>
      <c r="AO9" s="478">
        <v>2</v>
      </c>
      <c r="AP9" s="478">
        <v>3</v>
      </c>
      <c r="AQ9" s="624">
        <f t="shared" si="20"/>
        <v>6.1499999999999999E-2</v>
      </c>
      <c r="AR9" s="264">
        <v>110020</v>
      </c>
      <c r="AS9">
        <f t="shared" si="21"/>
        <v>110020</v>
      </c>
      <c r="AT9" s="422">
        <f t="shared" si="22"/>
        <v>-3340</v>
      </c>
    </row>
    <row r="10" spans="1:46" s="265" customFormat="1" x14ac:dyDescent="0.25">
      <c r="A10" s="416" t="s">
        <v>445</v>
      </c>
      <c r="B10" s="285" t="s">
        <v>2</v>
      </c>
      <c r="C10" s="417">
        <f t="shared" ca="1" si="4"/>
        <v>3.0178571428571428</v>
      </c>
      <c r="D10" s="692" t="s">
        <v>313</v>
      </c>
      <c r="E10" s="228">
        <v>30</v>
      </c>
      <c r="F10" s="229">
        <f ca="1">69-41471+$D$1-112-112-112-112-112-112-112-112-112-112-112-112-112-112</f>
        <v>110</v>
      </c>
      <c r="G10" s="287"/>
      <c r="H10" s="401">
        <v>3</v>
      </c>
      <c r="I10" s="232">
        <v>9.3000000000000007</v>
      </c>
      <c r="J10" s="520">
        <f t="shared" si="5"/>
        <v>1.3504496329402296</v>
      </c>
      <c r="K10" s="330">
        <f t="shared" si="6"/>
        <v>83.7</v>
      </c>
      <c r="L10" s="330">
        <f t="shared" si="7"/>
        <v>148.80000000000001</v>
      </c>
      <c r="M10" s="323">
        <v>7.1</v>
      </c>
      <c r="N10" s="478">
        <f t="shared" si="8"/>
        <v>90</v>
      </c>
      <c r="O10" s="478" t="s">
        <v>676</v>
      </c>
      <c r="P10" s="712">
        <v>1.5</v>
      </c>
      <c r="Q10" s="479">
        <v>7</v>
      </c>
      <c r="R10" s="534">
        <f t="shared" si="9"/>
        <v>1</v>
      </c>
      <c r="S10" s="534">
        <f t="shared" si="10"/>
        <v>1</v>
      </c>
      <c r="T10" s="351">
        <v>48470</v>
      </c>
      <c r="U10" s="660">
        <f t="shared" si="2"/>
        <v>-270</v>
      </c>
      <c r="V10" s="661">
        <v>5870</v>
      </c>
      <c r="W10" s="343">
        <f t="shared" si="3"/>
        <v>8.2572402044293014</v>
      </c>
      <c r="X10" s="519">
        <v>0</v>
      </c>
      <c r="Y10" s="520">
        <f>9+0.15+0.15+0.15+0.15+0.15+0.15+0.15+0.15+0.15+0.12+0.12+0.12+0.12+0.12+0.1+0.1+0.1+0.1+0.1+0.1+0.1</f>
        <v>11.649999999999997</v>
      </c>
      <c r="Z10" s="519">
        <f>5.75+0.04+0.04+(0.04/90*75)+(0.25*15/90)+0.03+0.03+(0.03*20/90)+0.03+0.03+(0.22*0.5*30/90)+(0.22/16*60/90)+0.03+0.03+0.22*0.5+0.2*0.5+0.03+0.22*0.5+0.03+0.03+0.03+0.01+0.01+0.01+0.01+0.01+1/8*0.5+0.01</f>
        <v>6.700000000000002</v>
      </c>
      <c r="AA10" s="520">
        <f>6.18+0.2+0.2+0.2+0.15*0.5+0.15*0.5+0.15*0.5+0.15*0.5+0.14*0.5+0.14*0.5+0.14+0.14*0.5</f>
        <v>7.4300000000000015</v>
      </c>
      <c r="AB10" s="519">
        <f>4.3+0.35+0.35+0.35+0.33+0.32+0.3+0.27+0.27+0.26+0.2+0.2+0.2+0.2+0.15+0.15+0.14+0.12+0.12+0.11+0.11+0.08+0.07+0.07</f>
        <v>9.0199999999999978</v>
      </c>
      <c r="AC10" s="520">
        <f>4.06+0.06+0.06+0.06+0.06+0.06*75/90+0.05+0.05+0.05+0.02+0.2*0.5</f>
        <v>4.6199999999999966</v>
      </c>
      <c r="AD10" s="519">
        <f>8.4+0.67+0.67+0.67+0.67+0.67+0.5+0.45+0.35+0.35+0.35+0.3+0.3+0.3+0.25+0.25+0.25+0.2</f>
        <v>15.6</v>
      </c>
      <c r="AE10" s="351">
        <v>1268</v>
      </c>
      <c r="AF10" s="637">
        <f t="shared" si="11"/>
        <v>9.5504496329402322</v>
      </c>
      <c r="AG10" s="637">
        <f t="shared" si="12"/>
        <v>9.5504496329402322</v>
      </c>
      <c r="AH10" s="343">
        <f t="shared" si="13"/>
        <v>4.7801686123525853</v>
      </c>
      <c r="AI10" s="343">
        <f t="shared" si="14"/>
        <v>14.948693688797904</v>
      </c>
      <c r="AJ10" s="343">
        <f t="shared" si="15"/>
        <v>15.156449632940229</v>
      </c>
      <c r="AK10" s="343">
        <f t="shared" si="16"/>
        <v>0.92703597063521814</v>
      </c>
      <c r="AL10" s="343">
        <f t="shared" si="17"/>
        <v>1.133531474305816</v>
      </c>
      <c r="AM10" s="338">
        <f t="shared" si="18"/>
        <v>18.391310598071914</v>
      </c>
      <c r="AN10" s="338">
        <f t="shared" si="19"/>
        <v>18.391310598071914</v>
      </c>
      <c r="AO10" s="479">
        <v>3</v>
      </c>
      <c r="AP10" s="479">
        <v>2</v>
      </c>
      <c r="AQ10" s="624">
        <f t="shared" si="20"/>
        <v>0.1158</v>
      </c>
      <c r="AR10" s="265">
        <v>48740</v>
      </c>
      <c r="AS10">
        <f t="shared" si="21"/>
        <v>48740</v>
      </c>
      <c r="AT10" s="422">
        <f t="shared" si="22"/>
        <v>270</v>
      </c>
    </row>
    <row r="11" spans="1:46" s="289" customFormat="1" x14ac:dyDescent="0.25">
      <c r="A11" s="331" t="s">
        <v>588</v>
      </c>
      <c r="B11" s="285" t="s">
        <v>2</v>
      </c>
      <c r="C11" s="417">
        <f t="shared" ca="1" si="4"/>
        <v>6.8125</v>
      </c>
      <c r="D11" s="692" t="s">
        <v>701</v>
      </c>
      <c r="E11" s="228">
        <v>27</v>
      </c>
      <c r="F11" s="229">
        <f ca="1">75-41471+$D$1-24-112-10-112-112+6-112-112-112+45-112-112-112-112-112-112-112-112-112</f>
        <v>21</v>
      </c>
      <c r="G11" s="287"/>
      <c r="H11" s="426">
        <v>4</v>
      </c>
      <c r="I11" s="232">
        <v>4.9000000000000004</v>
      </c>
      <c r="J11" s="520">
        <f t="shared" si="5"/>
        <v>1.0278026821895256</v>
      </c>
      <c r="K11" s="330">
        <f t="shared" si="6"/>
        <v>78.400000000000006</v>
      </c>
      <c r="L11" s="330">
        <f t="shared" si="7"/>
        <v>122.50000000000001</v>
      </c>
      <c r="M11" s="323">
        <v>7.3</v>
      </c>
      <c r="N11" s="478">
        <f t="shared" si="8"/>
        <v>92</v>
      </c>
      <c r="O11" s="478" t="s">
        <v>676</v>
      </c>
      <c r="P11" s="712">
        <v>1.5</v>
      </c>
      <c r="Q11" s="479">
        <v>6</v>
      </c>
      <c r="R11" s="534">
        <f t="shared" si="9"/>
        <v>0.92582009977255142</v>
      </c>
      <c r="S11" s="534">
        <f t="shared" si="10"/>
        <v>0.99928545900129484</v>
      </c>
      <c r="T11" s="661">
        <v>38020</v>
      </c>
      <c r="U11" s="660">
        <f t="shared" si="2"/>
        <v>290</v>
      </c>
      <c r="V11" s="661">
        <v>2510</v>
      </c>
      <c r="W11" s="343">
        <f t="shared" si="3"/>
        <v>15.147410358565738</v>
      </c>
      <c r="X11" s="519">
        <v>0</v>
      </c>
      <c r="Y11" s="520">
        <f>6.51+0.25+0.25+0.25+0.2+0.2+0.2+0.2+0.19+0.19+0.17+0.16+0.16+0.03+0.16+0.15*33/90+0.14+0.13+0.13*36/90+0.02+0.12*32/90+0.02</f>
        <v>9.5796666666666663</v>
      </c>
      <c r="Z11" s="519">
        <f>6.92+0.04+0.04+0.04+0.13+0.04+0.03+0.03+(0.25*30/90*0.5)+(0.25*60/90*0.16)+0.03+0.03+0.25*0.5*1/90+0.026+0.03+0.03+0.03+0.03+0.25*0.5+0.02+0.02+0.02+0.01</f>
        <v>7.7407222222222227</v>
      </c>
      <c r="AA11" s="520">
        <f>5.8+0.05+0.05+0.05+0.05+0.04+0.04+0.03+0.02+0.02</f>
        <v>6.1499999999999986</v>
      </c>
      <c r="AB11" s="519">
        <f>4.28+(0.4/3)+0.4+0.4+0.35+0.35+0.35+0.35+0.3+0.3+0.25+0.25+0.25+0.2+0.04+0.17+0.16+0.03+0.15+0.13+0.02</f>
        <v>8.8633333333333315</v>
      </c>
      <c r="AC11" s="520">
        <f>2.7+0.08+0.08+0.08+0.08+0.08+0.06+0.06+0.06*10/90+0.03</f>
        <v>3.2566666666666673</v>
      </c>
      <c r="AD11" s="519">
        <f>9+1*5/90+0.85+0.85*30/90+0.65+0.55+0.5+0.4+0.35+0.35+0.25</f>
        <v>13.238888888888889</v>
      </c>
      <c r="AE11" s="351">
        <v>1011</v>
      </c>
      <c r="AF11" s="637">
        <f t="shared" si="11"/>
        <v>9.506806751519413</v>
      </c>
      <c r="AG11" s="637">
        <f t="shared" si="12"/>
        <v>10.268524904411748</v>
      </c>
      <c r="AH11" s="343">
        <f t="shared" si="13"/>
        <v>4.0377029806724121</v>
      </c>
      <c r="AI11" s="343">
        <f t="shared" si="14"/>
        <v>9.8821106844932327</v>
      </c>
      <c r="AJ11" s="343">
        <f t="shared" si="15"/>
        <v>11.824597371299996</v>
      </c>
      <c r="AK11" s="343">
        <f t="shared" si="16"/>
        <v>0.7622242145751621</v>
      </c>
      <c r="AL11" s="343">
        <f t="shared" si="17"/>
        <v>0.9572995210866001</v>
      </c>
      <c r="AM11" s="338">
        <f t="shared" si="18"/>
        <v>14.497556119880491</v>
      </c>
      <c r="AN11" s="338">
        <f t="shared" si="19"/>
        <v>15.659150328926907</v>
      </c>
      <c r="AO11" s="479">
        <v>3</v>
      </c>
      <c r="AP11" s="479">
        <v>2</v>
      </c>
      <c r="AQ11" s="624">
        <f t="shared" si="20"/>
        <v>0.1158</v>
      </c>
      <c r="AR11" s="289">
        <v>37730</v>
      </c>
      <c r="AS11">
        <f t="shared" si="21"/>
        <v>37730</v>
      </c>
      <c r="AT11" s="422">
        <f t="shared" si="22"/>
        <v>-290</v>
      </c>
    </row>
    <row r="12" spans="1:46" s="289" customFormat="1" x14ac:dyDescent="0.25">
      <c r="A12" s="416" t="s">
        <v>448</v>
      </c>
      <c r="B12" s="416" t="s">
        <v>66</v>
      </c>
      <c r="C12" s="417">
        <f t="shared" ca="1" si="4"/>
        <v>3.2232142857142856</v>
      </c>
      <c r="D12" s="691" t="s">
        <v>980</v>
      </c>
      <c r="E12" s="419">
        <v>30</v>
      </c>
      <c r="F12" s="229">
        <f ca="1">46-41471+$D$1-112-112-112-112-112-112-112-112-112-112-112-112-112-112</f>
        <v>87</v>
      </c>
      <c r="G12" s="420" t="s">
        <v>311</v>
      </c>
      <c r="H12" s="401">
        <v>0</v>
      </c>
      <c r="I12" s="335">
        <v>12.3</v>
      </c>
      <c r="J12" s="520">
        <f t="shared" si="5"/>
        <v>1.4984688546227811</v>
      </c>
      <c r="K12" s="330">
        <f t="shared" si="6"/>
        <v>0</v>
      </c>
      <c r="L12" s="330">
        <f t="shared" si="7"/>
        <v>12.3</v>
      </c>
      <c r="M12" s="421">
        <v>7.4</v>
      </c>
      <c r="N12" s="478">
        <f t="shared" si="8"/>
        <v>93</v>
      </c>
      <c r="O12" s="478" t="s">
        <v>676</v>
      </c>
      <c r="P12" s="712">
        <v>1.5</v>
      </c>
      <c r="Q12" s="478">
        <v>4</v>
      </c>
      <c r="R12" s="534">
        <f t="shared" si="9"/>
        <v>0.7559289460184544</v>
      </c>
      <c r="S12" s="534">
        <f t="shared" si="10"/>
        <v>0.84430867747355465</v>
      </c>
      <c r="T12" s="351">
        <v>190790</v>
      </c>
      <c r="U12" s="660">
        <f t="shared" si="2"/>
        <v>-7650</v>
      </c>
      <c r="V12" s="351">
        <v>15530</v>
      </c>
      <c r="W12" s="343">
        <f t="shared" si="3"/>
        <v>12.285254346426271</v>
      </c>
      <c r="X12" s="519">
        <v>0</v>
      </c>
      <c r="Y12" s="520">
        <v>11.95</v>
      </c>
      <c r="Z12" s="519">
        <f>9.9+0.17+(0.17/90*26)+0.17+0.15+0.15+0.15+0.13+0.13+(1/8)+0.13+0.13+0.13*0.5+0.11+0.11+0.11*0.5+0.11*0.5+0.1*0.5+0.1*0.5+0.1+0.1+0.1*0.5+0.09+0.09*0.5+0.09*0.5+0.09*0.5+0.09*0.5+0.09*0.5+0.09*0.5</f>
        <v>12.489111111111114</v>
      </c>
      <c r="AA12" s="520">
        <f>13.05+1/12</f>
        <v>13.133333333333335</v>
      </c>
      <c r="AB12" s="519">
        <f>10.7+0.07+0.07+0.07</f>
        <v>10.91</v>
      </c>
      <c r="AC12" s="520">
        <f>5.71+0.29+0.29+0.29+0.25+0.25+0.2+0.2+0.2+0.015+0.15*0.5</f>
        <v>7.7700000000000005</v>
      </c>
      <c r="AD12" s="519">
        <f>10.8+0.67+0.55+0.55+0.45+0.45+0.4+0.4+0.35+0.35+0.33+0.33+0.3+0.3+0.25+0.25+0.2+0.2</f>
        <v>17.13</v>
      </c>
      <c r="AE12" s="351">
        <v>2108</v>
      </c>
      <c r="AF12" s="637">
        <f t="shared" si="11"/>
        <v>11.707509999873754</v>
      </c>
      <c r="AG12" s="637">
        <f t="shared" si="12"/>
        <v>13.089394103488134</v>
      </c>
      <c r="AH12" s="343">
        <f t="shared" si="13"/>
        <v>4.0409510887344604</v>
      </c>
      <c r="AI12" s="343">
        <f t="shared" si="14"/>
        <v>16.136298282794442</v>
      </c>
      <c r="AJ12" s="343">
        <f t="shared" si="15"/>
        <v>13.093043765820465</v>
      </c>
      <c r="AK12" s="343">
        <f t="shared" si="16"/>
        <v>1.1422775083698222</v>
      </c>
      <c r="AL12" s="343">
        <f t="shared" si="17"/>
        <v>1.2017928198235945</v>
      </c>
      <c r="AM12" s="338">
        <f t="shared" si="18"/>
        <v>15.181477360524486</v>
      </c>
      <c r="AN12" s="338">
        <f t="shared" si="19"/>
        <v>16.973407688503418</v>
      </c>
      <c r="AO12" s="478">
        <v>1</v>
      </c>
      <c r="AP12" s="478">
        <v>2</v>
      </c>
      <c r="AQ12" s="624">
        <f t="shared" si="20"/>
        <v>4.9399999999999999E-2</v>
      </c>
      <c r="AR12" s="289">
        <v>198440</v>
      </c>
      <c r="AS12">
        <f t="shared" si="21"/>
        <v>198440</v>
      </c>
      <c r="AT12" s="422">
        <f t="shared" si="22"/>
        <v>7650</v>
      </c>
    </row>
    <row r="13" spans="1:46" s="272" customFormat="1" x14ac:dyDescent="0.25">
      <c r="A13" s="416" t="s">
        <v>450</v>
      </c>
      <c r="B13" s="416" t="s">
        <v>66</v>
      </c>
      <c r="C13" s="417">
        <f t="shared" ca="1" si="4"/>
        <v>3.6964285714285716</v>
      </c>
      <c r="D13" s="691" t="s">
        <v>338</v>
      </c>
      <c r="E13" s="419">
        <v>30</v>
      </c>
      <c r="F13" s="427">
        <f ca="1">75-41471+$D$1-24-112-10-112-40-8-112-112-112-112-112-112-112-112-112-112-112-112</f>
        <v>34</v>
      </c>
      <c r="G13" s="420" t="s">
        <v>308</v>
      </c>
      <c r="H13" s="401">
        <v>2</v>
      </c>
      <c r="I13" s="335">
        <v>10.3</v>
      </c>
      <c r="J13" s="520">
        <f t="shared" si="5"/>
        <v>1.4041045913112262</v>
      </c>
      <c r="K13" s="330">
        <f t="shared" si="6"/>
        <v>41.2</v>
      </c>
      <c r="L13" s="330">
        <f t="shared" si="7"/>
        <v>92.7</v>
      </c>
      <c r="M13" s="421">
        <v>7.6</v>
      </c>
      <c r="N13" s="478">
        <f t="shared" si="8"/>
        <v>95</v>
      </c>
      <c r="O13" s="478" t="s">
        <v>676</v>
      </c>
      <c r="P13" s="712">
        <v>1.5</v>
      </c>
      <c r="Q13" s="478">
        <v>5</v>
      </c>
      <c r="R13" s="534">
        <f t="shared" si="9"/>
        <v>0.84515425472851657</v>
      </c>
      <c r="S13" s="534">
        <f t="shared" si="10"/>
        <v>0.92504826128926143</v>
      </c>
      <c r="T13" s="351">
        <v>99190</v>
      </c>
      <c r="U13" s="660">
        <f t="shared" si="2"/>
        <v>-1730</v>
      </c>
      <c r="V13" s="351">
        <v>10060</v>
      </c>
      <c r="W13" s="343">
        <f t="shared" si="3"/>
        <v>9.8598409542743539</v>
      </c>
      <c r="X13" s="519">
        <v>0</v>
      </c>
      <c r="Y13" s="520">
        <f>7+0.11</f>
        <v>7.11</v>
      </c>
      <c r="Z13" s="519">
        <f>10+0.1*0.5+0.1*0.5+0.1*0.5+0.1*0.5+0.1*0.5+0.1+0.1</f>
        <v>10.450000000000003</v>
      </c>
      <c r="AA13" s="520">
        <f>12+0.165+0.15+0.15+0.15+0.13+0.13+0.12+0.11+0.1+0.1+1/12</f>
        <v>13.388333333333334</v>
      </c>
      <c r="AB13" s="519">
        <f>6.1+0.33+0.3+0.3+0.25+0.25+0.25+0.25+0.25+0.2+0.2+0.2+0.2+0.15+0.13+0.13+0.13+0.12+0.12+0.11+0.1+0.08+0.07+0.07+0.07</f>
        <v>10.359999999999998</v>
      </c>
      <c r="AC13" s="520">
        <f>2.7+0.06+0.33+0.33+0.33+0.33+0.33+0.33+0.33+0.25+0.17*0.5</f>
        <v>5.4050000000000002</v>
      </c>
      <c r="AD13" s="519">
        <f>11.48+0.6+0.6*1.25+0.5+0.5+0.39+0.39+0.39+0.3+0.3+0.3+0.25+0.25+0.25+0.25+0.2+0.2</f>
        <v>17.300000000000004</v>
      </c>
      <c r="AE13" s="351">
        <v>1615</v>
      </c>
      <c r="AF13" s="637">
        <f t="shared" si="11"/>
        <v>11.286278313436304</v>
      </c>
      <c r="AG13" s="637">
        <f t="shared" si="12"/>
        <v>12.363498445100848</v>
      </c>
      <c r="AH13" s="343">
        <f t="shared" si="13"/>
        <v>3.8604864954580647</v>
      </c>
      <c r="AI13" s="343">
        <f t="shared" si="14"/>
        <v>14.625708054372277</v>
      </c>
      <c r="AJ13" s="343">
        <f t="shared" si="15"/>
        <v>14.059652000327929</v>
      </c>
      <c r="AK13" s="343">
        <f t="shared" si="16"/>
        <v>1.0215783673048981</v>
      </c>
      <c r="AL13" s="343">
        <f t="shared" si="17"/>
        <v>1.006687321391786</v>
      </c>
      <c r="AM13" s="338">
        <f t="shared" si="18"/>
        <v>17.030238241972114</v>
      </c>
      <c r="AN13" s="338">
        <f t="shared" si="19"/>
        <v>18.6556912896305</v>
      </c>
      <c r="AO13" s="478">
        <v>4</v>
      </c>
      <c r="AP13" s="478">
        <v>4</v>
      </c>
      <c r="AQ13" s="624">
        <f t="shared" si="20"/>
        <v>0.157</v>
      </c>
      <c r="AR13" s="272">
        <v>100920</v>
      </c>
      <c r="AS13">
        <f t="shared" si="21"/>
        <v>100920</v>
      </c>
      <c r="AT13" s="422">
        <f t="shared" si="22"/>
        <v>1730</v>
      </c>
    </row>
    <row r="14" spans="1:46" s="288" customFormat="1" x14ac:dyDescent="0.25">
      <c r="A14" s="416" t="s">
        <v>449</v>
      </c>
      <c r="B14" s="416" t="s">
        <v>66</v>
      </c>
      <c r="C14" s="417">
        <f t="shared" ca="1" si="4"/>
        <v>6.5625</v>
      </c>
      <c r="D14" s="691" t="s">
        <v>600</v>
      </c>
      <c r="E14" s="419">
        <v>27</v>
      </c>
      <c r="F14" s="229">
        <f ca="1">7-41471+$D$1-112-111-112+4-112-116-112-112-112-112-112-112-112-112-112</f>
        <v>49</v>
      </c>
      <c r="G14" s="420" t="s">
        <v>595</v>
      </c>
      <c r="H14" s="401">
        <v>2</v>
      </c>
      <c r="I14" s="335">
        <v>8.6999999999999993</v>
      </c>
      <c r="J14" s="520">
        <f t="shared" si="5"/>
        <v>1.3156956456883264</v>
      </c>
      <c r="K14" s="330">
        <f t="shared" si="6"/>
        <v>34.799999999999997</v>
      </c>
      <c r="L14" s="330">
        <f t="shared" si="7"/>
        <v>78.3</v>
      </c>
      <c r="M14" s="421">
        <v>8.1</v>
      </c>
      <c r="N14" s="478">
        <f t="shared" si="8"/>
        <v>100</v>
      </c>
      <c r="O14" s="478" t="s">
        <v>676</v>
      </c>
      <c r="P14" s="712">
        <v>1.5</v>
      </c>
      <c r="Q14" s="478">
        <v>4</v>
      </c>
      <c r="R14" s="534">
        <f t="shared" si="9"/>
        <v>0.7559289460184544</v>
      </c>
      <c r="S14" s="534">
        <f t="shared" si="10"/>
        <v>0.84430867747355465</v>
      </c>
      <c r="T14" s="351">
        <v>174540</v>
      </c>
      <c r="U14" s="660">
        <f t="shared" si="2"/>
        <v>2720</v>
      </c>
      <c r="V14" s="351">
        <v>12550</v>
      </c>
      <c r="W14" s="343">
        <f t="shared" si="3"/>
        <v>13.907569721115538</v>
      </c>
      <c r="X14" s="519">
        <v>0</v>
      </c>
      <c r="Y14" s="520">
        <f>8+0.12</f>
        <v>8.1199999999999992</v>
      </c>
      <c r="Z14" s="519">
        <f>8.4+0.22+0.22+(0.22*75/90)+(0.05*15/90)+0.17+0.17+0.17+0.17+0.17+1/7+0.16+0.16+0.16+0.125+0.16+0.16+0.14+0.14+0.05*61/90+0.11+0.11*0.5+0.11+0.11+0.11+0.1+0.1+0.1*0.5+0.1*0.5</f>
        <v>12.058412698412699</v>
      </c>
      <c r="AA14" s="520">
        <f>10.6+0.21+0.2+0.18+0.17+0.17+0.03+0.15+0.15+0.14+0.13+0.12</f>
        <v>12.25</v>
      </c>
      <c r="AB14" s="519">
        <f>6+0.33+0.33+0.33+0.3+0.25+0.25+0.24+0.24+0.23+0.2+0.2+0.18+0.15+0.15+0.15+0.15+0.13+0.13+0.12+0.1+0.08</f>
        <v>10.24</v>
      </c>
      <c r="AC14" s="520">
        <f>4.7+0.33+0.33+(0.33*85/90)+0.33+0.32+0.3+0.3+0.27+0.21+0.15*0.5</f>
        <v>7.4766666666666666</v>
      </c>
      <c r="AD14" s="519">
        <f>9+0.67+0.67+0.67+0.55+0.55+0.45+0.45*70/90+0.4+0.35+0.35+0.3+0.25+0.25+0.25+0.21</f>
        <v>15.270000000000001</v>
      </c>
      <c r="AE14" s="351">
        <v>1775</v>
      </c>
      <c r="AF14" s="637">
        <f t="shared" si="11"/>
        <v>11.243769043520585</v>
      </c>
      <c r="AG14" s="637">
        <f t="shared" si="12"/>
        <v>12.570915952309912</v>
      </c>
      <c r="AH14" s="343">
        <f t="shared" si="13"/>
        <v>3.5006206726736973</v>
      </c>
      <c r="AI14" s="343">
        <f t="shared" si="14"/>
        <v>14.689554503759226</v>
      </c>
      <c r="AJ14" s="343">
        <f t="shared" si="15"/>
        <v>11.904138971664581</v>
      </c>
      <c r="AK14" s="343">
        <f t="shared" si="16"/>
        <v>1.0571889849883995</v>
      </c>
      <c r="AL14" s="343">
        <f t="shared" si="17"/>
        <v>0.97999869519818295</v>
      </c>
      <c r="AM14" s="338">
        <f t="shared" si="18"/>
        <v>13.623874822590867</v>
      </c>
      <c r="AN14" s="338">
        <f t="shared" si="19"/>
        <v>15.231955110130535</v>
      </c>
      <c r="AO14" s="478">
        <v>3</v>
      </c>
      <c r="AP14" s="478">
        <v>2</v>
      </c>
      <c r="AQ14" s="624">
        <f t="shared" si="20"/>
        <v>0.1158</v>
      </c>
      <c r="AR14" s="288">
        <v>171820</v>
      </c>
      <c r="AS14">
        <f t="shared" si="21"/>
        <v>171820</v>
      </c>
      <c r="AT14" s="422">
        <f t="shared" si="22"/>
        <v>-2720</v>
      </c>
    </row>
    <row r="15" spans="1:46" s="289" customFormat="1" x14ac:dyDescent="0.25">
      <c r="A15" s="416" t="s">
        <v>446</v>
      </c>
      <c r="B15" s="285" t="s">
        <v>65</v>
      </c>
      <c r="C15" s="417">
        <f t="shared" ca="1" si="4"/>
        <v>4.5892857142857144</v>
      </c>
      <c r="D15" s="692" t="s">
        <v>752</v>
      </c>
      <c r="E15" s="228">
        <v>29</v>
      </c>
      <c r="F15" s="229">
        <f ca="1">7-41471+$D$1-112-111-3-112-112-112-112-112-112-112-112-112-112-112-112</f>
        <v>46</v>
      </c>
      <c r="G15" s="420" t="s">
        <v>308</v>
      </c>
      <c r="H15" s="401">
        <v>3</v>
      </c>
      <c r="I15" s="232">
        <v>10.4</v>
      </c>
      <c r="J15" s="520">
        <f t="shared" si="5"/>
        <v>1.4092064684486303</v>
      </c>
      <c r="K15" s="330">
        <f t="shared" si="6"/>
        <v>93.600000000000009</v>
      </c>
      <c r="L15" s="330">
        <f t="shared" si="7"/>
        <v>166.4</v>
      </c>
      <c r="M15" s="323">
        <v>7.8</v>
      </c>
      <c r="N15" s="478">
        <f t="shared" si="8"/>
        <v>97</v>
      </c>
      <c r="O15" s="478" t="s">
        <v>676</v>
      </c>
      <c r="P15" s="712">
        <v>1.5</v>
      </c>
      <c r="Q15" s="479">
        <v>6</v>
      </c>
      <c r="R15" s="534">
        <f t="shared" si="9"/>
        <v>0.92582009977255142</v>
      </c>
      <c r="S15" s="534">
        <f t="shared" si="10"/>
        <v>0.99928545900129484</v>
      </c>
      <c r="T15" s="351">
        <v>219600</v>
      </c>
      <c r="U15" s="660">
        <f t="shared" si="2"/>
        <v>910</v>
      </c>
      <c r="V15" s="661">
        <v>21080</v>
      </c>
      <c r="W15" s="343">
        <f t="shared" si="3"/>
        <v>10.417457305502847</v>
      </c>
      <c r="X15" s="519">
        <v>0</v>
      </c>
      <c r="Y15" s="520">
        <f>5.6+0.26+0.26+0.26+(0.26*23/90)+(0.05*(90-23)/90)+0.26+0.26+0.23+0.23+0.22+0.15+0.15+0.14+0.13+0.13+0.13+0.12+0.12+0.12+0.02+0.1+0.1+0.1</f>
        <v>9.1936666666666653</v>
      </c>
      <c r="Z15" s="519">
        <f>13+0.1+0.1+0.1+0.1+0.1+0.1+0.08</f>
        <v>13.679999999999998</v>
      </c>
      <c r="AA15" s="520">
        <f>11.58+0.17+(0.17/2)+0.17+0.15+0.03+0.15+0.14+0.13+0.12+0.11</f>
        <v>12.835000000000001</v>
      </c>
      <c r="AB15" s="519">
        <f>5.21+0.4+0.4+0.33+0.33+0.33+0.33+0.3+0.3+0.23+0.23+0.22*30/90+0.15+0.15+0.15+0.13+0.12+0.11+0.11+0.08+0.07+0.07+0.07</f>
        <v>9.6733333333333356</v>
      </c>
      <c r="AC15" s="520">
        <f>2.9+0.33+(0.33*46/90)+0.03+0.07+0.07+(0.33*33/90)+0.33+0.33+0.33+0.25+0.2*0.5</f>
        <v>5.0296666666666656</v>
      </c>
      <c r="AD15" s="519">
        <f>15+0.2</f>
        <v>15.2</v>
      </c>
      <c r="AE15" s="351">
        <v>1791</v>
      </c>
      <c r="AF15" s="637">
        <f t="shared" si="11"/>
        <v>15.358620787766567</v>
      </c>
      <c r="AG15" s="637">
        <f t="shared" si="12"/>
        <v>16.58920646844863</v>
      </c>
      <c r="AH15" s="343">
        <f t="shared" si="13"/>
        <v>4.312927465355342</v>
      </c>
      <c r="AI15" s="343">
        <f t="shared" si="14"/>
        <v>14.385941686346632</v>
      </c>
      <c r="AJ15" s="343">
        <f t="shared" si="15"/>
        <v>13.94109763300481</v>
      </c>
      <c r="AK15" s="343">
        <f t="shared" si="16"/>
        <v>0.94021985080922366</v>
      </c>
      <c r="AL15" s="343">
        <f t="shared" si="17"/>
        <v>1.0273911194580709</v>
      </c>
      <c r="AM15" s="338">
        <f t="shared" si="18"/>
        <v>16.716648876417086</v>
      </c>
      <c r="AN15" s="338">
        <f t="shared" si="19"/>
        <v>18.056044452398375</v>
      </c>
      <c r="AO15" s="479">
        <v>3</v>
      </c>
      <c r="AP15" s="479">
        <v>3</v>
      </c>
      <c r="AQ15" s="624">
        <f t="shared" si="20"/>
        <v>0.1158</v>
      </c>
      <c r="AR15" s="289">
        <v>218690</v>
      </c>
      <c r="AS15">
        <f t="shared" si="21"/>
        <v>218690</v>
      </c>
      <c r="AT15" s="422">
        <f t="shared" si="22"/>
        <v>-910</v>
      </c>
    </row>
    <row r="16" spans="1:46" x14ac:dyDescent="0.25">
      <c r="A16" s="332" t="s">
        <v>447</v>
      </c>
      <c r="B16" s="416" t="s">
        <v>65</v>
      </c>
      <c r="C16" s="417">
        <f t="shared" ca="1" si="4"/>
        <v>2.2857142857142856</v>
      </c>
      <c r="D16" s="691" t="s">
        <v>325</v>
      </c>
      <c r="E16" s="419">
        <v>31</v>
      </c>
      <c r="F16" s="427">
        <f ca="1">33-41471+$D$1-112+6-112-112-112-112-112-112-112-112-112-112-112-112-112</f>
        <v>80</v>
      </c>
      <c r="G16" s="420" t="s">
        <v>308</v>
      </c>
      <c r="H16" s="426">
        <v>4</v>
      </c>
      <c r="I16" s="335">
        <v>11</v>
      </c>
      <c r="J16" s="520">
        <f t="shared" si="5"/>
        <v>1.4389083280634998</v>
      </c>
      <c r="K16" s="330">
        <f t="shared" si="6"/>
        <v>176</v>
      </c>
      <c r="L16" s="330">
        <f t="shared" si="7"/>
        <v>275</v>
      </c>
      <c r="M16" s="421">
        <v>7.1</v>
      </c>
      <c r="N16" s="478">
        <f t="shared" si="8"/>
        <v>90</v>
      </c>
      <c r="O16" s="478" t="s">
        <v>676</v>
      </c>
      <c r="P16" s="712">
        <v>1.5</v>
      </c>
      <c r="Q16" s="478">
        <v>5</v>
      </c>
      <c r="R16" s="534">
        <f t="shared" si="9"/>
        <v>0.84515425472851657</v>
      </c>
      <c r="S16" s="534">
        <f t="shared" si="10"/>
        <v>0.92504826128926143</v>
      </c>
      <c r="T16" s="351">
        <v>95800</v>
      </c>
      <c r="U16" s="660">
        <f t="shared" si="2"/>
        <v>-5760</v>
      </c>
      <c r="V16" s="351">
        <v>16970</v>
      </c>
      <c r="W16" s="343">
        <f t="shared" si="3"/>
        <v>5.6452563347083089</v>
      </c>
      <c r="X16" s="519">
        <v>0</v>
      </c>
      <c r="Y16" s="520">
        <f>5.25+0.25+0.25+0.25+0.24+0.24+0.24+0.24+0.23+0.22+0.17+(0.17*25/90)+0.16+0.16+0.03+0.15+0.14+0.14+0.13+0.02+0.11*33/90+0.01</f>
        <v>8.6075555555555585</v>
      </c>
      <c r="Z16" s="519">
        <f>11.65+0.13+0.13+0.13+0.11+0.11+0.11+0.1+0.1+0.1+0.1+0.1+0.1+0.1+0.1+0.1+0.1+0.091*83/90+0.091+0.091+0.091+0.091+0.091+0.091+1/21+1/21+1/21+1/21</f>
        <v>14.190398412698405</v>
      </c>
      <c r="AA16" s="520">
        <v>9.99</v>
      </c>
      <c r="AB16" s="519">
        <f>6.01+0.25+0.25+0.25+0.25+0.25+0.25+0.25+0.25+0.24+0.21+0.2+0.2+0.15+0.13+0.13+0.12+0.11+0.11+0.11+0.1+0.08+0.07+0.06+0.06</f>
        <v>10.09</v>
      </c>
      <c r="AC16" s="520">
        <f>3.79+0.04+0.04+0.03+0.03+0.21+0.03+0.03+0.2*45/90+0.2*0.5</f>
        <v>4.3999999999999995</v>
      </c>
      <c r="AD16" s="519">
        <f>10.7+0.5+0.5*80/90+0.5+0.45+0.45+0.45+0.45+0.35+0.3+0.3+0.25+0.25+0.25+0.25+0.25+0.2+0.2</f>
        <v>16.544444444444441</v>
      </c>
      <c r="AE16" s="351">
        <v>1778</v>
      </c>
      <c r="AF16" s="637">
        <f t="shared" si="11"/>
        <v>14.476906472504783</v>
      </c>
      <c r="AG16" s="637">
        <f t="shared" si="12"/>
        <v>15.858656475766825</v>
      </c>
      <c r="AH16" s="343">
        <f t="shared" si="13"/>
        <v>3.972677211771392</v>
      </c>
      <c r="AI16" s="343">
        <f t="shared" si="14"/>
        <v>12.929534768249406</v>
      </c>
      <c r="AJ16" s="343">
        <f t="shared" si="15"/>
        <v>13.38725982400083</v>
      </c>
      <c r="AK16" s="343">
        <f t="shared" si="16"/>
        <v>0.95144599957841314</v>
      </c>
      <c r="AL16" s="343">
        <f t="shared" si="17"/>
        <v>1.0463591385200004</v>
      </c>
      <c r="AM16" s="338">
        <f t="shared" si="18"/>
        <v>16.423855608040736</v>
      </c>
      <c r="AN16" s="338">
        <f t="shared" si="19"/>
        <v>17.991432395463271</v>
      </c>
      <c r="AO16" s="478">
        <v>2</v>
      </c>
      <c r="AP16" s="478">
        <v>2</v>
      </c>
      <c r="AQ16" s="624">
        <f t="shared" si="20"/>
        <v>6.1499999999999999E-2</v>
      </c>
      <c r="AR16">
        <v>101560</v>
      </c>
      <c r="AS16">
        <f t="shared" si="21"/>
        <v>101560</v>
      </c>
      <c r="AT16" s="422">
        <f t="shared" si="22"/>
        <v>5760</v>
      </c>
    </row>
    <row r="17" spans="1:46" s="4" customFormat="1" x14ac:dyDescent="0.25">
      <c r="A17" s="416" t="s">
        <v>444</v>
      </c>
      <c r="B17" s="416" t="s">
        <v>65</v>
      </c>
      <c r="C17" s="417">
        <f t="shared" ca="1" si="4"/>
        <v>3.3392857142857144</v>
      </c>
      <c r="D17" s="691" t="s">
        <v>312</v>
      </c>
      <c r="E17" s="419">
        <v>30</v>
      </c>
      <c r="F17" s="427">
        <f ca="1">33-41471+$D$1-112-112-112-112-112-112-112-112-112-112-112-112-112-112</f>
        <v>74</v>
      </c>
      <c r="G17" s="420"/>
      <c r="H17" s="401">
        <v>3</v>
      </c>
      <c r="I17" s="335">
        <v>9.1</v>
      </c>
      <c r="J17" s="520">
        <f t="shared" si="5"/>
        <v>1.3390951650435234</v>
      </c>
      <c r="K17" s="330">
        <f t="shared" si="6"/>
        <v>81.899999999999991</v>
      </c>
      <c r="L17" s="330">
        <f t="shared" si="7"/>
        <v>145.6</v>
      </c>
      <c r="M17" s="421">
        <v>7.4</v>
      </c>
      <c r="N17" s="478">
        <f t="shared" si="8"/>
        <v>93</v>
      </c>
      <c r="O17" s="478" t="s">
        <v>676</v>
      </c>
      <c r="P17" s="712">
        <v>1.5</v>
      </c>
      <c r="Q17" s="478">
        <v>6</v>
      </c>
      <c r="R17" s="534">
        <f t="shared" si="9"/>
        <v>0.92582009977255142</v>
      </c>
      <c r="S17" s="534">
        <f t="shared" si="10"/>
        <v>0.99928545900129484</v>
      </c>
      <c r="T17" s="351">
        <v>85290</v>
      </c>
      <c r="U17" s="660">
        <f t="shared" si="2"/>
        <v>1840</v>
      </c>
      <c r="V17" s="351">
        <v>11270</v>
      </c>
      <c r="W17" s="343">
        <f t="shared" si="3"/>
        <v>7.5678793256433012</v>
      </c>
      <c r="X17" s="519">
        <v>0</v>
      </c>
      <c r="Y17" s="520">
        <f>7.5+0.2+0.2+0.2+0.2+0.2+0.16+0.16+0.14+0.14+0.13+0.13+0.12+0.12+0.12+0.12+0.11+0.1+0.1+0.1+0.1</f>
        <v>10.349999999999996</v>
      </c>
      <c r="Z17" s="519">
        <f>10.8+0.08+(0.16*77/90)+0.08+0.07+((0.07*37/90)+0.14*53/90)+(0.07*23/90)+0.06+0.06+0.06+0.06+0.06+0.12+0.1+0.1+0.1*0.5*32/90+0.1*0.5+0.1+0.1+0.1+0.1*0.16+0.1*0.5+0.1+0.1+0.1+0.1+0.1+0.01</f>
        <v>12.859777777777778</v>
      </c>
      <c r="AA17" s="520">
        <f>4.85+0.05+0.05+0.05+0.03+0.03+0.02+0.02+0.02+0.01</f>
        <v>5.1299999999999981</v>
      </c>
      <c r="AB17" s="519">
        <f>8.95+0.08+0.07+0.07+0.07</f>
        <v>9.24</v>
      </c>
      <c r="AC17" s="520">
        <v>2.98</v>
      </c>
      <c r="AD17" s="519">
        <f>11+0.5+0.5+0.5+0.45+0.45+0.45+0.4+0.35+0.33+0.33+0.3+0.3+0.3+0.2+0.2+0.2+0.2</f>
        <v>16.959999999999997</v>
      </c>
      <c r="AE17" s="351">
        <v>1451</v>
      </c>
      <c r="AF17" s="637">
        <f t="shared" si="11"/>
        <v>14.534332114239426</v>
      </c>
      <c r="AG17" s="637">
        <f t="shared" si="12"/>
        <v>15.698872942821302</v>
      </c>
      <c r="AH17" s="343">
        <f t="shared" si="13"/>
        <v>4.3221084479169685</v>
      </c>
      <c r="AI17" s="343">
        <f t="shared" si="14"/>
        <v>11.98862992737307</v>
      </c>
      <c r="AJ17" s="343">
        <f t="shared" si="15"/>
        <v>14.447510762660752</v>
      </c>
      <c r="AK17" s="343">
        <f t="shared" si="16"/>
        <v>0.88492761320348179</v>
      </c>
      <c r="AL17" s="343">
        <f t="shared" si="17"/>
        <v>1.1215366615530464</v>
      </c>
      <c r="AM17" s="338">
        <f t="shared" si="18"/>
        <v>18.274505438500924</v>
      </c>
      <c r="AN17" s="338">
        <f t="shared" si="19"/>
        <v>19.738721856428121</v>
      </c>
      <c r="AO17" s="478">
        <v>4</v>
      </c>
      <c r="AP17" s="478">
        <v>1</v>
      </c>
      <c r="AQ17" s="624">
        <f t="shared" si="20"/>
        <v>0.157</v>
      </c>
      <c r="AR17" s="4">
        <v>83450</v>
      </c>
      <c r="AS17">
        <f t="shared" si="21"/>
        <v>83450</v>
      </c>
      <c r="AT17" s="422">
        <f t="shared" si="22"/>
        <v>-1840</v>
      </c>
    </row>
    <row r="18" spans="1:46" s="288" customFormat="1" x14ac:dyDescent="0.25">
      <c r="A18" s="332" t="s">
        <v>451</v>
      </c>
      <c r="B18" s="285" t="s">
        <v>65</v>
      </c>
      <c r="C18" s="417">
        <f t="shared" ca="1" si="4"/>
        <v>3.5625</v>
      </c>
      <c r="D18" s="692" t="s">
        <v>440</v>
      </c>
      <c r="E18" s="228">
        <v>30</v>
      </c>
      <c r="F18" s="229">
        <f ca="1">7-41471+$D$1-112-111-112-112-112-112-112-112-112-112-112-112-112-112</f>
        <v>49</v>
      </c>
      <c r="G18" s="287"/>
      <c r="H18" s="401">
        <v>0</v>
      </c>
      <c r="I18" s="232">
        <v>8.1</v>
      </c>
      <c r="J18" s="520">
        <f t="shared" si="5"/>
        <v>1.2787218564281246</v>
      </c>
      <c r="K18" s="330">
        <f t="shared" si="6"/>
        <v>0</v>
      </c>
      <c r="L18" s="330">
        <f t="shared" si="7"/>
        <v>8.1</v>
      </c>
      <c r="M18" s="323">
        <v>7.5</v>
      </c>
      <c r="N18" s="478">
        <f t="shared" si="8"/>
        <v>94</v>
      </c>
      <c r="O18" s="478" t="s">
        <v>676</v>
      </c>
      <c r="P18" s="712">
        <v>1.5</v>
      </c>
      <c r="Q18" s="479">
        <v>7</v>
      </c>
      <c r="R18" s="534">
        <f t="shared" si="9"/>
        <v>1</v>
      </c>
      <c r="S18" s="534">
        <f t="shared" si="10"/>
        <v>1</v>
      </c>
      <c r="T18" s="351">
        <v>89400</v>
      </c>
      <c r="U18" s="660">
        <f t="shared" si="2"/>
        <v>920</v>
      </c>
      <c r="V18" s="661">
        <v>20790</v>
      </c>
      <c r="W18" s="343">
        <f t="shared" si="3"/>
        <v>4.3001443001443</v>
      </c>
      <c r="X18" s="519">
        <v>0</v>
      </c>
      <c r="Y18" s="520">
        <f>3.4+0.06+0.06+0.06+0.06+0.06+0.06+0.06+0.06+(0.06*40/90)+(0.25*35/90)+0.06+(0.25*35/90)+0.05+0.25+0.05+0.05+0.22+0.2+0.15+0.15</f>
        <v>5.2811111111111115</v>
      </c>
      <c r="Z18" s="519">
        <f>11.7+0.13+0.13+0.13+0.12+0.12+0.12+0.1+0.1+0.1+0.1+0.1+0.1+0.091+0.091*33/90+0.1+0.091+0.091+0.091+0.091+0.091+0.091+0.091+0.092+1/21+1/21+1/21+1/21+1/21*80/90+1/21</f>
        <v>14.283789947089938</v>
      </c>
      <c r="AA18" s="520">
        <f>3.0625+0.06+0.06+0.06+0.05+0.05+0.05+0.04+0.03+0.03+0.02</f>
        <v>3.5124999999999993</v>
      </c>
      <c r="AB18" s="519">
        <f>4.21+0.4+0.4+0.4+0.33+0.33+0.33+0.15+0.33+0.3+0.25+0.2+0.22+0.15+0.15+0.15+0.02+0.15+0.14+0.13+0.11+0.08+0.07+0.07+0.07</f>
        <v>9.1400000000000041</v>
      </c>
      <c r="AC18" s="520">
        <f>5.75+0.28+(0.28*44/90)+0.28+0.28+0.28+0.04+0.04+0.25+0.02+0.15*0.5</f>
        <v>7.4318888888888894</v>
      </c>
      <c r="AD18" s="519">
        <f>11+0.67+0.5+0.5+0.5+0.45+0.35+0.3+0.3+0.3+0.3+0.25+0.25+0.2+0.2</f>
        <v>16.07</v>
      </c>
      <c r="AE18" s="351">
        <v>1497</v>
      </c>
      <c r="AF18" s="637">
        <f t="shared" si="11"/>
        <v>17.062511803518063</v>
      </c>
      <c r="AG18" s="637">
        <f t="shared" si="12"/>
        <v>17.062511803518063</v>
      </c>
      <c r="AH18" s="343">
        <f t="shared" si="13"/>
        <v>3.9871595850494366</v>
      </c>
      <c r="AI18" s="343">
        <f t="shared" si="14"/>
        <v>19.71641085826171</v>
      </c>
      <c r="AJ18" s="343">
        <f t="shared" si="15"/>
        <v>16.25728852309479</v>
      </c>
      <c r="AK18" s="343">
        <f t="shared" si="16"/>
        <v>1.0759921929586944</v>
      </c>
      <c r="AL18" s="343">
        <f t="shared" si="17"/>
        <v>0.8878549743944133</v>
      </c>
      <c r="AM18" s="338">
        <f t="shared" si="18"/>
        <v>18.781313358504867</v>
      </c>
      <c r="AN18" s="338">
        <f t="shared" si="19"/>
        <v>18.781313358504867</v>
      </c>
      <c r="AO18" s="479">
        <v>2</v>
      </c>
      <c r="AP18" s="479">
        <v>1</v>
      </c>
      <c r="AQ18" s="624">
        <f t="shared" si="20"/>
        <v>6.1499999999999999E-2</v>
      </c>
      <c r="AR18" s="288">
        <v>88480</v>
      </c>
      <c r="AS18">
        <f t="shared" si="21"/>
        <v>88480</v>
      </c>
      <c r="AT18" s="422">
        <f t="shared" si="22"/>
        <v>-920</v>
      </c>
    </row>
    <row r="19" spans="1:46" s="289" customFormat="1" ht="14.25" customHeight="1" x14ac:dyDescent="0.25">
      <c r="A19" s="332" t="s">
        <v>598</v>
      </c>
      <c r="B19" s="285" t="s">
        <v>65</v>
      </c>
      <c r="C19" s="417">
        <f t="shared" ca="1" si="4"/>
        <v>5.0089285714285712</v>
      </c>
      <c r="D19" s="692" t="s">
        <v>454</v>
      </c>
      <c r="E19" s="228">
        <v>28</v>
      </c>
      <c r="F19" s="229">
        <f ca="1">59-41471+$D$1-325-112-112-112-112-112-112-112-112-112-112-112</f>
        <v>111</v>
      </c>
      <c r="G19" s="287"/>
      <c r="H19" s="401">
        <v>2</v>
      </c>
      <c r="I19" s="232">
        <v>4</v>
      </c>
      <c r="J19" s="520">
        <f t="shared" si="5"/>
        <v>0.93196000578135851</v>
      </c>
      <c r="K19" s="330">
        <f t="shared" si="6"/>
        <v>16</v>
      </c>
      <c r="L19" s="330">
        <f t="shared" si="7"/>
        <v>36</v>
      </c>
      <c r="M19" s="323">
        <v>6.8</v>
      </c>
      <c r="N19" s="478">
        <f t="shared" si="8"/>
        <v>87</v>
      </c>
      <c r="O19" s="478" t="s">
        <v>676</v>
      </c>
      <c r="P19" s="712">
        <v>1.5</v>
      </c>
      <c r="Q19" s="479">
        <v>6</v>
      </c>
      <c r="R19" s="534">
        <f t="shared" si="9"/>
        <v>0.92582009977255142</v>
      </c>
      <c r="S19" s="534">
        <f t="shared" si="10"/>
        <v>0.99928545900129484</v>
      </c>
      <c r="T19" s="351">
        <v>34170</v>
      </c>
      <c r="U19" s="660">
        <f t="shared" si="2"/>
        <v>1920</v>
      </c>
      <c r="V19" s="661">
        <v>3310</v>
      </c>
      <c r="W19" s="343">
        <f t="shared" si="3"/>
        <v>10.323262839879154</v>
      </c>
      <c r="X19" s="519">
        <v>0</v>
      </c>
      <c r="Y19" s="520">
        <f>4.45+0.06+0.2+0.06+0.06+(0.06*68/90)+0.06+0.06+0.06+0.04+(0.22*35/90)+0.04+0.04+0.04+0.04+0.04+0.04*0.5+0.2*66/90+0.02+0.12*33/90+0.02</f>
        <v>5.6315555555555523</v>
      </c>
      <c r="Z19" s="519">
        <f>8.7+0.13+0.13+0.13+0.08+(0.08*53/90)+0.02+0.01+0.02+(0.13*30/90)+(0.13*60/90*0.16)+0.02+0.02+0.143*0.5+0.143*57/90+0.143*61/90*0.5+0.02+0.143*0.5+0.14+0.01+0.01+0.12*12/90+0.01</f>
        <v>9.8523388888888874</v>
      </c>
      <c r="AA19" s="520">
        <f>6.8+0.04+0.04+0.04+0.03+0.03+0.03*17/90+0.18*33/90+0.03*3/90+0.02</f>
        <v>7.0726666666666667</v>
      </c>
      <c r="AB19" s="519">
        <f>5.2+0.38+0.38+0.33+0.3+0.3+0.3+0.3+0.28+0.25+0.2+0.2+0.15+0.15*40/90+0.14+0.13+0.12+0.12+0.11+0.01</f>
        <v>9.2666666666666639</v>
      </c>
      <c r="AC19" s="520">
        <f>3.07+0.07+0.07+0.07+0.07+0.07+(0.07*28/90)+0.07+0.03</f>
        <v>3.5417777777777766</v>
      </c>
      <c r="AD19" s="519">
        <f>10+0.65+0.65+0.5+0.4+0.25</f>
        <v>12.450000000000001</v>
      </c>
      <c r="AE19" s="351">
        <v>962</v>
      </c>
      <c r="AF19" s="637">
        <f t="shared" si="11"/>
        <v>11.37305082829945</v>
      </c>
      <c r="AG19" s="637">
        <f t="shared" si="12"/>
        <v>12.284298894670245</v>
      </c>
      <c r="AH19" s="343">
        <f t="shared" si="13"/>
        <v>3.6408765259612221</v>
      </c>
      <c r="AI19" s="343">
        <f t="shared" si="14"/>
        <v>9.7224837831896327</v>
      </c>
      <c r="AJ19" s="343">
        <f t="shared" si="15"/>
        <v>11.303794341391464</v>
      </c>
      <c r="AK19" s="343">
        <f t="shared" si="16"/>
        <v>0.74514568935139747</v>
      </c>
      <c r="AL19" s="343">
        <f t="shared" si="17"/>
        <v>0.76899942262691712</v>
      </c>
      <c r="AM19" s="338">
        <f t="shared" si="18"/>
        <v>13.658389380147515</v>
      </c>
      <c r="AN19" s="338">
        <f t="shared" si="19"/>
        <v>14.752746655103952</v>
      </c>
      <c r="AO19" s="479">
        <v>1</v>
      </c>
      <c r="AP19" s="479">
        <v>2</v>
      </c>
      <c r="AQ19" s="624">
        <f t="shared" si="20"/>
        <v>4.9399999999999999E-2</v>
      </c>
      <c r="AR19" s="289">
        <v>32250</v>
      </c>
      <c r="AS19">
        <f t="shared" si="21"/>
        <v>32250</v>
      </c>
      <c r="AT19" s="422">
        <f t="shared" si="22"/>
        <v>-1920</v>
      </c>
    </row>
    <row r="20" spans="1:46" s="288" customFormat="1" x14ac:dyDescent="0.25">
      <c r="A20" s="331" t="s">
        <v>718</v>
      </c>
      <c r="B20" s="285" t="s">
        <v>65</v>
      </c>
      <c r="C20" s="417">
        <f t="shared" ca="1" si="4"/>
        <v>4.9464285714285712</v>
      </c>
      <c r="D20" s="692" t="s">
        <v>441</v>
      </c>
      <c r="E20" s="228">
        <v>29</v>
      </c>
      <c r="F20" s="229">
        <f ca="1">7-41471+$D$1-112-111-43-112-112-112-112-112-112-112-112-112-112-112-112</f>
        <v>6</v>
      </c>
      <c r="G20" s="287" t="s">
        <v>311</v>
      </c>
      <c r="H20" s="426">
        <v>4</v>
      </c>
      <c r="I20" s="232">
        <v>1.2</v>
      </c>
      <c r="J20" s="520">
        <f t="shared" si="5"/>
        <v>0.45656357442960838</v>
      </c>
      <c r="K20" s="330">
        <f t="shared" si="6"/>
        <v>19.2</v>
      </c>
      <c r="L20" s="330">
        <f t="shared" si="7"/>
        <v>30</v>
      </c>
      <c r="M20" s="323">
        <v>6.9</v>
      </c>
      <c r="N20" s="478">
        <f t="shared" si="8"/>
        <v>88</v>
      </c>
      <c r="O20" s="478" t="s">
        <v>676</v>
      </c>
      <c r="P20" s="712">
        <v>1.5</v>
      </c>
      <c r="Q20" s="479">
        <v>6</v>
      </c>
      <c r="R20" s="534">
        <f t="shared" si="9"/>
        <v>0.92582009977255142</v>
      </c>
      <c r="S20" s="534">
        <f t="shared" si="10"/>
        <v>0.99928545900129484</v>
      </c>
      <c r="T20" s="661">
        <v>5220</v>
      </c>
      <c r="U20" s="660">
        <f t="shared" si="2"/>
        <v>-630</v>
      </c>
      <c r="V20" s="661">
        <v>690</v>
      </c>
      <c r="W20" s="343">
        <f t="shared" si="3"/>
        <v>7.5652173913043477</v>
      </c>
      <c r="X20" s="519">
        <v>0</v>
      </c>
      <c r="Y20" s="520">
        <f>2+0.05+0.05+0.05+0.05+0.05+(0.25*31/90)+0.05+0.04+0.03+0.02</f>
        <v>2.47611111111111</v>
      </c>
      <c r="Z20" s="519">
        <f>7.1+0.01+0.02+0.04+0.04+0.04+0.02+0.02+0.02+0.01</f>
        <v>7.3199999999999976</v>
      </c>
      <c r="AA20" s="520">
        <f>4.16+0.01</f>
        <v>4.17</v>
      </c>
      <c r="AB20" s="519">
        <f>6+(0.35/3)+(0.35/3)+0.32+(0.3*60/90)+0.3*61/90+0.04+0.04+0.06+0.15*29/90+0.12</f>
        <v>7.2649999999999988</v>
      </c>
      <c r="AC20" s="520">
        <f>4+0.06+0.06+0.06+0.06+0.06+0.03</f>
        <v>4.3299999999999983</v>
      </c>
      <c r="AD20" s="519">
        <f>9+0.5</f>
        <v>9.5</v>
      </c>
      <c r="AE20" s="351">
        <v>634</v>
      </c>
      <c r="AF20" s="637">
        <f t="shared" si="11"/>
        <v>8.5884290140248343</v>
      </c>
      <c r="AG20" s="637">
        <f t="shared" si="12"/>
        <v>9.2765635744296056</v>
      </c>
      <c r="AH20" s="343">
        <f t="shared" si="13"/>
        <v>2.6473596420876575</v>
      </c>
      <c r="AI20" s="343">
        <f t="shared" si="14"/>
        <v>8.4590381791397018</v>
      </c>
      <c r="AJ20" s="343">
        <f t="shared" si="15"/>
        <v>9.170769856781769</v>
      </c>
      <c r="AK20" s="343">
        <f t="shared" si="16"/>
        <v>0.65802508595436859</v>
      </c>
      <c r="AL20" s="343">
        <f t="shared" si="17"/>
        <v>0.52100389465451702</v>
      </c>
      <c r="AM20" s="338">
        <f t="shared" si="18"/>
        <v>10.281764549652634</v>
      </c>
      <c r="AN20" s="338">
        <f t="shared" si="19"/>
        <v>11.105574994730166</v>
      </c>
      <c r="AO20" s="479">
        <v>0</v>
      </c>
      <c r="AP20" s="479">
        <v>2</v>
      </c>
      <c r="AQ20" s="624">
        <f t="shared" si="20"/>
        <v>2.63E-2</v>
      </c>
      <c r="AR20" s="288">
        <v>5850</v>
      </c>
      <c r="AS20">
        <f t="shared" si="21"/>
        <v>5850</v>
      </c>
      <c r="AT20" s="422">
        <f t="shared" si="22"/>
        <v>630</v>
      </c>
    </row>
    <row r="21" spans="1:46" s="288" customFormat="1" x14ac:dyDescent="0.25">
      <c r="A21" s="331" t="s">
        <v>762</v>
      </c>
      <c r="B21" s="416" t="s">
        <v>67</v>
      </c>
      <c r="C21" s="417">
        <f t="shared" ca="1" si="4"/>
        <v>5.3214285714285712</v>
      </c>
      <c r="D21" s="692" t="s">
        <v>1036</v>
      </c>
      <c r="E21" s="228">
        <v>28</v>
      </c>
      <c r="F21" s="229">
        <f ca="1">64-41471+$D$1-112-112-29-112-112-112-112-112-112-112-112-112-112-112-112</f>
        <v>76</v>
      </c>
      <c r="G21" s="287" t="s">
        <v>595</v>
      </c>
      <c r="H21" s="426">
        <v>1</v>
      </c>
      <c r="I21" s="232">
        <v>8.6</v>
      </c>
      <c r="J21" s="520">
        <f t="shared" si="5"/>
        <v>1.3096949773860913</v>
      </c>
      <c r="K21" s="330">
        <f t="shared" si="6"/>
        <v>8.6</v>
      </c>
      <c r="L21" s="330">
        <f t="shared" si="7"/>
        <v>34.4</v>
      </c>
      <c r="M21" s="323">
        <v>6.8</v>
      </c>
      <c r="N21" s="478">
        <f t="shared" si="8"/>
        <v>87</v>
      </c>
      <c r="O21" s="711">
        <v>43060</v>
      </c>
      <c r="P21" s="712">
        <f ca="1">IF((TODAY()-O21)&gt;335,1,((TODAY()-O21)^0.64)/(336^0.64))</f>
        <v>0.16436224314553138</v>
      </c>
      <c r="Q21" s="479">
        <v>2</v>
      </c>
      <c r="R21" s="534">
        <f t="shared" si="9"/>
        <v>0.53452248382484879</v>
      </c>
      <c r="S21" s="534">
        <f t="shared" si="10"/>
        <v>0.65356167049702141</v>
      </c>
      <c r="T21" s="661">
        <v>231480</v>
      </c>
      <c r="U21" s="660">
        <f t="shared" si="2"/>
        <v>-45330</v>
      </c>
      <c r="V21" s="661">
        <f>42600</f>
        <v>42600</v>
      </c>
      <c r="W21" s="343">
        <f t="shared" si="3"/>
        <v>5.4338028169014088</v>
      </c>
      <c r="X21" s="519">
        <v>0</v>
      </c>
      <c r="Y21" s="520">
        <v>2</v>
      </c>
      <c r="Z21" s="519">
        <f>14.5+1/20</f>
        <v>14.55</v>
      </c>
      <c r="AA21" s="520">
        <f>12+0.01</f>
        <v>12.01</v>
      </c>
      <c r="AB21" s="519">
        <v>12</v>
      </c>
      <c r="AC21" s="520">
        <v>8</v>
      </c>
      <c r="AD21" s="519">
        <v>2</v>
      </c>
      <c r="AE21" s="351">
        <v>1782</v>
      </c>
      <c r="AF21" s="637">
        <f t="shared" ca="1" si="11"/>
        <v>8.565218866470067</v>
      </c>
      <c r="AG21" s="637">
        <f t="shared" ca="1" si="12"/>
        <v>10.490207879055692</v>
      </c>
      <c r="AH21" s="343">
        <f t="shared" ca="1" si="13"/>
        <v>2.0326668449877019</v>
      </c>
      <c r="AI21" s="343">
        <f t="shared" ca="1" si="14"/>
        <v>5.365358406601394</v>
      </c>
      <c r="AJ21" s="343">
        <f t="shared" ca="1" si="15"/>
        <v>2.8191021653529411</v>
      </c>
      <c r="AK21" s="343">
        <f t="shared" ca="1" si="16"/>
        <v>0.5779245776425298</v>
      </c>
      <c r="AL21" s="343">
        <f t="shared" ca="1" si="17"/>
        <v>0.24318400543721358</v>
      </c>
      <c r="AM21" s="338">
        <f t="shared" ca="1" si="18"/>
        <v>1.8229141931551189</v>
      </c>
      <c r="AN21" s="338">
        <f t="shared" ca="1" si="19"/>
        <v>2.2326048090536679</v>
      </c>
      <c r="AO21" s="479">
        <v>3</v>
      </c>
      <c r="AP21" s="479">
        <v>3</v>
      </c>
      <c r="AQ21" s="624">
        <f t="shared" si="20"/>
        <v>0.1158</v>
      </c>
      <c r="AR21" s="288">
        <v>276810</v>
      </c>
      <c r="AS21">
        <f t="shared" si="21"/>
        <v>276810</v>
      </c>
      <c r="AT21" s="422">
        <f t="shared" si="22"/>
        <v>45330</v>
      </c>
    </row>
    <row r="22" spans="1:46" s="272" customFormat="1" x14ac:dyDescent="0.25">
      <c r="A22" s="416" t="s">
        <v>599</v>
      </c>
      <c r="B22" s="416" t="s">
        <v>67</v>
      </c>
      <c r="C22" s="417">
        <f t="shared" ca="1" si="4"/>
        <v>4.2321428571428568</v>
      </c>
      <c r="D22" s="691" t="s">
        <v>327</v>
      </c>
      <c r="E22" s="419">
        <v>29</v>
      </c>
      <c r="F22" s="427">
        <f ca="1">74-41471+$D$1-112-112-29-112-112-112-112-112-112-112-112-112-112-112-112</f>
        <v>86</v>
      </c>
      <c r="G22" s="420" t="s">
        <v>336</v>
      </c>
      <c r="H22" s="401">
        <v>3</v>
      </c>
      <c r="I22" s="335">
        <v>10</v>
      </c>
      <c r="J22" s="520">
        <f t="shared" si="5"/>
        <v>1.3885235802109668</v>
      </c>
      <c r="K22" s="330">
        <f t="shared" si="6"/>
        <v>90</v>
      </c>
      <c r="L22" s="330">
        <f t="shared" si="7"/>
        <v>160</v>
      </c>
      <c r="M22" s="421">
        <v>7.6</v>
      </c>
      <c r="N22" s="478">
        <f t="shared" si="8"/>
        <v>95</v>
      </c>
      <c r="O22" s="478" t="s">
        <v>676</v>
      </c>
      <c r="P22" s="712">
        <v>1.5</v>
      </c>
      <c r="Q22" s="478">
        <v>7</v>
      </c>
      <c r="R22" s="534">
        <f t="shared" si="9"/>
        <v>1</v>
      </c>
      <c r="S22" s="534">
        <f t="shared" si="10"/>
        <v>1</v>
      </c>
      <c r="T22" s="351">
        <v>52460</v>
      </c>
      <c r="U22" s="660">
        <f t="shared" si="2"/>
        <v>940</v>
      </c>
      <c r="V22" s="351">
        <v>2360</v>
      </c>
      <c r="W22" s="343">
        <f t="shared" si="3"/>
        <v>22.228813559322035</v>
      </c>
      <c r="X22" s="519">
        <v>0</v>
      </c>
      <c r="Y22" s="520">
        <f>5+(5/7)+0.07+0.21+0.07+0.07+0.07+0.07+0.07+0.07+0.06+0.03+0.03+0.03+0.03+0.03+0.2*33/90+0.03+0.03+0.02+0.02+0.01+0.01</f>
        <v>6.8176190476190497</v>
      </c>
      <c r="Z22" s="519">
        <f>8+1/8*0.5+1/8*0.5+1/8+1/8*0.5+1/8*0.5+1/8</f>
        <v>8.5</v>
      </c>
      <c r="AA22" s="520">
        <f>7.9+0.165+0.165+0.21+0.13+0.03+0.03+0.03+0.02+0.02+0.02+0.01</f>
        <v>8.7299999999999969</v>
      </c>
      <c r="AB22" s="519">
        <f>5.1+0.33+0.33+0.33+0.3+0.29+0.04+0.28+0.28+0.27+0.27+0.27+0.22+0.22+0.15+0.15+0.15+0.14+0.13+0.12+0.11+0.1+0.08+0.01+0.01+0.01</f>
        <v>9.6900000000000013</v>
      </c>
      <c r="AC22" s="520">
        <f>6.48+0.25+0.25+0.23+0.21+0.21+0.2+0.19+0.17+0.16+0.15+1/16</f>
        <v>8.5625000000000018</v>
      </c>
      <c r="AD22" s="519">
        <f>17.99+0.2+0.15+0.15+0.15</f>
        <v>18.639999999999993</v>
      </c>
      <c r="AE22" s="351">
        <v>1314</v>
      </c>
      <c r="AF22" s="637">
        <f t="shared" si="11"/>
        <v>11.388523580210967</v>
      </c>
      <c r="AG22" s="637">
        <f t="shared" si="12"/>
        <v>11.388523580210967</v>
      </c>
      <c r="AH22" s="343">
        <f t="shared" si="13"/>
        <v>4.3578987235314939</v>
      </c>
      <c r="AI22" s="343">
        <f t="shared" si="14"/>
        <v>23.249387112266234</v>
      </c>
      <c r="AJ22" s="343">
        <f t="shared" si="15"/>
        <v>18.505273580210961</v>
      </c>
      <c r="AK22" s="343">
        <f t="shared" si="16"/>
        <v>1.2184068864168771</v>
      </c>
      <c r="AL22" s="343">
        <f t="shared" si="17"/>
        <v>1.0341014125195296</v>
      </c>
      <c r="AM22" s="338">
        <f t="shared" si="18"/>
        <v>21.473333333333326</v>
      </c>
      <c r="AN22" s="338">
        <f t="shared" si="19"/>
        <v>21.473333333333326</v>
      </c>
      <c r="AO22" s="478">
        <v>4</v>
      </c>
      <c r="AP22" s="478">
        <v>2</v>
      </c>
      <c r="AQ22" s="624">
        <f t="shared" si="20"/>
        <v>0.157</v>
      </c>
      <c r="AR22" s="272">
        <v>51520</v>
      </c>
      <c r="AS22">
        <f t="shared" si="21"/>
        <v>51520</v>
      </c>
      <c r="AT22" s="422">
        <f t="shared" si="22"/>
        <v>-940</v>
      </c>
    </row>
    <row r="23" spans="1:46" s="284" customFormat="1" x14ac:dyDescent="0.25">
      <c r="A23" s="416" t="s">
        <v>702</v>
      </c>
      <c r="B23" s="416" t="s">
        <v>67</v>
      </c>
      <c r="C23" s="417">
        <f t="shared" ca="1" si="4"/>
        <v>3.6160714285714284</v>
      </c>
      <c r="D23" s="691" t="s">
        <v>1025</v>
      </c>
      <c r="E23" s="419">
        <v>30</v>
      </c>
      <c r="F23" s="229">
        <f ca="1">-41471+$D$1-748-112-112-12-112-112-112-22-112-112</f>
        <v>43</v>
      </c>
      <c r="G23" s="420" t="s">
        <v>308</v>
      </c>
      <c r="H23" s="401">
        <v>3</v>
      </c>
      <c r="I23" s="335">
        <v>10.199999999999999</v>
      </c>
      <c r="J23" s="520">
        <f t="shared" si="5"/>
        <v>1.3989573635602419</v>
      </c>
      <c r="K23" s="330">
        <f t="shared" si="6"/>
        <v>91.8</v>
      </c>
      <c r="L23" s="330">
        <f t="shared" si="7"/>
        <v>163.19999999999999</v>
      </c>
      <c r="M23" s="421">
        <v>7.5</v>
      </c>
      <c r="N23" s="478">
        <f t="shared" si="8"/>
        <v>94</v>
      </c>
      <c r="O23" s="711">
        <v>42869</v>
      </c>
      <c r="P23" s="712">
        <f ca="1">IF((TODAY()-O23)&gt;335,1,((TODAY()-O23)^0.64)/(336^0.64))</f>
        <v>0.74247807530368926</v>
      </c>
      <c r="Q23" s="478">
        <v>7</v>
      </c>
      <c r="R23" s="534">
        <f t="shared" si="9"/>
        <v>1</v>
      </c>
      <c r="S23" s="534">
        <f t="shared" si="10"/>
        <v>1</v>
      </c>
      <c r="T23" s="351">
        <v>285310</v>
      </c>
      <c r="U23" s="660">
        <f t="shared" si="2"/>
        <v>5570</v>
      </c>
      <c r="V23" s="351">
        <v>34128</v>
      </c>
      <c r="W23" s="343">
        <f t="shared" si="3"/>
        <v>8.3599976558837312</v>
      </c>
      <c r="X23" s="519">
        <v>0</v>
      </c>
      <c r="Y23" s="520">
        <v>2</v>
      </c>
      <c r="Z23" s="519">
        <f>14+0.09*0.16+0.09*0.5+0.09*0.16+0.01+0.01+0.01+1/21*0.5</f>
        <v>14.127609523809523</v>
      </c>
      <c r="AA23" s="520">
        <f>3+0.02</f>
        <v>3.02</v>
      </c>
      <c r="AB23" s="519">
        <f>15+0.01+0.01</f>
        <v>15.02</v>
      </c>
      <c r="AC23" s="520">
        <v>10</v>
      </c>
      <c r="AD23" s="519">
        <f>9+0.3</f>
        <v>9.3000000000000007</v>
      </c>
      <c r="AE23" s="351">
        <v>1915</v>
      </c>
      <c r="AF23" s="637">
        <f t="shared" ca="1" si="11"/>
        <v>16.269044962673455</v>
      </c>
      <c r="AG23" s="637">
        <f t="shared" ca="1" si="12"/>
        <v>16.269044962673455</v>
      </c>
      <c r="AH23" s="343">
        <f t="shared" ca="1" si="13"/>
        <v>4.8080382895739735</v>
      </c>
      <c r="AI23" s="343">
        <f t="shared" ca="1" si="14"/>
        <v>18.847572319889288</v>
      </c>
      <c r="AJ23" s="343">
        <f t="shared" ca="1" si="15"/>
        <v>11.651435438863931</v>
      </c>
      <c r="AK23" s="343">
        <f t="shared" ca="1" si="16"/>
        <v>0.95031483510911452</v>
      </c>
      <c r="AL23" s="343">
        <f t="shared" ca="1" si="17"/>
        <v>0.50890048072047522</v>
      </c>
      <c r="AM23" s="338">
        <f t="shared" ca="1" si="18"/>
        <v>11.38727830431958</v>
      </c>
      <c r="AN23" s="338">
        <f t="shared" ca="1" si="19"/>
        <v>11.38727830431958</v>
      </c>
      <c r="AO23" s="478">
        <v>1</v>
      </c>
      <c r="AP23" s="478">
        <v>3</v>
      </c>
      <c r="AQ23" s="624">
        <f t="shared" si="20"/>
        <v>4.9399999999999999E-2</v>
      </c>
      <c r="AR23" s="284">
        <v>279740</v>
      </c>
      <c r="AS23">
        <f t="shared" si="21"/>
        <v>279740</v>
      </c>
      <c r="AT23" s="422">
        <f t="shared" si="22"/>
        <v>-5570</v>
      </c>
    </row>
    <row r="24" spans="1:46" s="289" customFormat="1" x14ac:dyDescent="0.25">
      <c r="A24" s="416" t="s">
        <v>633</v>
      </c>
      <c r="B24" s="416" t="s">
        <v>67</v>
      </c>
      <c r="C24" s="417">
        <f t="shared" ca="1" si="4"/>
        <v>6.9553571428571432</v>
      </c>
      <c r="D24" s="692" t="s">
        <v>634</v>
      </c>
      <c r="E24" s="228">
        <v>27</v>
      </c>
      <c r="F24" s="229">
        <f ca="1">7-41471+$D$1-112-111-43-112-112-1-112-112-112-112-112-112-112-112-112-112</f>
        <v>5</v>
      </c>
      <c r="G24" s="287"/>
      <c r="H24" s="428">
        <v>5</v>
      </c>
      <c r="I24" s="232">
        <v>5.3</v>
      </c>
      <c r="J24" s="520">
        <f t="shared" si="5"/>
        <v>1.0657873992714422</v>
      </c>
      <c r="K24" s="330">
        <f t="shared" si="6"/>
        <v>132.5</v>
      </c>
      <c r="L24" s="330">
        <f t="shared" si="7"/>
        <v>190.79999999999998</v>
      </c>
      <c r="M24" s="323">
        <v>8</v>
      </c>
      <c r="N24" s="478">
        <f t="shared" si="8"/>
        <v>99</v>
      </c>
      <c r="O24" s="478" t="s">
        <v>676</v>
      </c>
      <c r="P24" s="712">
        <v>1.5</v>
      </c>
      <c r="Q24" s="479">
        <v>5</v>
      </c>
      <c r="R24" s="534">
        <f t="shared" si="9"/>
        <v>0.84515425472851657</v>
      </c>
      <c r="S24" s="534">
        <f t="shared" si="10"/>
        <v>0.92504826128926143</v>
      </c>
      <c r="T24" s="661">
        <v>35210</v>
      </c>
      <c r="U24" s="660">
        <f t="shared" si="2"/>
        <v>2580</v>
      </c>
      <c r="V24" s="661">
        <v>3090</v>
      </c>
      <c r="W24" s="343">
        <f t="shared" si="3"/>
        <v>11.394822006472491</v>
      </c>
      <c r="X24" s="519">
        <v>0</v>
      </c>
      <c r="Y24" s="520">
        <v>4</v>
      </c>
      <c r="Z24" s="519">
        <f>4.6+0.05+0.05+0.05+0.04+0.04+0.16+(0.16*30/90)+(0.16*60/90*0.16)+0.04+0.04+0.04+0.25/8+0.04+0.04+0.04+0.04+0.04+0.04+0.02+0.02*10/90+0.02+0.02+0.02+0.01</f>
        <v>5.5438722222222205</v>
      </c>
      <c r="AA24" s="520">
        <f>4.9+0.25+0.05+0.05+0.05+0.04+0.03+0.03+0.03+0.02+0.02+0.02</f>
        <v>5.4899999999999993</v>
      </c>
      <c r="AB24" s="519">
        <f>7.1+0.31+0.31+0.31+0.25+0.25+0.25+0.23+0.2+0.2+0.2+0.17+0.15+0.15+0.13+0.13+0.13+0.11+0.1+0.1+0.01+0.01</f>
        <v>10.799999999999999</v>
      </c>
      <c r="AC24" s="520">
        <f>6.5+0.25+0.25+0.25+0.24+0.24+0.22+0.21+0.18*1/90+0.16+1/16</f>
        <v>8.384500000000001</v>
      </c>
      <c r="AD24" s="519">
        <f>9+1*5/90+0.65+0.65*61/90+0.65*52/90+0.55+0.55*27/90+0.55+0.5+0.5+0.3+0.25*0.6+0.25+(0.2*36/90)</f>
        <v>13.566666666666668</v>
      </c>
      <c r="AE24" s="351">
        <v>962</v>
      </c>
      <c r="AF24" s="637">
        <f t="shared" si="11"/>
        <v>6.8539133335054201</v>
      </c>
      <c r="AG24" s="637">
        <f t="shared" si="12"/>
        <v>7.5080858798926942</v>
      </c>
      <c r="AH24" s="343">
        <f t="shared" si="13"/>
        <v>3.5176759165899054</v>
      </c>
      <c r="AI24" s="343">
        <f t="shared" si="14"/>
        <v>16.438526466985824</v>
      </c>
      <c r="AJ24" s="343">
        <f t="shared" si="15"/>
        <v>12.320493130926264</v>
      </c>
      <c r="AK24" s="343">
        <f t="shared" si="16"/>
        <v>1.0314879919417155</v>
      </c>
      <c r="AL24" s="343">
        <f t="shared" si="17"/>
        <v>0.74660511794900086</v>
      </c>
      <c r="AM24" s="338">
        <f t="shared" si="18"/>
        <v>13.549823881630054</v>
      </c>
      <c r="AN24" s="338">
        <f t="shared" si="19"/>
        <v>14.843088380381982</v>
      </c>
      <c r="AO24" s="479">
        <v>2</v>
      </c>
      <c r="AP24" s="479">
        <v>1</v>
      </c>
      <c r="AQ24" s="624">
        <f t="shared" si="20"/>
        <v>6.1499999999999999E-2</v>
      </c>
      <c r="AR24" s="289">
        <v>32630</v>
      </c>
      <c r="AS24">
        <f t="shared" si="21"/>
        <v>32630</v>
      </c>
      <c r="AT24" s="422">
        <f>AS24-T24</f>
        <v>-2580</v>
      </c>
    </row>
    <row r="25" spans="1:46" x14ac:dyDescent="0.25">
      <c r="G25" s="4"/>
      <c r="H25"/>
      <c r="I25" s="309"/>
      <c r="J25" s="521"/>
      <c r="K25"/>
      <c r="T25" s="262">
        <f>SUM(T5:T24)+T3</f>
        <v>2166970</v>
      </c>
      <c r="U25" s="262">
        <f>SUM(U5:U24)</f>
        <v>-38710</v>
      </c>
      <c r="V25" s="262">
        <f>SUM(V5:V24)+V3</f>
        <v>293298</v>
      </c>
      <c r="W25" s="342">
        <f t="shared" si="3"/>
        <v>7.3882876801069219</v>
      </c>
      <c r="X25"/>
      <c r="AD25" s="339"/>
      <c r="AE25" s="262">
        <f>AVERAGE(AE5:AE24)</f>
        <v>1465.75</v>
      </c>
      <c r="AH25" s="262"/>
      <c r="AI25" s="262"/>
      <c r="AJ25" s="262"/>
      <c r="AK25" s="262"/>
      <c r="AL25" s="262"/>
      <c r="AM25" s="262"/>
      <c r="AN25" s="262"/>
    </row>
    <row r="26" spans="1:46" x14ac:dyDescent="0.25">
      <c r="G26" s="489"/>
      <c r="K26" s="489"/>
      <c r="M26" s="489"/>
      <c r="N26" s="489"/>
      <c r="Q26" s="489"/>
      <c r="T26" s="340"/>
      <c r="U26" s="340"/>
      <c r="V26" s="340">
        <f>V25-V3</f>
        <v>292974</v>
      </c>
      <c r="W26" s="320"/>
      <c r="AE26" s="320"/>
      <c r="AH26" s="320"/>
      <c r="AI26" s="320"/>
      <c r="AJ26" s="320"/>
      <c r="AK26" s="320"/>
      <c r="AL26" s="320"/>
      <c r="AM26" s="320"/>
      <c r="AN26" s="320"/>
    </row>
    <row r="27" spans="1:46" x14ac:dyDescent="0.25">
      <c r="I27" s="290"/>
      <c r="Y27" s="159"/>
    </row>
    <row r="28" spans="1:46" x14ac:dyDescent="0.25">
      <c r="D28" s="639"/>
      <c r="I28" s="290"/>
      <c r="Y28" s="159"/>
      <c r="AE28" s="694"/>
    </row>
    <row r="29" spans="1:46" x14ac:dyDescent="0.25">
      <c r="D29" s="639"/>
      <c r="I29" s="290"/>
      <c r="V29" s="708"/>
      <c r="Y29" s="159"/>
    </row>
    <row r="30" spans="1:46" x14ac:dyDescent="0.25">
      <c r="D30" s="640"/>
      <c r="I30" s="290"/>
      <c r="V30" s="708"/>
      <c r="Y30" s="159"/>
    </row>
    <row r="31" spans="1:46" x14ac:dyDescent="0.25">
      <c r="I31" s="290"/>
      <c r="Y31" s="159"/>
    </row>
    <row r="32" spans="1:46" x14ac:dyDescent="0.25">
      <c r="I32" s="290"/>
      <c r="V32" s="708"/>
      <c r="Y32" s="159"/>
    </row>
    <row r="33" spans="3:40" x14ac:dyDescent="0.25">
      <c r="I33" s="290"/>
      <c r="Y33" s="159"/>
    </row>
    <row r="34" spans="3:40" x14ac:dyDescent="0.25">
      <c r="I34" s="290"/>
      <c r="Y34" s="159"/>
    </row>
    <row r="35" spans="3:40" x14ac:dyDescent="0.25">
      <c r="C35"/>
      <c r="D35"/>
      <c r="G35"/>
      <c r="H35"/>
      <c r="I35" s="290"/>
      <c r="K35"/>
      <c r="M35"/>
      <c r="N35"/>
      <c r="O35"/>
      <c r="P35"/>
      <c r="Q35"/>
      <c r="R35"/>
      <c r="S35"/>
      <c r="V35"/>
      <c r="W35"/>
      <c r="X35"/>
      <c r="AE35"/>
      <c r="AH35"/>
      <c r="AI35"/>
      <c r="AK35"/>
      <c r="AL35"/>
      <c r="AM35"/>
      <c r="AN35"/>
    </row>
    <row r="36" spans="3:40" x14ac:dyDescent="0.25">
      <c r="C36"/>
      <c r="D36"/>
      <c r="G36"/>
      <c r="H36"/>
      <c r="I36" s="290"/>
      <c r="K36"/>
      <c r="M36"/>
      <c r="N36"/>
      <c r="O36"/>
      <c r="P36"/>
      <c r="Q36"/>
      <c r="R36"/>
      <c r="S36"/>
      <c r="V36"/>
      <c r="W36"/>
      <c r="X36"/>
      <c r="AE36"/>
      <c r="AH36"/>
      <c r="AI36"/>
      <c r="AK36"/>
      <c r="AL36"/>
      <c r="AM36"/>
      <c r="AN36"/>
    </row>
    <row r="37" spans="3:40" x14ac:dyDescent="0.25">
      <c r="C37"/>
      <c r="D37"/>
      <c r="G37"/>
      <c r="H37"/>
      <c r="I37" s="290"/>
      <c r="K37"/>
      <c r="M37"/>
      <c r="N37"/>
      <c r="O37"/>
      <c r="P37"/>
      <c r="Q37"/>
      <c r="R37"/>
      <c r="S37"/>
      <c r="V37"/>
      <c r="W37"/>
      <c r="X37"/>
      <c r="AE37"/>
      <c r="AH37"/>
      <c r="AI37"/>
      <c r="AK37"/>
      <c r="AL37"/>
      <c r="AM37"/>
      <c r="AN37"/>
    </row>
    <row r="38" spans="3:40" x14ac:dyDescent="0.25">
      <c r="C38"/>
      <c r="D38"/>
      <c r="G38"/>
      <c r="H38"/>
      <c r="I38" s="290"/>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1"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1"/>
      <c r="X1" t="s">
        <v>822</v>
      </c>
      <c r="AA1" t="s">
        <v>823</v>
      </c>
      <c r="AE1" t="s">
        <v>824</v>
      </c>
      <c r="AI1" t="s">
        <v>825</v>
      </c>
      <c r="AM1" t="s">
        <v>826</v>
      </c>
      <c r="AQ1" t="s">
        <v>821</v>
      </c>
      <c r="AX1" t="s">
        <v>827</v>
      </c>
      <c r="BE1" t="s">
        <v>596</v>
      </c>
      <c r="BJ1" t="s">
        <v>828</v>
      </c>
      <c r="BO1" t="s">
        <v>770</v>
      </c>
      <c r="BT1" t="s">
        <v>970</v>
      </c>
      <c r="BY1" t="s">
        <v>764</v>
      </c>
      <c r="CD1" t="s">
        <v>736</v>
      </c>
      <c r="CH1" t="s">
        <v>67</v>
      </c>
    </row>
    <row r="2" spans="1:89" x14ac:dyDescent="0.25">
      <c r="A2" s="522" t="s">
        <v>182</v>
      </c>
      <c r="B2" s="522" t="s">
        <v>829</v>
      </c>
      <c r="C2" s="522" t="s">
        <v>63</v>
      </c>
      <c r="D2" s="523" t="s">
        <v>830</v>
      </c>
      <c r="E2" s="522" t="s">
        <v>831</v>
      </c>
      <c r="F2" s="524" t="s">
        <v>832</v>
      </c>
      <c r="G2" s="524" t="s">
        <v>833</v>
      </c>
      <c r="H2" s="524" t="s">
        <v>834</v>
      </c>
      <c r="I2" s="525" t="s">
        <v>835</v>
      </c>
      <c r="J2" s="526" t="s">
        <v>836</v>
      </c>
      <c r="K2" s="526" t="s">
        <v>1</v>
      </c>
      <c r="L2" s="526" t="s">
        <v>2</v>
      </c>
      <c r="M2" s="526" t="s">
        <v>837</v>
      </c>
      <c r="N2" s="526" t="s">
        <v>66</v>
      </c>
      <c r="O2" s="526" t="s">
        <v>712</v>
      </c>
      <c r="P2" s="526" t="s">
        <v>838</v>
      </c>
      <c r="Q2" s="526" t="s">
        <v>0</v>
      </c>
      <c r="R2" s="527" t="s">
        <v>699</v>
      </c>
      <c r="S2" s="527" t="s">
        <v>992</v>
      </c>
      <c r="T2" s="527" t="s">
        <v>839</v>
      </c>
      <c r="U2" s="527" t="s">
        <v>840</v>
      </c>
      <c r="V2" s="527" t="s">
        <v>722</v>
      </c>
      <c r="W2" s="527" t="s">
        <v>723</v>
      </c>
      <c r="X2" s="528" t="s">
        <v>841</v>
      </c>
      <c r="Y2" s="528" t="s">
        <v>842</v>
      </c>
      <c r="Z2" s="528" t="s">
        <v>841</v>
      </c>
      <c r="AA2" s="529" t="s">
        <v>841</v>
      </c>
      <c r="AB2" s="529" t="s">
        <v>842</v>
      </c>
      <c r="AC2" s="529" t="s">
        <v>841</v>
      </c>
      <c r="AD2" s="529" t="s">
        <v>65</v>
      </c>
      <c r="AE2" s="529" t="s">
        <v>841</v>
      </c>
      <c r="AF2" s="529" t="s">
        <v>842</v>
      </c>
      <c r="AG2" s="529" t="s">
        <v>841</v>
      </c>
      <c r="AH2" s="529" t="s">
        <v>65</v>
      </c>
      <c r="AI2" s="528" t="s">
        <v>841</v>
      </c>
      <c r="AJ2" s="528" t="s">
        <v>842</v>
      </c>
      <c r="AK2" s="528" t="s">
        <v>65</v>
      </c>
      <c r="AL2" s="528" t="s">
        <v>843</v>
      </c>
      <c r="AM2" s="528" t="s">
        <v>841</v>
      </c>
      <c r="AN2" s="528" t="s">
        <v>842</v>
      </c>
      <c r="AO2" s="528" t="s">
        <v>65</v>
      </c>
      <c r="AP2" s="528" t="s">
        <v>843</v>
      </c>
      <c r="AQ2" s="528" t="s">
        <v>841</v>
      </c>
      <c r="AR2" s="528" t="s">
        <v>842</v>
      </c>
      <c r="AS2" s="528" t="s">
        <v>841</v>
      </c>
      <c r="AT2" s="528" t="s">
        <v>65</v>
      </c>
      <c r="AU2" s="528" t="s">
        <v>843</v>
      </c>
      <c r="AV2" s="528" t="s">
        <v>844</v>
      </c>
      <c r="AW2" s="528" t="s">
        <v>843</v>
      </c>
      <c r="AX2" s="528" t="s">
        <v>841</v>
      </c>
      <c r="AY2" s="528" t="s">
        <v>842</v>
      </c>
      <c r="AZ2" s="528" t="s">
        <v>841</v>
      </c>
      <c r="BA2" s="528" t="s">
        <v>65</v>
      </c>
      <c r="BB2" s="528" t="s">
        <v>843</v>
      </c>
      <c r="BC2" s="528" t="s">
        <v>844</v>
      </c>
      <c r="BD2" s="528" t="s">
        <v>843</v>
      </c>
      <c r="BE2" s="529" t="s">
        <v>841</v>
      </c>
      <c r="BF2" s="529" t="s">
        <v>842</v>
      </c>
      <c r="BG2" s="529" t="s">
        <v>65</v>
      </c>
      <c r="BH2" s="529" t="s">
        <v>843</v>
      </c>
      <c r="BI2" s="529" t="s">
        <v>844</v>
      </c>
      <c r="BJ2" s="529" t="s">
        <v>841</v>
      </c>
      <c r="BK2" s="529" t="s">
        <v>842</v>
      </c>
      <c r="BL2" s="529" t="s">
        <v>65</v>
      </c>
      <c r="BM2" s="529" t="s">
        <v>843</v>
      </c>
      <c r="BN2" s="529" t="s">
        <v>844</v>
      </c>
      <c r="BO2" s="528" t="s">
        <v>841</v>
      </c>
      <c r="BP2" s="528" t="s">
        <v>842</v>
      </c>
      <c r="BQ2" s="528" t="s">
        <v>65</v>
      </c>
      <c r="BR2" s="528" t="s">
        <v>843</v>
      </c>
      <c r="BS2" s="528" t="s">
        <v>844</v>
      </c>
      <c r="BT2" s="528" t="s">
        <v>841</v>
      </c>
      <c r="BU2" s="528" t="s">
        <v>842</v>
      </c>
      <c r="BV2" s="528" t="s">
        <v>65</v>
      </c>
      <c r="BW2" s="528" t="s">
        <v>843</v>
      </c>
      <c r="BX2" s="528" t="s">
        <v>844</v>
      </c>
      <c r="BY2" s="528" t="s">
        <v>841</v>
      </c>
      <c r="BZ2" s="528" t="s">
        <v>842</v>
      </c>
      <c r="CA2" s="528" t="s">
        <v>65</v>
      </c>
      <c r="CB2" s="528" t="s">
        <v>843</v>
      </c>
      <c r="CC2" s="528" t="s">
        <v>844</v>
      </c>
      <c r="CD2" s="529" t="s">
        <v>65</v>
      </c>
      <c r="CE2" s="529" t="s">
        <v>843</v>
      </c>
      <c r="CF2" s="529" t="s">
        <v>844</v>
      </c>
      <c r="CG2" s="529" t="s">
        <v>843</v>
      </c>
      <c r="CH2" s="528" t="s">
        <v>843</v>
      </c>
      <c r="CI2" s="528" t="s">
        <v>844</v>
      </c>
      <c r="CJ2" s="528" t="s">
        <v>843</v>
      </c>
      <c r="CK2" s="528" t="s">
        <v>65</v>
      </c>
    </row>
    <row r="3" spans="1:89" x14ac:dyDescent="0.25">
      <c r="A3" t="str">
        <f>PLANTILLA!D5</f>
        <v>D. Gehmacher</v>
      </c>
      <c r="B3" s="521">
        <f>PLANTILLA!E5</f>
        <v>30</v>
      </c>
      <c r="C3" s="371">
        <f ca="1">PLANTILLA!F5</f>
        <v>2</v>
      </c>
      <c r="D3" s="521"/>
      <c r="E3" s="317">
        <v>42468</v>
      </c>
      <c r="F3" s="371">
        <f>PLANTILLA!Q5</f>
        <v>6</v>
      </c>
      <c r="G3" s="439">
        <f>(F3/7)^0.5</f>
        <v>0.92582009977255142</v>
      </c>
      <c r="H3" s="439">
        <f>IF(F3=7,1,((F3+0.99)/7)^0.5)</f>
        <v>0.99928545900129484</v>
      </c>
      <c r="I3" s="530">
        <v>1</v>
      </c>
      <c r="J3" s="531">
        <f>PLANTILLA!I5</f>
        <v>18.100000000000001</v>
      </c>
      <c r="K3" s="163">
        <f>PLANTILLA!X5</f>
        <v>16.666666666666668</v>
      </c>
      <c r="L3" s="163">
        <f>PLANTILLA!Y5</f>
        <v>11.832727272727276</v>
      </c>
      <c r="M3" s="163">
        <f>PLANTILLA!Z5</f>
        <v>2.0399999999999991</v>
      </c>
      <c r="N3" s="163">
        <f>PLANTILLA!AA5</f>
        <v>2.1399999999999992</v>
      </c>
      <c r="O3" s="163">
        <f>PLANTILLA!AB5</f>
        <v>1.0400000000000003</v>
      </c>
      <c r="P3" s="163">
        <f>PLANTILLA!AC5</f>
        <v>0.14055555555555557</v>
      </c>
      <c r="Q3" s="163">
        <f>PLANTILLA!AD5</f>
        <v>17.849999999999998</v>
      </c>
      <c r="R3" s="163">
        <f>((2*(O3+1))+(L3+1))/8</f>
        <v>2.1140909090909092</v>
      </c>
      <c r="S3" s="163">
        <f>1.66*(P3+(LOG(J3)*4/3)+I3)+0.55*(Q3+(LOG(J3)*4/3)+I3)-7.6</f>
        <v>8.3667817561700861</v>
      </c>
      <c r="T3" s="163">
        <f>(0.5*P3+ 0.3*Q3)/10</f>
        <v>0.54252777777777772</v>
      </c>
      <c r="U3" s="163">
        <f>(0.4*L3+0.3*Q3)/10</f>
        <v>1.008809090909091</v>
      </c>
      <c r="V3" s="163">
        <f ca="1">IF(TODAY()-E3&gt;335,(Q3+1+(LOG(J3)*4/3))*(F3/7)^0.5,(Q3+((TODAY()-E3)^0.5)/(336^0.5)+(LOG(J3)*4/3))*(F3/7)^0.5)</f>
        <v>19.00422101893551</v>
      </c>
      <c r="W3" s="163">
        <f ca="1">IF(F3=7,V3,IF(TODAY()-E3&gt;335,(Q3+1+(LOG(J3)*4/3))*((F3+0.99)/7)^0.5,(Q3+((TODAY()-E3)^0.5)/(336^0.5)+(LOG(J3)*4/3))*((F3+0.99)/7)^0.5))</f>
        <v>20.51223745146007</v>
      </c>
      <c r="X3" s="159">
        <f>((K3+I3+(LOG(J3)*4/3))*0.597)+((L3+I3+(LOG(J3)*4/3))*0.276)</f>
        <v>15.55277058842046</v>
      </c>
      <c r="Y3" s="159">
        <f>((K3+I3+(LOG(J3)*4/3))*0.866)+((L3+I3+(LOG(J3)*4/3))*0.425)</f>
        <v>22.918126477783918</v>
      </c>
      <c r="Z3" s="159">
        <f>X3</f>
        <v>15.55277058842046</v>
      </c>
      <c r="AA3" s="159">
        <f>((L3+I3+(LOG(J3)*4/3))*0.516)</f>
        <v>7.486970132237273</v>
      </c>
      <c r="AB3" s="159">
        <f>(L3+I3+(LOG(J3)*4/3))*1</f>
        <v>14.509632039219522</v>
      </c>
      <c r="AC3" s="159">
        <f>AA3/2</f>
        <v>3.7434850661186365</v>
      </c>
      <c r="AD3" s="159">
        <f>(M3+I3+(LOG(J3)*4/3))*0.238</f>
        <v>1.1226233344251544</v>
      </c>
      <c r="AE3" s="159">
        <f>((L3+I3+(LOG(J3)*4/3))*0.378)</f>
        <v>5.4846409108249796</v>
      </c>
      <c r="AF3" s="159">
        <f>(L3+I3+(LOG(J3)*4/3))*0.723</f>
        <v>10.490463964355714</v>
      </c>
      <c r="AG3" s="159">
        <f>AE3/2</f>
        <v>2.7423204554124898</v>
      </c>
      <c r="AH3" s="159">
        <f>(M3+I3+(LOG(J3)*4/3))*0.385</f>
        <v>1.8160083350995144</v>
      </c>
      <c r="AI3" s="159">
        <f>((L3+I3+(LOG(J3)*4/3))*0.92)</f>
        <v>13.348861476081961</v>
      </c>
      <c r="AJ3" s="159">
        <f>(L3+I3+(LOG(J3)*4/3))*0.414</f>
        <v>6.006987664236882</v>
      </c>
      <c r="AK3" s="159">
        <f>((M3+I3+(LOG(J3)*4/3))*0.167)</f>
        <v>0.78772309600420498</v>
      </c>
      <c r="AL3" s="159">
        <f>(N3+I3+(LOG(J3)*4/3))*0.588</f>
        <v>2.8323400026974399</v>
      </c>
      <c r="AM3" s="159">
        <f>((L3+I3+(LOG(J3)*4/3))*0.754)</f>
        <v>10.94026255757152</v>
      </c>
      <c r="AN3" s="159">
        <f>((L3+I3+(LOG(J3)*4/3))*0.708)</f>
        <v>10.272819483767421</v>
      </c>
      <c r="AO3" s="159">
        <f>((Q3+I3+(LOG(J3)*4/3))*0.167)</f>
        <v>3.4279930960042049</v>
      </c>
      <c r="AP3" s="159">
        <f>((R3+I3+(LOG(J3)*4/3))*0.288)</f>
        <v>1.3798067545679487</v>
      </c>
      <c r="AQ3" s="159">
        <f>((L3+I3+(LOG(J3)*4/3))*0.27)</f>
        <v>3.9176006505892711</v>
      </c>
      <c r="AR3" s="159">
        <f>((L3+I3+(LOG(J3)*4/3))*0.594)</f>
        <v>8.6187214312963949</v>
      </c>
      <c r="AS3" s="159">
        <f>AQ3/2</f>
        <v>1.9588003252946355</v>
      </c>
      <c r="AT3" s="159">
        <f>((M3+I3+(LOG(J3)*4/3))*0.944)</f>
        <v>4.4527580995686789</v>
      </c>
      <c r="AU3" s="159">
        <f>((O3+I3+(LOG(J3)*4/3))*0.13)</f>
        <v>0.48319761964399199</v>
      </c>
      <c r="AV3" s="159">
        <f>((P3+I3+(LOG(J3)*4/3))*0.173)+((O3+I3+(LOG(J3)*4/3))*0.12)</f>
        <v>0.93344920769333917</v>
      </c>
      <c r="AW3" s="159">
        <f>AU3/2</f>
        <v>0.241598809821996</v>
      </c>
      <c r="AX3" s="159">
        <f>((L3+I3+(LOG(J3)*4/3))*0.189)</f>
        <v>2.7423204554124898</v>
      </c>
      <c r="AY3" s="159">
        <f>((L3+I3+(LOG(J3)*4/3))*0.4)</f>
        <v>5.8038528156878089</v>
      </c>
      <c r="AZ3" s="159">
        <f>AX3/2</f>
        <v>1.3711602277062449</v>
      </c>
      <c r="BA3" s="159">
        <f>((M3+I3+(LOG(J3)*4/3))*1)</f>
        <v>4.7169047664922452</v>
      </c>
      <c r="BB3" s="159">
        <f>((O3+I3+(LOG(J3)*4/3))*0.253)</f>
        <v>0.94037690592253831</v>
      </c>
      <c r="BC3" s="159">
        <f>((P3+I3+(LOG(J3)*4/3))*0.21)+((O3+I3+(LOG(J3)*4/3))*0.341)</f>
        <v>1.8591311930038943</v>
      </c>
      <c r="BD3" s="159">
        <f>BB3/2</f>
        <v>0.47018845296126915</v>
      </c>
      <c r="BE3" s="159">
        <f>((L3+I3+(LOG(J3)*4/3))*0.291)</f>
        <v>4.2223029234128804</v>
      </c>
      <c r="BF3" s="159">
        <f>((L3+I3+(LOG(J3)*4/3))*0.348)</f>
        <v>5.0493519496483934</v>
      </c>
      <c r="BG3" s="159">
        <f>((M3+I3+(LOG(J3)*4/3))*0.881)</f>
        <v>4.1555930992796677</v>
      </c>
      <c r="BH3" s="159">
        <f>((N3+I3+(LOG(J3)*4/3))*0.574)+((O3+I3+(LOG(J3)*4/3))*0.315)</f>
        <v>3.9357283374116059</v>
      </c>
      <c r="BI3" s="159">
        <f>((O3+I3+(LOG(J3)*4/3))*0.241)</f>
        <v>0.89577404872463129</v>
      </c>
      <c r="BJ3" s="159">
        <f>((L3+I3+(LOG(J3)*4/3))*0.485)</f>
        <v>7.0371715390214682</v>
      </c>
      <c r="BK3" s="159">
        <f>((L3+I3+(LOG(J3)*4/3))*0.264)</f>
        <v>3.830542858353954</v>
      </c>
      <c r="BL3" s="159">
        <f>((M3+I3+(LOG(J3)*4/3))*0.381)</f>
        <v>1.7971407160335455</v>
      </c>
      <c r="BM3" s="159">
        <f>((N3+I3+(LOG(J3)*4/3))*0.673)+((O3+I3+(LOG(J3)*4/3))*0.201)</f>
        <v>3.9888747659142223</v>
      </c>
      <c r="BN3" s="159">
        <f>((O3+I3+(LOG(J3)*4/3))*0.052)</f>
        <v>0.19327904785759678</v>
      </c>
      <c r="BO3" s="159">
        <f>((L3+I3+(LOG(J3)*4/3))*0.18)</f>
        <v>2.6117337670595138</v>
      </c>
      <c r="BP3" s="159">
        <f>(L3+I3+(LOG(J3)*4/3))*0.068</f>
        <v>0.98665497866692753</v>
      </c>
      <c r="BQ3" s="159">
        <f>((M3+I3+(LOG(J3)*4/3))*0.305)</f>
        <v>1.4386559537801347</v>
      </c>
      <c r="BR3" s="159">
        <f>((N3+I3+(LOG(J3)*4/3))*1)+((O3+I3+(LOG(J3)*4/3))*0.286)</f>
        <v>5.8799395297090271</v>
      </c>
      <c r="BS3" s="159">
        <f>((O3+I3+(LOG(J3)*4/3))*0.135)</f>
        <v>0.50178214347645322</v>
      </c>
      <c r="BT3" s="159">
        <f>((L3+I3+(LOG(J3)*4/3))*0.284)</f>
        <v>4.1207354991383438</v>
      </c>
      <c r="BU3" s="159">
        <f>(L3+I3+(LOG(J3)*4/3))*0.244</f>
        <v>3.5403502175695634</v>
      </c>
      <c r="BV3" s="159">
        <f>((M3+I3+(LOG(J3)*4/3))*0.455)</f>
        <v>2.1461916687539717</v>
      </c>
      <c r="BW3" s="159">
        <f>((N3+I3+(LOG(J3)*4/3))*0.864)+((O3+I3+(LOG(J3)*4/3))*0.244)</f>
        <v>5.0687304812734073</v>
      </c>
      <c r="BX3" s="159">
        <f>((O3+I3+(LOG(J3)*4/3))*0.121)</f>
        <v>0.44974547674556176</v>
      </c>
      <c r="BY3" s="159">
        <f>((L3+I3+(LOG(J3)*4/3))*0.284)</f>
        <v>4.1207354991383438</v>
      </c>
      <c r="BZ3" s="159">
        <f>((L3+I3+(LOG(J3)*4/3))*0.244)</f>
        <v>3.5403502175695634</v>
      </c>
      <c r="CA3" s="159">
        <f>((M3+I3+(LOG(J3)*4/3))*0.631)</f>
        <v>2.9763669076566068</v>
      </c>
      <c r="CB3" s="159">
        <f>((N3+I3+(LOG(J3)*4/3))*0.702)+((O3+I3+(LOG(J3)*4/3))*0.193)</f>
        <v>4.0988297660105593</v>
      </c>
      <c r="CC3" s="159">
        <f>((O3+I3+(LOG(J3)*4/3))*0.148)</f>
        <v>0.55010190544085236</v>
      </c>
      <c r="CD3" s="159">
        <f>((M3+I3+(LOG(J3)*4/3))*0.406)</f>
        <v>1.9150633351958517</v>
      </c>
      <c r="CE3" s="159">
        <f>IF(D3="TEC",((N3+I3+(LOG(J3)*4/3))*0.15)+((O3+I3+(LOG(J3)*4/3))*0.324)+((P3+I3+(LOG(J3)*4/3))*0.127),(((N3+I3+(LOG(J3)*4/3))*0.144)+((O3+I3+(LOG(J3)*4/3))*0.25)+((P3+I3+(LOG(J3)*4/3))*0.127)))</f>
        <v>1.9806779388980156</v>
      </c>
      <c r="CF3" s="159">
        <f>((O3+I3+(LOG(J3)*4/3))*0.543)+((P3+I3+(LOG(J3)*4/3))*0.583)</f>
        <v>3.6608586559591574</v>
      </c>
      <c r="CG3" s="159">
        <f>CE3</f>
        <v>1.9806779388980156</v>
      </c>
      <c r="CH3" s="159">
        <f>((P3+1+(LOG(J3)*4/3))*0.26)+((N3+I3+(LOG(J3)*4/3))*0.221)+((O3+I3+(LOG(J3)*4/3))*0.142)</f>
        <v>2.3248761139691134</v>
      </c>
      <c r="CI3" s="159">
        <f>((P3+I3+(LOG(J3)*4/3))*1)+((O3+I3+(LOG(J3)*4/3))*0.369)</f>
        <v>4.1889981808834404</v>
      </c>
      <c r="CJ3" s="159">
        <f>CH3</f>
        <v>2.3248761139691134</v>
      </c>
      <c r="CK3" s="159">
        <f>((M3+I3+(LOG(J3)*4/3))*0.25)</f>
        <v>1.1792261916230613</v>
      </c>
    </row>
    <row r="4" spans="1:89" x14ac:dyDescent="0.25">
      <c r="A4" t="str">
        <f>PLANTILLA!D6</f>
        <v>T. Hammond</v>
      </c>
      <c r="B4" s="521">
        <f>PLANTILLA!E6</f>
        <v>34</v>
      </c>
      <c r="C4" s="521">
        <f ca="1">PLANTILLA!F6</f>
        <v>11</v>
      </c>
      <c r="D4" s="521" t="str">
        <f>PLANTILLA!G6</f>
        <v>CAB</v>
      </c>
      <c r="E4" s="317">
        <v>41400</v>
      </c>
      <c r="F4" s="371">
        <f>PLANTILLA!Q6</f>
        <v>5</v>
      </c>
      <c r="G4" s="439">
        <f t="shared" ref="G4:G5" si="0">(F4/7)^0.5</f>
        <v>0.84515425472851657</v>
      </c>
      <c r="H4" s="439">
        <f t="shared" ref="H4:H5" si="1">IF(F4=7,1,((F4+0.99)/7)^0.5)</f>
        <v>0.92504826128926143</v>
      </c>
      <c r="I4" s="530">
        <v>1.5</v>
      </c>
      <c r="J4" s="531">
        <f>PLANTILLA!I6</f>
        <v>7.8</v>
      </c>
      <c r="K4" s="163">
        <f>PLANTILLA!X6</f>
        <v>10.3</v>
      </c>
      <c r="L4" s="163">
        <f>PLANTILLA!Y6</f>
        <v>10.794999999999998</v>
      </c>
      <c r="M4" s="163">
        <f>PLANTILLA!Z6</f>
        <v>4.6300000000000008</v>
      </c>
      <c r="N4" s="163">
        <f>PLANTILLA!AA6</f>
        <v>4.95</v>
      </c>
      <c r="O4" s="163">
        <f>PLANTILLA!AB6</f>
        <v>6.5444444444444434</v>
      </c>
      <c r="P4" s="163">
        <f>PLANTILLA!AC6</f>
        <v>3.99</v>
      </c>
      <c r="Q4" s="163">
        <f>PLANTILLA!AD6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1.7420313539204459</v>
      </c>
      <c r="AE4" s="159">
        <f t="shared" ref="AE4:AE21" si="15">((L4+I4+(LOG(J4)*4/3))*0.378)</f>
        <v>5.0971256797560018</v>
      </c>
      <c r="AF4" s="159">
        <f t="shared" ref="AF4:AF21" si="16">(L4+I4+(LOG(J4)*4/3))*0.723</f>
        <v>9.7492641969936216</v>
      </c>
      <c r="AG4" s="159">
        <f t="shared" ref="AG4:AG21" si="17">AE4/2</f>
        <v>2.5485628398780009</v>
      </c>
      <c r="AH4" s="159">
        <f t="shared" ref="AH4:AH21" si="18">(M4+I4+(LOG(J4)*4/3))*0.385</f>
        <v>2.8179918960477801</v>
      </c>
      <c r="AI4" s="159">
        <f t="shared" ref="AI4:AI21" si="19">((L4+I4+(LOG(J4)*4/3))*0.92)</f>
        <v>12.405702712633655</v>
      </c>
      <c r="AJ4" s="159">
        <f t="shared" ref="AJ4:AJ21" si="20">(L4+I4+(LOG(J4)*4/3))*0.414</f>
        <v>5.5825662206851439</v>
      </c>
      <c r="AK4" s="159">
        <f t="shared" ref="AK4:AK21" si="21">((M4+I4+(LOG(J4)*4/3))*0.167)</f>
        <v>1.2223497315324139</v>
      </c>
      <c r="AL4" s="159">
        <f t="shared" ref="AL4:AL21" si="22">(N4+I4+(LOG(J4)*4/3))*0.588</f>
        <v>4.4920021685093365</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6.9095697399197515</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7.3194594702539746</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6.4484437932937517</v>
      </c>
      <c r="BH4" s="159">
        <f t="shared" ref="BH4:BH21" si="44">((N4+I4+(LOG(J4)*4/3))*0.574)+((O4+I4+(LOG(J4)*4/3))*0.315)</f>
        <v>7.2937294690557817</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2.7887140581667644</v>
      </c>
      <c r="BM4" s="159">
        <f t="shared" ref="BM4:BM21" si="49">((N4+I4+(LOG(J4)*4/3))*0.673)+((O4+I4+(LOG(J4)*4/3))*0.201)</f>
        <v>6.9973709103353068</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2.2324351384274621</v>
      </c>
      <c r="BR4" s="159">
        <f t="shared" ref="BR4:BR21" si="54">((N4+I4+(LOG(J4)*4/3))*1)+((O4+I4+(LOG(J4)*4/3))*0.286)</f>
        <v>10.280355989857721</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3.3303540589655585</v>
      </c>
      <c r="BW4" s="159">
        <f t="shared" ref="BW4:BW21" si="59">((N4+I4+(LOG(J4)*4/3))*0.864)+((O4+I4+(LOG(J4)*4/3))*0.244)</f>
        <v>8.8535655374858475</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4.6185789257302581</v>
      </c>
      <c r="CB4" s="159">
        <f t="shared" ref="CB4:CB21" si="64">((N4+I4+(LOG(J4)*4/3))*0.702)+((O4+I4+(LOG(J4)*4/3))*0.193)</f>
        <v>7.1450440036550837</v>
      </c>
      <c r="CC4" s="159">
        <f t="shared" ref="CC4:CC21" si="65">((O4+I4+(LOG(J4)*4/3))*0.148)</f>
        <v>1.3666177793753658</v>
      </c>
      <c r="CD4" s="159">
        <f t="shared" ref="CD4:CD21" si="66">((M4+I4+(LOG(J4)*4/3))*0.406)</f>
        <v>2.971700544923114</v>
      </c>
      <c r="CE4" s="159">
        <f t="shared" ref="CE4:CE21" si="67">IF(D4="TEC",((N4+I4+(LOG(J4)*4/3))*0.15)+((O4+I4+(LOG(J4)*4/3))*0.324)+((P4+I4+(LOG(J4)*4/3))*0.127),(((N4+I4+(LOG(J4)*4/3))*0.144)+((O4+I4+(LOG(J4)*4/3))*0.25)+((P4+I4+(LOG(J4)*4/3))*0.127)))</f>
        <v>4.256849495113431</v>
      </c>
      <c r="CF4" s="159">
        <f t="shared" ref="CF4:CF21" si="68">((O4+I4+(LOG(J4)*4/3))*0.543)+((P4+I4+(LOG(J4)*4/3))*0.583)</f>
        <v>8.9081346968393085</v>
      </c>
      <c r="CG4" s="159">
        <f t="shared" ref="CG4:CG21" si="69">CE4</f>
        <v>4.256849495113431</v>
      </c>
      <c r="CH4" s="159">
        <f t="shared" ref="CH4:CH21" si="70">((P4+1+(LOG(J4)*4/3))*0.26)+((N4+I4+(LOG(J4)*4/3))*0.221)+((O4+I4+(LOG(J4)*4/3))*0.142)</f>
        <v>4.6061943610793366</v>
      </c>
      <c r="CI4" s="159">
        <f t="shared" ref="CI4:CI21" si="71">((P4+I4+(LOG(J4)*4/3))*1)+((O4+I4+(LOG(J4)*4/3))*0.369)</f>
        <v>10.08677001477769</v>
      </c>
      <c r="CJ4" s="159">
        <f t="shared" ref="CJ4:CJ21" si="72">CH4</f>
        <v>4.6061943610793366</v>
      </c>
      <c r="CK4" s="159">
        <f t="shared" ref="CK4:CK21" si="73">((M4+I4+(LOG(J4)*4/3))*0.25)</f>
        <v>1.8298648675634936</v>
      </c>
    </row>
    <row r="5" spans="1:89" x14ac:dyDescent="0.25">
      <c r="A5" t="str">
        <f>PLANTILLA!D8</f>
        <v>D. Toh</v>
      </c>
      <c r="B5" s="521">
        <f>PLANTILLA!E8</f>
        <v>31</v>
      </c>
      <c r="C5" s="521">
        <f ca="1">PLANTILLA!F8</f>
        <v>59</v>
      </c>
      <c r="D5" s="521" t="str">
        <f>PLANTILLA!G8</f>
        <v>CAB</v>
      </c>
      <c r="E5" s="317">
        <v>41519</v>
      </c>
      <c r="F5" s="371">
        <f>PLANTILLA!Q8</f>
        <v>4</v>
      </c>
      <c r="G5" s="439">
        <f t="shared" si="0"/>
        <v>0.7559289460184544</v>
      </c>
      <c r="H5" s="439">
        <f t="shared" si="1"/>
        <v>0.84430867747355465</v>
      </c>
      <c r="I5" s="530">
        <v>1.5</v>
      </c>
      <c r="J5" s="531">
        <f>PLANTILLA!I8</f>
        <v>7.5</v>
      </c>
      <c r="K5" s="163">
        <f>PLANTILLA!X8</f>
        <v>0</v>
      </c>
      <c r="L5" s="163">
        <f>PLANTILLA!Y8</f>
        <v>11</v>
      </c>
      <c r="M5" s="163">
        <f>PLANTILLA!Z8</f>
        <v>6.1894444444444412</v>
      </c>
      <c r="N5" s="163">
        <f>PLANTILLA!AA8</f>
        <v>6.04</v>
      </c>
      <c r="O5" s="163">
        <f>PLANTILLA!AB8</f>
        <v>7.7227777777777789</v>
      </c>
      <c r="P5" s="163">
        <f>PLANTILLA!AC8</f>
        <v>4.383333333333332</v>
      </c>
      <c r="Q5" s="163">
        <f>PLANTILLA!AD8</f>
        <v>15.349999999999998</v>
      </c>
      <c r="R5" s="163">
        <f t="shared" si="2"/>
        <v>3.6806944444444447</v>
      </c>
      <c r="S5" s="163">
        <f t="shared" si="3"/>
        <v>14.01234718946087</v>
      </c>
      <c r="T5" s="163">
        <f t="shared" si="4"/>
        <v>0.67966666666666653</v>
      </c>
      <c r="U5" s="163">
        <f t="shared" si="5"/>
        <v>0.90049999999999986</v>
      </c>
      <c r="V5" s="163">
        <f t="shared" ca="1" si="6"/>
        <v>13.241417118784748</v>
      </c>
      <c r="W5" s="163">
        <f t="shared" ca="1" si="7"/>
        <v>14.789542634029395</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2.1077738853607428</v>
      </c>
      <c r="AE5" s="159">
        <f t="shared" si="15"/>
        <v>5.1660308767494172</v>
      </c>
      <c r="AF5" s="159">
        <f t="shared" si="16"/>
        <v>9.8810590579095994</v>
      </c>
      <c r="AG5" s="159">
        <f t="shared" si="17"/>
        <v>2.5830154383747086</v>
      </c>
      <c r="AH5" s="159">
        <f t="shared" si="18"/>
        <v>3.409634226318849</v>
      </c>
      <c r="AI5" s="159">
        <f t="shared" si="19"/>
        <v>12.57340848309382</v>
      </c>
      <c r="AJ5" s="159">
        <f t="shared" si="20"/>
        <v>5.6580338173922184</v>
      </c>
      <c r="AK5" s="159">
        <f t="shared" si="21"/>
        <v>1.4789841968707735</v>
      </c>
      <c r="AL5" s="159">
        <f t="shared" si="22"/>
        <v>5.1195680304990923</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8.3602459990779057</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8.8561927956333744</v>
      </c>
      <c r="BB5" s="159">
        <f t="shared" si="38"/>
        <v>2.6285501106285785</v>
      </c>
      <c r="BC5" s="159">
        <f t="shared" si="39"/>
        <v>5.0233455637273252</v>
      </c>
      <c r="BD5" s="159">
        <f t="shared" si="40"/>
        <v>1.3142750553142892</v>
      </c>
      <c r="BE5" s="159">
        <f t="shared" si="41"/>
        <v>3.9770237701959794</v>
      </c>
      <c r="BF5" s="159">
        <f t="shared" si="42"/>
        <v>4.7560284262137484</v>
      </c>
      <c r="BG5" s="159">
        <f t="shared" si="43"/>
        <v>7.8023058529530029</v>
      </c>
      <c r="BH5" s="159">
        <f t="shared" si="44"/>
        <v>8.2703742842069623</v>
      </c>
      <c r="BI5" s="159">
        <f t="shared" si="45"/>
        <v>2.5038757970809775</v>
      </c>
      <c r="BJ5" s="159">
        <f t="shared" si="46"/>
        <v>6.6283729503266331</v>
      </c>
      <c r="BK5" s="159">
        <f t="shared" si="47"/>
        <v>3.6080215647138787</v>
      </c>
      <c r="BL5" s="159">
        <f t="shared" si="48"/>
        <v>3.3742094551363158</v>
      </c>
      <c r="BM5" s="159">
        <f t="shared" si="49"/>
        <v>7.947936392272462</v>
      </c>
      <c r="BN5" s="159">
        <f t="shared" si="50"/>
        <v>0.54025535870626906</v>
      </c>
      <c r="BO5" s="159">
        <f t="shared" si="51"/>
        <v>2.4600147032140081</v>
      </c>
      <c r="BP5" s="159">
        <f t="shared" si="52"/>
        <v>0.92933888788084762</v>
      </c>
      <c r="BQ5" s="159">
        <f t="shared" si="53"/>
        <v>2.7011388026681793</v>
      </c>
      <c r="BR5" s="159">
        <f t="shared" si="54"/>
        <v>11.678152824073413</v>
      </c>
      <c r="BS5" s="159">
        <f t="shared" si="55"/>
        <v>1.4025860274105064</v>
      </c>
      <c r="BT5" s="159">
        <f t="shared" si="56"/>
        <v>3.8813565317376568</v>
      </c>
      <c r="BU5" s="159">
        <f t="shared" si="57"/>
        <v>3.3346865976900997</v>
      </c>
      <c r="BV5" s="159">
        <f t="shared" si="58"/>
        <v>4.0295677220131854</v>
      </c>
      <c r="BW5" s="159">
        <f t="shared" si="59"/>
        <v>10.057674950895116</v>
      </c>
      <c r="BX5" s="159">
        <f t="shared" si="60"/>
        <v>1.2571326616049723</v>
      </c>
      <c r="BY5" s="159">
        <f t="shared" si="61"/>
        <v>3.8813565317376568</v>
      </c>
      <c r="BZ5" s="159">
        <f t="shared" si="62"/>
        <v>3.3346865976900997</v>
      </c>
      <c r="CA5" s="159">
        <f t="shared" si="63"/>
        <v>5.5882576540446589</v>
      </c>
      <c r="CB5" s="159">
        <f t="shared" si="64"/>
        <v>8.1173158854252065</v>
      </c>
      <c r="CC5" s="159">
        <f t="shared" si="65"/>
        <v>1.5376498670870735</v>
      </c>
      <c r="CD5" s="159">
        <f t="shared" si="66"/>
        <v>3.5956142750271503</v>
      </c>
      <c r="CE5" s="159">
        <f t="shared" si="67"/>
        <v>4.7465136687472125</v>
      </c>
      <c r="CF5" s="159">
        <f t="shared" si="68"/>
        <v>9.7517103101054055</v>
      </c>
      <c r="CG5" s="159">
        <f t="shared" si="69"/>
        <v>4.7465136687472125</v>
      </c>
      <c r="CH5" s="159">
        <f t="shared" si="70"/>
        <v>5.1025253339018164</v>
      </c>
      <c r="CI5" s="159">
        <f t="shared" si="71"/>
        <v>10.883816826110982</v>
      </c>
      <c r="CJ5" s="159">
        <f t="shared" si="72"/>
        <v>5.1025253339018164</v>
      </c>
      <c r="CK5" s="159">
        <f t="shared" si="73"/>
        <v>2.2140481989083436</v>
      </c>
    </row>
    <row r="6" spans="1:89" x14ac:dyDescent="0.25">
      <c r="A6" t="str">
        <f>PLANTILLA!D9</f>
        <v>E. Toney</v>
      </c>
      <c r="B6" s="521">
        <f>PLANTILLA!E9</f>
        <v>31</v>
      </c>
      <c r="C6" s="521">
        <f ca="1">PLANTILLA!F9</f>
        <v>13</v>
      </c>
      <c r="D6" s="521"/>
      <c r="E6" s="317">
        <v>41539</v>
      </c>
      <c r="F6" s="371">
        <f>PLANTILLA!Q9</f>
        <v>5</v>
      </c>
      <c r="G6" s="439">
        <f t="shared" ref="G6:G10" si="74">(F6/7)^0.5</f>
        <v>0.84515425472851657</v>
      </c>
      <c r="H6" s="439">
        <f>IF(F6=7,1,((F6+0.99)/7)^0.5)</f>
        <v>0.92504826128926143</v>
      </c>
      <c r="I6" s="530">
        <v>1.5</v>
      </c>
      <c r="J6" s="531">
        <f>PLANTILLA!I9</f>
        <v>12.2</v>
      </c>
      <c r="K6" s="163">
        <f>PLANTILLA!X9</f>
        <v>0</v>
      </c>
      <c r="L6" s="163">
        <f>PLANTILLA!Y9</f>
        <v>12.060000000000004</v>
      </c>
      <c r="M6" s="163">
        <f>PLANTILLA!Z9</f>
        <v>13.116555555555554</v>
      </c>
      <c r="N6" s="163">
        <f>PLANTILLA!AA9</f>
        <v>9.8200000000000056</v>
      </c>
      <c r="O6" s="163">
        <f>PLANTILLA!AB9</f>
        <v>9.6</v>
      </c>
      <c r="P6" s="163">
        <f>PLANTILLA!AC9</f>
        <v>3.6816666666666658</v>
      </c>
      <c r="Q6" s="163">
        <f>PLANTILLA!AD9</f>
        <v>16.627777777777773</v>
      </c>
      <c r="R6" s="163">
        <f t="shared" si="2"/>
        <v>4.2825000000000006</v>
      </c>
      <c r="S6" s="163">
        <f t="shared" si="3"/>
        <v>14.172984745499365</v>
      </c>
      <c r="T6" s="163">
        <f t="shared" si="4"/>
        <v>0.68291666666666639</v>
      </c>
      <c r="U6" s="163">
        <f t="shared" si="5"/>
        <v>0.98123333333333329</v>
      </c>
      <c r="V6" s="163">
        <f t="shared" ca="1" si="6"/>
        <v>16.122380234378898</v>
      </c>
      <c r="W6" s="163">
        <f t="shared" ca="1" si="7"/>
        <v>17.646458880393705</v>
      </c>
      <c r="X6" s="159">
        <f t="shared" si="8"/>
        <v>5.9025828429054084</v>
      </c>
      <c r="Y6" s="159">
        <f t="shared" si="9"/>
        <v>8.931987388534802</v>
      </c>
      <c r="Z6" s="159">
        <f t="shared" si="10"/>
        <v>5.9025828429054084</v>
      </c>
      <c r="AA6" s="159">
        <f t="shared" si="11"/>
        <v>7.7443755635042297</v>
      </c>
      <c r="AB6" s="159">
        <f t="shared" si="12"/>
        <v>15.008479774233003</v>
      </c>
      <c r="AC6" s="159">
        <f t="shared" si="13"/>
        <v>3.8721877817521149</v>
      </c>
      <c r="AD6" s="159">
        <f t="shared" si="14"/>
        <v>3.8234784084896747</v>
      </c>
      <c r="AE6" s="159">
        <f t="shared" si="15"/>
        <v>5.6732053546600749</v>
      </c>
      <c r="AF6" s="159">
        <f t="shared" si="16"/>
        <v>10.85113087677046</v>
      </c>
      <c r="AG6" s="159">
        <f t="shared" si="17"/>
        <v>2.8366026773300375</v>
      </c>
      <c r="AH6" s="159">
        <f t="shared" si="18"/>
        <v>6.1850386019685919</v>
      </c>
      <c r="AI6" s="159">
        <f t="shared" si="19"/>
        <v>13.807801392294364</v>
      </c>
      <c r="AJ6" s="159">
        <f t="shared" si="20"/>
        <v>6.2135106265324627</v>
      </c>
      <c r="AK6" s="159">
        <f t="shared" si="21"/>
        <v>2.6828609000746879</v>
      </c>
      <c r="AL6" s="159">
        <f t="shared" si="22"/>
        <v>7.507866107249006</v>
      </c>
      <c r="AM6" s="159">
        <f t="shared" si="23"/>
        <v>11.316393749771684</v>
      </c>
      <c r="AN6" s="159">
        <f t="shared" si="24"/>
        <v>10.626003680156964</v>
      </c>
      <c r="AO6" s="159">
        <f t="shared" si="25"/>
        <v>3.2692350111857986</v>
      </c>
      <c r="AP6" s="159">
        <f t="shared" si="26"/>
        <v>2.0825221749791032</v>
      </c>
      <c r="AQ6" s="159">
        <f t="shared" si="27"/>
        <v>4.0522895390429108</v>
      </c>
      <c r="AR6" s="159">
        <f t="shared" si="28"/>
        <v>8.9150369858944032</v>
      </c>
      <c r="AS6" s="159">
        <f t="shared" si="29"/>
        <v>2.0261447695214554</v>
      </c>
      <c r="AT6" s="159">
        <f t="shared" si="30"/>
        <v>15.165393351320391</v>
      </c>
      <c r="AU6" s="159">
        <f t="shared" si="31"/>
        <v>1.6313023706502898</v>
      </c>
      <c r="AV6" s="159">
        <f t="shared" si="32"/>
        <v>2.6528329071836012</v>
      </c>
      <c r="AW6" s="159">
        <f t="shared" si="33"/>
        <v>0.81565118532514491</v>
      </c>
      <c r="AX6" s="159">
        <f t="shared" si="34"/>
        <v>2.8366026773300375</v>
      </c>
      <c r="AY6" s="159">
        <f t="shared" si="35"/>
        <v>6.0033919096932014</v>
      </c>
      <c r="AZ6" s="159">
        <f t="shared" si="36"/>
        <v>1.4183013386650187</v>
      </c>
      <c r="BA6" s="159">
        <f t="shared" si="37"/>
        <v>16.06503532978855</v>
      </c>
      <c r="BB6" s="159">
        <f t="shared" si="38"/>
        <v>3.1747653828809486</v>
      </c>
      <c r="BC6" s="159">
        <f t="shared" si="39"/>
        <v>5.6713623556023816</v>
      </c>
      <c r="BD6" s="159">
        <f t="shared" si="40"/>
        <v>1.5873826914404743</v>
      </c>
      <c r="BE6" s="159">
        <f t="shared" si="41"/>
        <v>4.3674676143018036</v>
      </c>
      <c r="BF6" s="159">
        <f t="shared" si="42"/>
        <v>5.2229509614330842</v>
      </c>
      <c r="BG6" s="159">
        <f t="shared" si="43"/>
        <v>14.153296125543713</v>
      </c>
      <c r="BH6" s="159">
        <f t="shared" si="44"/>
        <v>11.281878519293139</v>
      </c>
      <c r="BI6" s="159">
        <f t="shared" si="45"/>
        <v>3.0241836255901524</v>
      </c>
      <c r="BJ6" s="159">
        <f t="shared" si="46"/>
        <v>7.2791126905030064</v>
      </c>
      <c r="BK6" s="159">
        <f t="shared" si="47"/>
        <v>3.9622386603975128</v>
      </c>
      <c r="BL6" s="159">
        <f t="shared" si="48"/>
        <v>6.1207784606494373</v>
      </c>
      <c r="BM6" s="159">
        <f t="shared" si="49"/>
        <v>11.115431322679644</v>
      </c>
      <c r="BN6" s="159">
        <f t="shared" si="50"/>
        <v>0.65252094826011586</v>
      </c>
      <c r="BO6" s="159">
        <f t="shared" si="51"/>
        <v>2.7015263593619405</v>
      </c>
      <c r="BP6" s="159">
        <f t="shared" si="52"/>
        <v>1.0205766246478443</v>
      </c>
      <c r="BQ6" s="159">
        <f t="shared" si="53"/>
        <v>4.8998357755855073</v>
      </c>
      <c r="BR6" s="159">
        <f t="shared" si="54"/>
        <v>16.357344989663641</v>
      </c>
      <c r="BS6" s="159">
        <f t="shared" si="55"/>
        <v>1.6940447695214549</v>
      </c>
      <c r="BT6" s="159">
        <f t="shared" si="56"/>
        <v>4.2624082558821721</v>
      </c>
      <c r="BU6" s="159">
        <f t="shared" si="57"/>
        <v>3.6620690649128527</v>
      </c>
      <c r="BV6" s="159">
        <f t="shared" si="58"/>
        <v>7.3095910750537909</v>
      </c>
      <c r="BW6" s="159">
        <f t="shared" si="59"/>
        <v>14.093795589850167</v>
      </c>
      <c r="BX6" s="159">
        <f t="shared" si="60"/>
        <v>1.5183660526821927</v>
      </c>
      <c r="BY6" s="159">
        <f t="shared" si="61"/>
        <v>4.2624082558821721</v>
      </c>
      <c r="BZ6" s="159">
        <f t="shared" si="62"/>
        <v>3.6620690649128527</v>
      </c>
      <c r="CA6" s="159">
        <f t="shared" si="63"/>
        <v>10.137037293096576</v>
      </c>
      <c r="CB6" s="159">
        <f t="shared" si="64"/>
        <v>11.385329397938536</v>
      </c>
      <c r="CC6" s="159">
        <f t="shared" si="65"/>
        <v>1.8571750065864836</v>
      </c>
      <c r="CD6" s="159">
        <f t="shared" si="66"/>
        <v>6.5224043438941521</v>
      </c>
      <c r="CE6" s="159">
        <f t="shared" si="67"/>
        <v>5.8178096290420598</v>
      </c>
      <c r="CF6" s="159">
        <f t="shared" si="68"/>
        <v>10.679199892453022</v>
      </c>
      <c r="CG6" s="159">
        <f t="shared" si="69"/>
        <v>5.8178096290420598</v>
      </c>
      <c r="CH6" s="159">
        <f t="shared" si="70"/>
        <v>6.1975562326804923</v>
      </c>
      <c r="CI6" s="159">
        <f t="shared" si="71"/>
        <v>11.26053547759164</v>
      </c>
      <c r="CJ6" s="159">
        <f t="shared" si="72"/>
        <v>6.1975562326804923</v>
      </c>
      <c r="CK6" s="159">
        <f t="shared" si="73"/>
        <v>4.0162588324471376</v>
      </c>
    </row>
    <row r="7" spans="1:89" x14ac:dyDescent="0.25">
      <c r="A7" t="str">
        <f>PLANTILLA!D10</f>
        <v>B. Bartolache</v>
      </c>
      <c r="B7" s="521">
        <f>PLANTILLA!E10</f>
        <v>30</v>
      </c>
      <c r="C7" s="521">
        <f ca="1">PLANTILLA!F10</f>
        <v>110</v>
      </c>
      <c r="D7" s="521"/>
      <c r="E7" s="317">
        <v>41527</v>
      </c>
      <c r="F7" s="371">
        <f>PLANTILLA!Q10</f>
        <v>7</v>
      </c>
      <c r="G7" s="439">
        <f t="shared" si="74"/>
        <v>1</v>
      </c>
      <c r="H7" s="439">
        <f t="shared" ref="H7:H21" si="75">IF(F7=7,1,((F7+0.99)/7)^0.5)</f>
        <v>1</v>
      </c>
      <c r="I7" s="530">
        <v>1.5</v>
      </c>
      <c r="J7" s="531">
        <f>PLANTILLA!I10</f>
        <v>9.3000000000000007</v>
      </c>
      <c r="K7" s="163">
        <f>PLANTILLA!X10</f>
        <v>0</v>
      </c>
      <c r="L7" s="163">
        <f>PLANTILLA!Y10</f>
        <v>11.649999999999997</v>
      </c>
      <c r="M7" s="163">
        <f>PLANTILLA!Z10</f>
        <v>6.700000000000002</v>
      </c>
      <c r="N7" s="163">
        <f>PLANTILLA!AA10</f>
        <v>7.4300000000000015</v>
      </c>
      <c r="O7" s="163">
        <f>PLANTILLA!AB10</f>
        <v>9.0199999999999978</v>
      </c>
      <c r="P7" s="163">
        <f>PLANTILLA!AC10</f>
        <v>4.6199999999999966</v>
      </c>
      <c r="Q7" s="163">
        <f>PLANTILLA!AD10</f>
        <v>15.6</v>
      </c>
      <c r="R7" s="163">
        <f t="shared" si="2"/>
        <v>4.0862499999999988</v>
      </c>
      <c r="S7" s="163">
        <f t="shared" si="3"/>
        <v>14.817996421738927</v>
      </c>
      <c r="T7" s="163">
        <f t="shared" si="4"/>
        <v>0.69899999999999984</v>
      </c>
      <c r="U7" s="163">
        <f t="shared" si="5"/>
        <v>0.93399999999999994</v>
      </c>
      <c r="V7" s="163">
        <f t="shared" ca="1" si="6"/>
        <v>17.891310598071914</v>
      </c>
      <c r="W7" s="163">
        <f t="shared" ca="1" si="7"/>
        <v>17.891310598071914</v>
      </c>
      <c r="X7" s="159">
        <f t="shared" si="8"/>
        <v>5.6522141521167795</v>
      </c>
      <c r="Y7" s="159">
        <f t="shared" si="9"/>
        <v>8.554831982110839</v>
      </c>
      <c r="Z7" s="159">
        <f t="shared" si="10"/>
        <v>5.6522141521167795</v>
      </c>
      <c r="AA7" s="159">
        <f t="shared" si="11"/>
        <v>7.4517162686051055</v>
      </c>
      <c r="AB7" s="159">
        <f t="shared" si="12"/>
        <v>14.44131059807191</v>
      </c>
      <c r="AC7" s="159">
        <f t="shared" si="13"/>
        <v>3.7258581343025527</v>
      </c>
      <c r="AD7" s="159">
        <f t="shared" si="14"/>
        <v>2.2589319223411159</v>
      </c>
      <c r="AE7" s="159">
        <f t="shared" si="15"/>
        <v>5.4588154060711815</v>
      </c>
      <c r="AF7" s="159">
        <f t="shared" si="16"/>
        <v>10.441067562405991</v>
      </c>
      <c r="AG7" s="159">
        <f t="shared" si="17"/>
        <v>2.7294077030355908</v>
      </c>
      <c r="AH7" s="159">
        <f t="shared" si="18"/>
        <v>3.6541545802576878</v>
      </c>
      <c r="AI7" s="159">
        <f t="shared" si="19"/>
        <v>13.286005750226158</v>
      </c>
      <c r="AJ7" s="159">
        <f t="shared" si="20"/>
        <v>5.9787025876017701</v>
      </c>
      <c r="AK7" s="159">
        <f t="shared" si="21"/>
        <v>1.5850488698780101</v>
      </c>
      <c r="AL7" s="159">
        <f t="shared" si="22"/>
        <v>6.0101306316662857</v>
      </c>
      <c r="AM7" s="159">
        <f t="shared" si="23"/>
        <v>10.88874819094622</v>
      </c>
      <c r="AN7" s="159">
        <f t="shared" si="24"/>
        <v>10.224447903434912</v>
      </c>
      <c r="AO7" s="159">
        <f t="shared" si="25"/>
        <v>3.07134886987801</v>
      </c>
      <c r="AP7" s="159">
        <f t="shared" si="26"/>
        <v>1.9807374522447108</v>
      </c>
      <c r="AQ7" s="159">
        <f t="shared" si="27"/>
        <v>3.8991538614794159</v>
      </c>
      <c r="AR7" s="159">
        <f t="shared" si="28"/>
        <v>8.5781384952547146</v>
      </c>
      <c r="AS7" s="159">
        <f t="shared" si="29"/>
        <v>1.9495769307397079</v>
      </c>
      <c r="AT7" s="159">
        <f t="shared" si="30"/>
        <v>8.9597972045798873</v>
      </c>
      <c r="AU7" s="159">
        <f t="shared" si="31"/>
        <v>1.5354703777493484</v>
      </c>
      <c r="AV7" s="159">
        <f t="shared" si="32"/>
        <v>2.6995140052350699</v>
      </c>
      <c r="AW7" s="159">
        <f t="shared" si="33"/>
        <v>0.76773518887467418</v>
      </c>
      <c r="AX7" s="159">
        <f t="shared" si="34"/>
        <v>2.7294077030355908</v>
      </c>
      <c r="AY7" s="159">
        <f t="shared" si="35"/>
        <v>5.7765242392287641</v>
      </c>
      <c r="AZ7" s="159">
        <f t="shared" si="36"/>
        <v>1.3647038515177954</v>
      </c>
      <c r="BA7" s="159">
        <f t="shared" si="37"/>
        <v>9.4913105980719159</v>
      </c>
      <c r="BB7" s="159">
        <f t="shared" si="38"/>
        <v>2.9882615813121935</v>
      </c>
      <c r="BC7" s="159">
        <f t="shared" si="39"/>
        <v>5.5840321395376229</v>
      </c>
      <c r="BD7" s="159">
        <f t="shared" si="40"/>
        <v>1.4941307906560968</v>
      </c>
      <c r="BE7" s="159">
        <f t="shared" si="41"/>
        <v>4.2024213840389253</v>
      </c>
      <c r="BF7" s="159">
        <f t="shared" si="42"/>
        <v>5.0255760881290241</v>
      </c>
      <c r="BG7" s="159">
        <f t="shared" si="43"/>
        <v>8.3618446369013579</v>
      </c>
      <c r="BH7" s="159">
        <f t="shared" si="44"/>
        <v>9.587595121685931</v>
      </c>
      <c r="BI7" s="159">
        <f t="shared" si="45"/>
        <v>2.8465258541353302</v>
      </c>
      <c r="BJ7" s="159">
        <f t="shared" si="46"/>
        <v>7.0040356400648758</v>
      </c>
      <c r="BK7" s="159">
        <f t="shared" si="47"/>
        <v>3.8125059978909843</v>
      </c>
      <c r="BL7" s="159">
        <f t="shared" si="48"/>
        <v>3.6161893378654</v>
      </c>
      <c r="BM7" s="159">
        <f t="shared" si="49"/>
        <v>9.2530154627148526</v>
      </c>
      <c r="BN7" s="159">
        <f t="shared" si="50"/>
        <v>0.61418815109973934</v>
      </c>
      <c r="BO7" s="159">
        <f t="shared" si="51"/>
        <v>2.5994359076529436</v>
      </c>
      <c r="BP7" s="159">
        <f t="shared" si="52"/>
        <v>0.9820091206688899</v>
      </c>
      <c r="BQ7" s="159">
        <f t="shared" si="53"/>
        <v>2.8948497324119344</v>
      </c>
      <c r="BR7" s="159">
        <f t="shared" si="54"/>
        <v>13.599345429120481</v>
      </c>
      <c r="BS7" s="159">
        <f t="shared" si="55"/>
        <v>1.5945269307397081</v>
      </c>
      <c r="BT7" s="159">
        <f t="shared" si="56"/>
        <v>4.1013322098524219</v>
      </c>
      <c r="BU7" s="159">
        <f t="shared" si="57"/>
        <v>3.5236797859295459</v>
      </c>
      <c r="BV7" s="159">
        <f t="shared" si="58"/>
        <v>4.3185463221227218</v>
      </c>
      <c r="BW7" s="159">
        <f t="shared" si="59"/>
        <v>11.71317214266368</v>
      </c>
      <c r="BX7" s="159">
        <f t="shared" si="60"/>
        <v>1.4291685823667011</v>
      </c>
      <c r="BY7" s="159">
        <f t="shared" si="61"/>
        <v>4.1013322098524219</v>
      </c>
      <c r="BZ7" s="159">
        <f t="shared" si="62"/>
        <v>3.5236797859295459</v>
      </c>
      <c r="CA7" s="159">
        <f t="shared" si="63"/>
        <v>5.989016987383379</v>
      </c>
      <c r="CB7" s="159">
        <f t="shared" si="64"/>
        <v>9.4549429852743625</v>
      </c>
      <c r="CC7" s="159">
        <f t="shared" si="65"/>
        <v>1.7480739685146427</v>
      </c>
      <c r="CD7" s="159">
        <f t="shared" si="66"/>
        <v>3.8534721028171983</v>
      </c>
      <c r="CE7" s="159">
        <f t="shared" si="67"/>
        <v>5.3659328215954654</v>
      </c>
      <c r="CF7" s="159">
        <f t="shared" si="68"/>
        <v>10.734335733428971</v>
      </c>
      <c r="CG7" s="159">
        <f t="shared" si="69"/>
        <v>5.3659328215954654</v>
      </c>
      <c r="CH7" s="159">
        <f t="shared" si="70"/>
        <v>5.7330565025988012</v>
      </c>
      <c r="CI7" s="159">
        <f t="shared" si="71"/>
        <v>11.769684208760445</v>
      </c>
      <c r="CJ7" s="159">
        <f t="shared" si="72"/>
        <v>5.7330565025988012</v>
      </c>
      <c r="CK7" s="159">
        <f t="shared" si="73"/>
        <v>2.372827649517979</v>
      </c>
    </row>
    <row r="8" spans="1:89" x14ac:dyDescent="0.25">
      <c r="A8" t="str">
        <f>PLANTILLA!D11</f>
        <v>F. Lasprilla</v>
      </c>
      <c r="B8" s="521">
        <f>PLANTILLA!E11</f>
        <v>27</v>
      </c>
      <c r="C8" s="521">
        <f ca="1">PLANTILLA!F11</f>
        <v>21</v>
      </c>
      <c r="D8" s="521"/>
      <c r="E8" s="317">
        <v>42106</v>
      </c>
      <c r="F8" s="371">
        <f>PLANTILLA!Q11</f>
        <v>6</v>
      </c>
      <c r="G8" s="439">
        <f t="shared" si="74"/>
        <v>0.92582009977255142</v>
      </c>
      <c r="H8" s="439">
        <f t="shared" si="75"/>
        <v>0.99928545900129484</v>
      </c>
      <c r="I8" s="530">
        <v>1.5</v>
      </c>
      <c r="J8" s="531">
        <f>PLANTILLA!I11</f>
        <v>4.9000000000000004</v>
      </c>
      <c r="K8" s="163">
        <f>PLANTILLA!X11</f>
        <v>0</v>
      </c>
      <c r="L8" s="163">
        <f>PLANTILLA!Y11</f>
        <v>9.5796666666666663</v>
      </c>
      <c r="M8" s="163">
        <f>PLANTILLA!Z11</f>
        <v>7.7407222222222227</v>
      </c>
      <c r="N8" s="163">
        <f>PLANTILLA!AA11</f>
        <v>6.1499999999999986</v>
      </c>
      <c r="O8" s="163">
        <f>PLANTILLA!AB11</f>
        <v>8.8633333333333315</v>
      </c>
      <c r="P8" s="163">
        <f>PLANTILLA!AC11</f>
        <v>3.2566666666666673</v>
      </c>
      <c r="Q8" s="163">
        <f>PLANTILLA!AD11</f>
        <v>13.238888888888889</v>
      </c>
      <c r="R8" s="163">
        <f t="shared" si="2"/>
        <v>3.7882916666666659</v>
      </c>
      <c r="S8" s="163">
        <f t="shared" si="3"/>
        <v>10.436233338039576</v>
      </c>
      <c r="T8" s="163">
        <f t="shared" si="4"/>
        <v>0.56000000000000005</v>
      </c>
      <c r="U8" s="163">
        <f t="shared" si="5"/>
        <v>0.78035333333333334</v>
      </c>
      <c r="V8" s="163">
        <f t="shared" ca="1" si="6"/>
        <v>14.034646069994215</v>
      </c>
      <c r="W8" s="163">
        <f t="shared" ca="1" si="7"/>
        <v>15.148318494511354</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2.4183141116179372</v>
      </c>
      <c r="AE8" s="159">
        <f t="shared" si="15"/>
        <v>4.5359728243343707</v>
      </c>
      <c r="AF8" s="159">
        <f t="shared" si="16"/>
        <v>8.6759480211474873</v>
      </c>
      <c r="AG8" s="159">
        <f t="shared" si="17"/>
        <v>2.2679864121671853</v>
      </c>
      <c r="AH8" s="159">
        <f t="shared" si="18"/>
        <v>3.9119787099701928</v>
      </c>
      <c r="AI8" s="159">
        <f t="shared" si="19"/>
        <v>11.039933858168311</v>
      </c>
      <c r="AJ8" s="159">
        <f t="shared" si="20"/>
        <v>4.9679702361757396</v>
      </c>
      <c r="AK8" s="159">
        <f t="shared" si="21"/>
        <v>1.6968842715974604</v>
      </c>
      <c r="AL8" s="159">
        <f t="shared" si="22"/>
        <v>5.0393137267423533</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9.5919685771736667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10.160983662260241</v>
      </c>
      <c r="BB8" s="159">
        <f t="shared" si="38"/>
        <v>2.8547494776629514</v>
      </c>
      <c r="BC8" s="159">
        <f t="shared" si="39"/>
        <v>5.0398607201276144</v>
      </c>
      <c r="BD8" s="159">
        <f t="shared" si="40"/>
        <v>1.4273747388314757</v>
      </c>
      <c r="BE8" s="159">
        <f t="shared" si="41"/>
        <v>3.4919790790510632</v>
      </c>
      <c r="BF8" s="159">
        <f t="shared" si="42"/>
        <v>4.1759749811332298</v>
      </c>
      <c r="BG8" s="159">
        <f t="shared" si="43"/>
        <v>8.9518266064512719</v>
      </c>
      <c r="BH8" s="159">
        <f t="shared" si="44"/>
        <v>8.4736624201937971</v>
      </c>
      <c r="BI8" s="159">
        <f t="shared" si="45"/>
        <v>2.7193463403824953</v>
      </c>
      <c r="BJ8" s="159">
        <f t="shared" si="46"/>
        <v>5.819965131751772</v>
      </c>
      <c r="BK8" s="159">
        <f t="shared" si="47"/>
        <v>3.1679810201700369</v>
      </c>
      <c r="BL8" s="159">
        <f t="shared" si="48"/>
        <v>3.8713347753211518</v>
      </c>
      <c r="BM8" s="159">
        <f t="shared" si="49"/>
        <v>8.0357884985932273</v>
      </c>
      <c r="BN8" s="159">
        <f t="shared" si="50"/>
        <v>0.58674692821531016</v>
      </c>
      <c r="BO8" s="159">
        <f t="shared" si="51"/>
        <v>2.1599870592068431</v>
      </c>
      <c r="BP8" s="159">
        <f t="shared" si="52"/>
        <v>0.81599511125591861</v>
      </c>
      <c r="BQ8" s="159">
        <f t="shared" si="53"/>
        <v>3.0991000169893734</v>
      </c>
      <c r="BR8" s="159">
        <f t="shared" si="54"/>
        <v>11.797369545222223</v>
      </c>
      <c r="BS8" s="159">
        <f t="shared" si="55"/>
        <v>1.5232852944051323</v>
      </c>
      <c r="BT8" s="159">
        <f t="shared" si="56"/>
        <v>3.4079795823041303</v>
      </c>
      <c r="BU8" s="159">
        <f t="shared" si="57"/>
        <v>2.927982458035943</v>
      </c>
      <c r="BV8" s="159">
        <f t="shared" si="58"/>
        <v>4.6232475663284101</v>
      </c>
      <c r="BW8" s="159">
        <f t="shared" si="59"/>
        <v>10.157903008895456</v>
      </c>
      <c r="BX8" s="159">
        <f t="shared" si="60"/>
        <v>1.3653149675779332</v>
      </c>
      <c r="BY8" s="159">
        <f t="shared" si="61"/>
        <v>3.4079795823041303</v>
      </c>
      <c r="BZ8" s="159">
        <f t="shared" si="62"/>
        <v>2.927982458035943</v>
      </c>
      <c r="CA8" s="159">
        <f t="shared" si="63"/>
        <v>6.4115806908862121</v>
      </c>
      <c r="CB8" s="159">
        <f t="shared" si="64"/>
        <v>8.1940573221673585</v>
      </c>
      <c r="CC8" s="159">
        <f t="shared" si="65"/>
        <v>1.6699720264589597</v>
      </c>
      <c r="CD8" s="159">
        <f t="shared" si="66"/>
        <v>4.1253593668776585</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2.5402459155650603</v>
      </c>
    </row>
    <row r="9" spans="1:89" x14ac:dyDescent="0.25">
      <c r="A9" t="str">
        <f>PLANTILLA!D7</f>
        <v>B. Pinczehelyi</v>
      </c>
      <c r="B9" s="521">
        <f>PLANTILLA!E7</f>
        <v>30</v>
      </c>
      <c r="C9" s="521">
        <f ca="1">PLANTILLA!F7</f>
        <v>14</v>
      </c>
      <c r="D9" s="521" t="str">
        <f>PLANTILLA!G7</f>
        <v>CAB</v>
      </c>
      <c r="E9" s="317">
        <v>42716</v>
      </c>
      <c r="F9" s="371">
        <f>PLANTILLA!Q7</f>
        <v>7</v>
      </c>
      <c r="G9" s="439">
        <f>(F9/7)^0.5</f>
        <v>1</v>
      </c>
      <c r="H9" s="439">
        <f>IF(F9=7,1,((F9+0.99)/7)^0.5)</f>
        <v>1</v>
      </c>
      <c r="I9" s="530">
        <v>1</v>
      </c>
      <c r="J9" s="531">
        <f>PLANTILLA!I7</f>
        <v>14.1</v>
      </c>
      <c r="K9" s="163">
        <f>PLANTILLA!X7</f>
        <v>0</v>
      </c>
      <c r="L9" s="163">
        <f>PLANTILLA!Y7</f>
        <v>14.200000000000003</v>
      </c>
      <c r="M9" s="163">
        <f>PLANTILLA!Z7</f>
        <v>9.3093333333333348</v>
      </c>
      <c r="N9" s="163">
        <f>PLANTILLA!AA7</f>
        <v>14.291666666666663</v>
      </c>
      <c r="O9" s="163">
        <f>PLANTILLA!AB7</f>
        <v>9.4199999999999982</v>
      </c>
      <c r="P9" s="163">
        <f>PLANTILLA!AC7</f>
        <v>1.1428571428571428</v>
      </c>
      <c r="Q9" s="163">
        <f>PLANTILLA!AD7</f>
        <v>9.4</v>
      </c>
      <c r="R9" s="163">
        <f>((2*(O9+1))+(L9+1))/8</f>
        <v>4.5049999999999999</v>
      </c>
      <c r="S9" s="163">
        <f t="shared" si="3"/>
        <v>5.0635085091007106</v>
      </c>
      <c r="T9" s="163">
        <f>(0.5*P9+ 0.3*Q9)/10</f>
        <v>0.33914285714285713</v>
      </c>
      <c r="U9" s="163">
        <f>(0.4*L9+0.3*Q9)/10</f>
        <v>0.8500000000000002</v>
      </c>
      <c r="V9" s="163">
        <f t="shared" ref="V9" ca="1" si="76">IF(TODAY()-E9&gt;335,(Q9+1+(LOG(J9)*4/3))*(F9/7)^0.5,(Q9+((TODAY()-E9)^0.5)/(336^0.5)+(LOG(J9)*4/3))*(F9/7)^0.5)</f>
        <v>11.932292150207173</v>
      </c>
      <c r="W9" s="163">
        <f t="shared" ref="W9" ca="1" si="77">IF(F9=7,V9,IF(TODAY()-E9&gt;335,(Q9+1+(LOG(J9)*4/3))*((F9+0.99)/7)^0.5,(Q9+((TODAY()-E9)^0.5)/(336^0.5)+(LOG(J9)*4/3))*((F9+0.99)/7)^0.5))</f>
        <v>11.932292150207173</v>
      </c>
      <c r="X9" s="159">
        <f>((K9+I9+(LOG(J9)*4/3))*0.597)+((L9+I9+(LOG(J9)*4/3))*0.276)</f>
        <v>6.1298910471308634</v>
      </c>
      <c r="Y9" s="159">
        <f>((K9+I9+(LOG(J9)*4/3))*0.866)+((L9+I9+(LOG(J9)*4/3))*0.425)</f>
        <v>9.304189165917462</v>
      </c>
      <c r="Z9" s="159">
        <f>X9</f>
        <v>6.1298910471308634</v>
      </c>
      <c r="AA9" s="159">
        <f>((L9+I9+(LOG(J9)*4/3))*0.516)</f>
        <v>8.6338627495069034</v>
      </c>
      <c r="AB9" s="159">
        <f>(L9+I9+(LOG(J9)*4/3))*1</f>
        <v>16.732292150207176</v>
      </c>
      <c r="AC9" s="159">
        <f>AA9/2</f>
        <v>4.3169313747534517</v>
      </c>
      <c r="AD9" s="159">
        <f>(M9+I9+(LOG(J9)*4/3))*0.238</f>
        <v>2.8183068650826408</v>
      </c>
      <c r="AE9" s="159">
        <f>((L9+I9+(LOG(J9)*4/3))*0.378)</f>
        <v>6.3248064327783124</v>
      </c>
      <c r="AF9" s="159">
        <f>(L9+I9+(LOG(J9)*4/3))*0.723</f>
        <v>12.097447224599788</v>
      </c>
      <c r="AG9" s="159">
        <f>AE9/2</f>
        <v>3.1624032163891562</v>
      </c>
      <c r="AH9" s="159">
        <f>(M9+I9+(LOG(J9)*4/3))*0.385</f>
        <v>4.5590258111630959</v>
      </c>
      <c r="AI9" s="159">
        <f>((L9+I9+(LOG(J9)*4/3))*0.92)</f>
        <v>15.393708778190602</v>
      </c>
      <c r="AJ9" s="159">
        <f>(L9+I9+(LOG(J9)*4/3))*0.414</f>
        <v>6.9271689501857701</v>
      </c>
      <c r="AK9" s="159">
        <f>((M9+I9+(LOG(J9)*4/3))*0.167)</f>
        <v>1.977551455751265</v>
      </c>
      <c r="AL9" s="159">
        <f>(N9+I9+(LOG(J9)*4/3))*0.588</f>
        <v>9.8924877843218155</v>
      </c>
      <c r="AM9" s="159">
        <f>((L9+I9+(LOG(J9)*4/3))*0.754)</f>
        <v>12.61614828125621</v>
      </c>
      <c r="AN9" s="159">
        <f>((L9+I9+(LOG(J9)*4/3))*0.708)</f>
        <v>11.84646284234668</v>
      </c>
      <c r="AO9" s="159">
        <f>((Q9+I9+(LOG(J9)*4/3))*0.167)</f>
        <v>1.992692789084598</v>
      </c>
      <c r="AP9" s="159">
        <f>((R9+I9+(LOG(J9)*4/3))*0.288)</f>
        <v>2.0267401392596658</v>
      </c>
      <c r="AQ9" s="159">
        <f>((L9+I9+(LOG(J9)*4/3))*0.27)</f>
        <v>4.5177188805559378</v>
      </c>
      <c r="AR9" s="159">
        <f>((L9+I9+(LOG(J9)*4/3))*0.594)</f>
        <v>9.9389815372230625</v>
      </c>
      <c r="AS9" s="159">
        <f>AQ9/2</f>
        <v>2.2588594402779689</v>
      </c>
      <c r="AT9" s="159">
        <f>((M9+I9+(LOG(J9)*4/3))*0.944)</f>
        <v>11.178494456462239</v>
      </c>
      <c r="AU9" s="159">
        <f>((O9+I9+(LOG(J9)*4/3))*0.13)</f>
        <v>1.5537979795269323</v>
      </c>
      <c r="AV9" s="159">
        <f>((P9+I9+(LOG(J9)*4/3))*0.173)+((O9+I9+(LOG(J9)*4/3))*0.12)</f>
        <v>2.0700758857249872</v>
      </c>
      <c r="AW9" s="159">
        <f>AU9/2</f>
        <v>0.77689898976346616</v>
      </c>
      <c r="AX9" s="159">
        <f>((L9+I9+(LOG(J9)*4/3))*0.189)</f>
        <v>3.1624032163891562</v>
      </c>
      <c r="AY9" s="159">
        <f>((L9+I9+(LOG(J9)*4/3))*0.4)</f>
        <v>6.692916860082871</v>
      </c>
      <c r="AZ9" s="159">
        <f>AX9/2</f>
        <v>1.5812016081945781</v>
      </c>
      <c r="BA9" s="159">
        <f>((M9+I9+(LOG(J9)*4/3))*1)</f>
        <v>11.841625483540508</v>
      </c>
      <c r="BB9" s="159">
        <f>((O9+I9+(LOG(J9)*4/3))*0.253)</f>
        <v>3.0239299140024145</v>
      </c>
      <c r="BC9" s="159">
        <f>((P9+I9+(LOG(J9)*4/3))*0.21)+((O9+I9+(LOG(J9)*4/3))*0.341)</f>
        <v>4.8475129747641521</v>
      </c>
      <c r="BD9" s="159">
        <f>BB9/2</f>
        <v>1.5119649570012073</v>
      </c>
      <c r="BE9" s="159">
        <f>((L9+I9+(LOG(J9)*4/3))*0.291)</f>
        <v>4.8690970157102882</v>
      </c>
      <c r="BF9" s="159">
        <f>((L9+I9+(LOG(J9)*4/3))*0.348)</f>
        <v>5.822837668272097</v>
      </c>
      <c r="BG9" s="159">
        <f>((M9+I9+(LOG(J9)*4/3))*0.881)</f>
        <v>10.432472050999188</v>
      </c>
      <c r="BH9" s="159">
        <f>((N9+I9+(LOG(J9)*4/3))*0.574)+((O9+I9+(LOG(J9)*4/3))*0.315)</f>
        <v>13.421924388200839</v>
      </c>
      <c r="BI9" s="159">
        <f>((O9+I9+(LOG(J9)*4/3))*0.241)</f>
        <v>2.880502408199928</v>
      </c>
      <c r="BJ9" s="159">
        <f>((L9+I9+(LOG(J9)*4/3))*0.485)</f>
        <v>8.1151616928504797</v>
      </c>
      <c r="BK9" s="159">
        <f>((L9+I9+(LOG(J9)*4/3))*0.264)</f>
        <v>4.4173251276546948</v>
      </c>
      <c r="BL9" s="159">
        <f>((M9+I9+(LOG(J9)*4/3))*0.381)</f>
        <v>4.5116593092289339</v>
      </c>
      <c r="BM9" s="159">
        <f>((N9+I9+(LOG(J9)*4/3))*0.673)+((O9+I9+(LOG(J9)*4/3))*0.201)</f>
        <v>13.724935005947735</v>
      </c>
      <c r="BN9" s="159">
        <f>((O9+I9+(LOG(J9)*4/3))*0.052)</f>
        <v>0.62151919181077286</v>
      </c>
      <c r="BO9" s="159">
        <f>((L9+I9+(LOG(J9)*4/3))*0.18)</f>
        <v>3.0118125870372916</v>
      </c>
      <c r="BP9" s="159">
        <f>(L9+I9+(LOG(J9)*4/3))*0.068</f>
        <v>1.1377958662140881</v>
      </c>
      <c r="BQ9" s="159">
        <f>((M9+I9+(LOG(J9)*4/3))*0.305)</f>
        <v>3.6116957724798548</v>
      </c>
      <c r="BR9" s="159">
        <f>((N9+I9+(LOG(J9)*4/3))*1)+((O9+I9+(LOG(J9)*4/3))*0.286)</f>
        <v>20.242314371833089</v>
      </c>
      <c r="BS9" s="159">
        <f>((O9+I9+(LOG(J9)*4/3))*0.135)</f>
        <v>1.6135594402779683</v>
      </c>
      <c r="BT9" s="159">
        <f t="shared" si="56"/>
        <v>4.7519709706588378</v>
      </c>
      <c r="BU9" s="159">
        <f t="shared" si="57"/>
        <v>4.0826792846505509</v>
      </c>
      <c r="BV9" s="159">
        <f t="shared" si="58"/>
        <v>5.3879395950109314</v>
      </c>
      <c r="BW9" s="159">
        <f t="shared" si="59"/>
        <v>17.452259702429544</v>
      </c>
      <c r="BX9" s="159">
        <f t="shared" si="60"/>
        <v>1.4462273501750678</v>
      </c>
      <c r="BY9" s="159">
        <f>((L9+I9+(LOG(J9)*4/3))*0.284)</f>
        <v>4.7519709706588378</v>
      </c>
      <c r="BZ9" s="159">
        <f>((L9+I9+(LOG(J9)*4/3))*0.244)</f>
        <v>4.0826792846505509</v>
      </c>
      <c r="CA9" s="159">
        <f>((M9+I9+(LOG(J9)*4/3))*0.631)</f>
        <v>7.4720656801140608</v>
      </c>
      <c r="CB9" s="159">
        <f>((N9+I9+(LOG(J9)*4/3))*0.702)+((O9+I9+(LOG(J9)*4/3))*0.193)</f>
        <v>14.117211474435418</v>
      </c>
      <c r="CC9" s="159">
        <f>((O9+I9+(LOG(J9)*4/3))*0.148)</f>
        <v>1.7689392382306612</v>
      </c>
      <c r="CD9" s="159">
        <f>((M9+I9+(LOG(J9)*4/3))*0.406)</f>
        <v>4.8076999463174461</v>
      </c>
      <c r="CE9" s="159">
        <f>IF(D9="TEC",((N9+I9+(LOG(J9)*4/3))*0.15)+((O9+I9+(LOG(J9)*4/3))*0.324)+((P9+I9+(LOG(J9)*4/3))*0.127),(((N9+I9+(LOG(J9)*4/3))*0.144)+((O9+I9+(LOG(J9)*4/3))*0.25)+((P9+I9+(LOG(J9)*4/3))*0.127)))</f>
        <v>5.8774670674007936</v>
      </c>
      <c r="CF9" s="159">
        <f>((O9+I9+(LOG(J9)*4/3))*0.543)+((P9+I9+(LOG(J9)*4/3))*0.583)</f>
        <v>8.6327066754189907</v>
      </c>
      <c r="CG9" s="159">
        <f>CE9</f>
        <v>5.8774670674007936</v>
      </c>
      <c r="CH9" s="159">
        <f>((P9+1+(LOG(J9)*4/3))*0.26)+((N9+I9+(LOG(J9)*4/3))*0.221)+((O9+I9+(LOG(J9)*4/3))*0.142)</f>
        <v>6.370859200055258</v>
      </c>
      <c r="CI9" s="159">
        <f>((P9+I9+(LOG(J9)*4/3))*1)+((O9+I9+(LOG(J9)*4/3))*0.369)</f>
        <v>8.0855450964907618</v>
      </c>
      <c r="CJ9" s="159">
        <f>CH9</f>
        <v>6.370859200055258</v>
      </c>
      <c r="CK9" s="159">
        <f>((M9+I9+(LOG(J9)*4/3))*0.25)</f>
        <v>2.9604063708851269</v>
      </c>
    </row>
    <row r="10" spans="1:89" x14ac:dyDescent="0.25">
      <c r="A10" t="str">
        <f>PLANTILLA!D12</f>
        <v>E. Romweber</v>
      </c>
      <c r="B10" s="521">
        <f>PLANTILLA!E12</f>
        <v>30</v>
      </c>
      <c r="C10" s="521">
        <f ca="1">PLANTILLA!F12</f>
        <v>87</v>
      </c>
      <c r="D10" s="521" t="str">
        <f>PLANTILLA!G12</f>
        <v>IMP</v>
      </c>
      <c r="E10" s="317">
        <v>41583</v>
      </c>
      <c r="F10" s="371">
        <f>PLANTILLA!Q12</f>
        <v>4</v>
      </c>
      <c r="G10" s="439">
        <f t="shared" si="74"/>
        <v>0.7559289460184544</v>
      </c>
      <c r="H10" s="439">
        <f t="shared" si="75"/>
        <v>0.84430867747355465</v>
      </c>
      <c r="I10" s="530">
        <v>1.5</v>
      </c>
      <c r="J10" s="531">
        <f>PLANTILLA!I12</f>
        <v>12.3</v>
      </c>
      <c r="K10" s="163">
        <f>PLANTILLA!X12</f>
        <v>0</v>
      </c>
      <c r="L10" s="163">
        <f>PLANTILLA!Y12</f>
        <v>11.95</v>
      </c>
      <c r="M10" s="163">
        <f>PLANTILLA!Z12</f>
        <v>12.489111111111114</v>
      </c>
      <c r="N10" s="163">
        <f>PLANTILLA!AA12</f>
        <v>13.133333333333335</v>
      </c>
      <c r="O10" s="163">
        <f>PLANTILLA!AB12</f>
        <v>10.91</v>
      </c>
      <c r="P10" s="163">
        <f>PLANTILLA!AC12</f>
        <v>7.7700000000000005</v>
      </c>
      <c r="Q10" s="163">
        <f>PLANTILLA!AD12</f>
        <v>17.13</v>
      </c>
      <c r="R10" s="163">
        <f t="shared" si="2"/>
        <v>4.5962499999999995</v>
      </c>
      <c r="S10" s="163">
        <f t="shared" si="3"/>
        <v>21.246287061708095</v>
      </c>
      <c r="T10" s="163">
        <f t="shared" si="4"/>
        <v>0.90239999999999987</v>
      </c>
      <c r="U10" s="163">
        <f t="shared" si="5"/>
        <v>0.9919</v>
      </c>
      <c r="V10" s="163">
        <f t="shared" ca="1" si="6"/>
        <v>14.803512887515259</v>
      </c>
      <c r="W10" s="163">
        <f t="shared" ca="1" si="7"/>
        <v>16.534271446876968</v>
      </c>
      <c r="X10" s="159">
        <f t="shared" si="8"/>
        <v>5.8763495497154601</v>
      </c>
      <c r="Y10" s="159">
        <f t="shared" si="9"/>
        <v>8.8913399984910164</v>
      </c>
      <c r="Z10" s="159">
        <f t="shared" si="10"/>
        <v>5.8763495497154601</v>
      </c>
      <c r="AA10" s="159">
        <f t="shared" si="11"/>
        <v>7.6900547166703053</v>
      </c>
      <c r="AB10" s="159">
        <f t="shared" si="12"/>
        <v>14.903206815252529</v>
      </c>
      <c r="AC10" s="159">
        <f t="shared" si="13"/>
        <v>3.8450273583351526</v>
      </c>
      <c r="AD10" s="159">
        <f t="shared" si="14"/>
        <v>3.6752716664745471</v>
      </c>
      <c r="AE10" s="159">
        <f t="shared" si="15"/>
        <v>5.6334121761654563</v>
      </c>
      <c r="AF10" s="159">
        <f t="shared" si="16"/>
        <v>10.775018527427578</v>
      </c>
      <c r="AG10" s="159">
        <f t="shared" si="17"/>
        <v>2.8167060880827282</v>
      </c>
      <c r="AH10" s="159">
        <f t="shared" si="18"/>
        <v>5.9452924016500033</v>
      </c>
      <c r="AI10" s="159">
        <f t="shared" si="19"/>
        <v>13.710950270032328</v>
      </c>
      <c r="AJ10" s="159">
        <f t="shared" si="20"/>
        <v>6.1699276215145469</v>
      </c>
      <c r="AK10" s="159">
        <f t="shared" si="21"/>
        <v>2.5788670937027289</v>
      </c>
      <c r="AL10" s="159">
        <f t="shared" si="22"/>
        <v>9.4588856073684884</v>
      </c>
      <c r="AM10" s="159">
        <f t="shared" si="23"/>
        <v>11.237017938700408</v>
      </c>
      <c r="AN10" s="159">
        <f t="shared" si="24"/>
        <v>10.55147042519879</v>
      </c>
      <c r="AO10" s="159">
        <f t="shared" si="25"/>
        <v>3.3538955381471727</v>
      </c>
      <c r="AP10" s="159">
        <f t="shared" si="26"/>
        <v>2.1742435627927286</v>
      </c>
      <c r="AQ10" s="159">
        <f t="shared" si="27"/>
        <v>4.0238658401181828</v>
      </c>
      <c r="AR10" s="159">
        <f t="shared" si="28"/>
        <v>8.8525048482600024</v>
      </c>
      <c r="AS10" s="159">
        <f t="shared" si="29"/>
        <v>2.0119329200590914</v>
      </c>
      <c r="AT10" s="159">
        <f t="shared" si="30"/>
        <v>14.577548122487279</v>
      </c>
      <c r="AU10" s="159">
        <f t="shared" si="31"/>
        <v>1.8022168859828289</v>
      </c>
      <c r="AV10" s="159">
        <f t="shared" si="32"/>
        <v>3.5186995968689914</v>
      </c>
      <c r="AW10" s="159">
        <f t="shared" si="33"/>
        <v>0.90110844299141446</v>
      </c>
      <c r="AX10" s="159">
        <f t="shared" si="34"/>
        <v>2.8167060880827282</v>
      </c>
      <c r="AY10" s="159">
        <f t="shared" si="35"/>
        <v>5.961282726101012</v>
      </c>
      <c r="AZ10" s="159">
        <f t="shared" si="36"/>
        <v>1.4083530440413641</v>
      </c>
      <c r="BA10" s="159">
        <f t="shared" si="37"/>
        <v>15.442317926363645</v>
      </c>
      <c r="BB10" s="159">
        <f t="shared" si="38"/>
        <v>3.5073913242588901</v>
      </c>
      <c r="BC10" s="159">
        <f t="shared" si="39"/>
        <v>6.9792269552041448</v>
      </c>
      <c r="BD10" s="159">
        <f t="shared" si="40"/>
        <v>1.7536956621294451</v>
      </c>
      <c r="BE10" s="159">
        <f t="shared" si="41"/>
        <v>4.3368331832384861</v>
      </c>
      <c r="BF10" s="159">
        <f t="shared" si="42"/>
        <v>5.1863159717078799</v>
      </c>
      <c r="BG10" s="159">
        <f t="shared" si="43"/>
        <v>13.604682093126371</v>
      </c>
      <c r="BH10" s="159">
        <f t="shared" si="44"/>
        <v>13.600584192092832</v>
      </c>
      <c r="BI10" s="159">
        <f t="shared" si="45"/>
        <v>3.3410328424758595</v>
      </c>
      <c r="BJ10" s="159">
        <f t="shared" si="46"/>
        <v>7.2280553053974765</v>
      </c>
      <c r="BK10" s="159">
        <f t="shared" si="47"/>
        <v>3.9344465992266682</v>
      </c>
      <c r="BL10" s="159">
        <f t="shared" si="48"/>
        <v>5.8835231299445487</v>
      </c>
      <c r="BM10" s="159">
        <f t="shared" si="49"/>
        <v>13.612746089864046</v>
      </c>
      <c r="BN10" s="159">
        <f t="shared" si="50"/>
        <v>0.72088675439313155</v>
      </c>
      <c r="BO10" s="159">
        <f t="shared" si="51"/>
        <v>2.6825772267454551</v>
      </c>
      <c r="BP10" s="159">
        <f t="shared" si="52"/>
        <v>1.0134180634371721</v>
      </c>
      <c r="BQ10" s="159">
        <f t="shared" si="53"/>
        <v>4.7099069675409115</v>
      </c>
      <c r="BR10" s="159">
        <f t="shared" si="54"/>
        <v>20.051417297748088</v>
      </c>
      <c r="BS10" s="159">
        <f t="shared" si="55"/>
        <v>1.8715329200590918</v>
      </c>
      <c r="BT10" s="159">
        <f t="shared" si="56"/>
        <v>4.2325107355317177</v>
      </c>
      <c r="BU10" s="159">
        <f t="shared" si="57"/>
        <v>3.6363824629216173</v>
      </c>
      <c r="BV10" s="159">
        <f t="shared" si="58"/>
        <v>7.0262546564954587</v>
      </c>
      <c r="BW10" s="159">
        <f t="shared" si="59"/>
        <v>17.281393151299806</v>
      </c>
      <c r="BX10" s="159">
        <f t="shared" si="60"/>
        <v>1.6774480246455561</v>
      </c>
      <c r="BY10" s="159">
        <f t="shared" si="61"/>
        <v>4.2325107355317177</v>
      </c>
      <c r="BZ10" s="159">
        <f t="shared" si="62"/>
        <v>3.6363824629216173</v>
      </c>
      <c r="CA10" s="159">
        <f t="shared" si="63"/>
        <v>9.7441026115354603</v>
      </c>
      <c r="CB10" s="159">
        <f t="shared" si="64"/>
        <v>13.968350099651015</v>
      </c>
      <c r="CC10" s="159">
        <f t="shared" si="65"/>
        <v>2.0517546086573746</v>
      </c>
      <c r="CD10" s="159">
        <f t="shared" si="66"/>
        <v>6.2695810781036405</v>
      </c>
      <c r="CE10" s="159">
        <f t="shared" si="67"/>
        <v>7.1441107507465684</v>
      </c>
      <c r="CF10" s="159">
        <f t="shared" si="68"/>
        <v>13.779350873974348</v>
      </c>
      <c r="CG10" s="159">
        <f t="shared" si="69"/>
        <v>7.1441107507465684</v>
      </c>
      <c r="CH10" s="159">
        <f t="shared" si="70"/>
        <v>8.181734512568994</v>
      </c>
      <c r="CI10" s="159">
        <f t="shared" si="71"/>
        <v>15.838730130080712</v>
      </c>
      <c r="CJ10" s="159">
        <f t="shared" si="72"/>
        <v>8.181734512568994</v>
      </c>
      <c r="CK10" s="159">
        <f t="shared" si="73"/>
        <v>3.8605794815909111</v>
      </c>
    </row>
    <row r="11" spans="1:89" x14ac:dyDescent="0.25">
      <c r="A11" t="str">
        <f>PLANTILLA!D13</f>
        <v>K. Helms</v>
      </c>
      <c r="B11" s="521">
        <f>PLANTILLA!E13</f>
        <v>30</v>
      </c>
      <c r="C11" s="521">
        <f ca="1">PLANTILLA!F13</f>
        <v>34</v>
      </c>
      <c r="D11" s="521" t="str">
        <f>PLANTILLA!G13</f>
        <v>TEC</v>
      </c>
      <c r="E11" s="317">
        <v>41722</v>
      </c>
      <c r="F11" s="371">
        <f>PLANTILLA!Q13</f>
        <v>5</v>
      </c>
      <c r="G11" s="439">
        <f t="shared" ref="G11:G21" si="78">(F11/7)^0.5</f>
        <v>0.84515425472851657</v>
      </c>
      <c r="H11" s="439">
        <f t="shared" si="75"/>
        <v>0.92504826128926143</v>
      </c>
      <c r="I11" s="530">
        <v>1.5</v>
      </c>
      <c r="J11" s="531">
        <f>PLANTILLA!I13</f>
        <v>10.3</v>
      </c>
      <c r="K11" s="163">
        <f>PLANTILLA!X13</f>
        <v>0</v>
      </c>
      <c r="L11" s="163">
        <f>PLANTILLA!Y13</f>
        <v>7.11</v>
      </c>
      <c r="M11" s="163">
        <f>PLANTILLA!Z13</f>
        <v>10.450000000000003</v>
      </c>
      <c r="N11" s="163">
        <f>PLANTILLA!AA13</f>
        <v>13.388333333333334</v>
      </c>
      <c r="O11" s="163">
        <f>PLANTILLA!AB13</f>
        <v>10.359999999999998</v>
      </c>
      <c r="P11" s="163">
        <f>PLANTILLA!AC13</f>
        <v>5.4050000000000002</v>
      </c>
      <c r="Q11" s="163">
        <f>PLANTILLA!AD13</f>
        <v>17.300000000000004</v>
      </c>
      <c r="R11" s="163">
        <f t="shared" si="2"/>
        <v>3.8537499999999993</v>
      </c>
      <c r="S11" s="163">
        <f t="shared" si="3"/>
        <v>17.186793688797913</v>
      </c>
      <c r="T11" s="163">
        <f t="shared" si="4"/>
        <v>0.78925000000000023</v>
      </c>
      <c r="U11" s="163">
        <f t="shared" si="5"/>
        <v>0.80340000000000023</v>
      </c>
      <c r="V11" s="163">
        <f t="shared" ca="1" si="6"/>
        <v>16.607661114607854</v>
      </c>
      <c r="W11" s="163">
        <f t="shared" ca="1" si="7"/>
        <v>18.177614266503568</v>
      </c>
      <c r="X11" s="159">
        <f t="shared" si="8"/>
        <v>4.4508025295568201</v>
      </c>
      <c r="Y11" s="159">
        <f t="shared" si="9"/>
        <v>6.7016804761258353</v>
      </c>
      <c r="Z11" s="159">
        <f t="shared" si="10"/>
        <v>4.4508025295568201</v>
      </c>
      <c r="AA11" s="159">
        <f t="shared" si="11"/>
        <v>5.1395920105971582</v>
      </c>
      <c r="AB11" s="159">
        <f t="shared" si="12"/>
        <v>9.9604496329402288</v>
      </c>
      <c r="AC11" s="159">
        <f t="shared" si="13"/>
        <v>2.5697960052985791</v>
      </c>
      <c r="AD11" s="159">
        <f t="shared" si="14"/>
        <v>3.1655070126397753</v>
      </c>
      <c r="AE11" s="159">
        <f t="shared" si="15"/>
        <v>3.7650499612514063</v>
      </c>
      <c r="AF11" s="159">
        <f t="shared" si="16"/>
        <v>7.2014050846157849</v>
      </c>
      <c r="AG11" s="159">
        <f t="shared" si="17"/>
        <v>1.8825249806257032</v>
      </c>
      <c r="AH11" s="159">
        <f t="shared" si="18"/>
        <v>5.1206731086819897</v>
      </c>
      <c r="AI11" s="159">
        <f t="shared" si="19"/>
        <v>9.1636136623050106</v>
      </c>
      <c r="AJ11" s="159">
        <f t="shared" si="20"/>
        <v>4.1236261480372542</v>
      </c>
      <c r="AK11" s="159">
        <f t="shared" si="21"/>
        <v>2.2211750887010191</v>
      </c>
      <c r="AL11" s="159">
        <f t="shared" si="22"/>
        <v>9.5484043841688564</v>
      </c>
      <c r="AM11" s="159">
        <f t="shared" si="23"/>
        <v>7.5101790232369323</v>
      </c>
      <c r="AN11" s="159">
        <f t="shared" si="24"/>
        <v>7.0519983401216813</v>
      </c>
      <c r="AO11" s="159">
        <f t="shared" si="25"/>
        <v>3.3651250887010193</v>
      </c>
      <c r="AP11" s="159">
        <f t="shared" si="26"/>
        <v>1.9308094942867859</v>
      </c>
      <c r="AQ11" s="159">
        <f t="shared" si="27"/>
        <v>2.6893214008938617</v>
      </c>
      <c r="AR11" s="159">
        <f t="shared" si="28"/>
        <v>5.916507081966496</v>
      </c>
      <c r="AS11" s="159">
        <f t="shared" si="29"/>
        <v>1.3446607004469309</v>
      </c>
      <c r="AT11" s="159">
        <f t="shared" si="30"/>
        <v>12.555624453495579</v>
      </c>
      <c r="AU11" s="159">
        <f t="shared" si="31"/>
        <v>1.7173584522822296</v>
      </c>
      <c r="AV11" s="159">
        <f t="shared" si="32"/>
        <v>3.013446742451487</v>
      </c>
      <c r="AW11" s="159">
        <f t="shared" si="33"/>
        <v>0.8586792261411148</v>
      </c>
      <c r="AX11" s="159">
        <f t="shared" si="34"/>
        <v>1.8825249806257032</v>
      </c>
      <c r="AY11" s="159">
        <f t="shared" si="35"/>
        <v>3.9841798531760917</v>
      </c>
      <c r="AZ11" s="159">
        <f t="shared" si="36"/>
        <v>0.94126249031285159</v>
      </c>
      <c r="BA11" s="159">
        <f t="shared" si="37"/>
        <v>13.300449632940232</v>
      </c>
      <c r="BB11" s="159">
        <f t="shared" si="38"/>
        <v>3.3422437571338777</v>
      </c>
      <c r="BC11" s="159">
        <f t="shared" si="39"/>
        <v>6.2384077477500659</v>
      </c>
      <c r="BD11" s="159">
        <f t="shared" si="40"/>
        <v>1.6711218785669388</v>
      </c>
      <c r="BE11" s="159">
        <f t="shared" si="41"/>
        <v>2.8984908431856065</v>
      </c>
      <c r="BF11" s="159">
        <f t="shared" si="42"/>
        <v>3.4662364722631995</v>
      </c>
      <c r="BG11" s="159">
        <f t="shared" si="43"/>
        <v>11.717696126620345</v>
      </c>
      <c r="BH11" s="159">
        <f t="shared" si="44"/>
        <v>13.482353057017196</v>
      </c>
      <c r="BI11" s="159">
        <f t="shared" si="45"/>
        <v>3.1837183615385944</v>
      </c>
      <c r="BJ11" s="159">
        <f t="shared" si="46"/>
        <v>4.8308180719760108</v>
      </c>
      <c r="BK11" s="159">
        <f t="shared" si="47"/>
        <v>2.6295587030962206</v>
      </c>
      <c r="BL11" s="159">
        <f t="shared" si="48"/>
        <v>5.0674713101502284</v>
      </c>
      <c r="BM11" s="159">
        <f t="shared" si="49"/>
        <v>13.584001312523096</v>
      </c>
      <c r="BN11" s="159">
        <f t="shared" si="50"/>
        <v>0.68694338091289175</v>
      </c>
      <c r="BO11" s="159">
        <f t="shared" si="51"/>
        <v>1.7928809339292411</v>
      </c>
      <c r="BP11" s="159">
        <f t="shared" si="52"/>
        <v>0.67731057503993564</v>
      </c>
      <c r="BQ11" s="159">
        <f t="shared" si="53"/>
        <v>4.0566371380467707</v>
      </c>
      <c r="BR11" s="159">
        <f t="shared" si="54"/>
        <v>20.016971561294469</v>
      </c>
      <c r="BS11" s="159">
        <f t="shared" si="55"/>
        <v>1.7834107004469308</v>
      </c>
      <c r="BT11" s="159">
        <f t="shared" si="56"/>
        <v>2.8287676957550247</v>
      </c>
      <c r="BU11" s="159">
        <f t="shared" si="57"/>
        <v>2.4303497104374157</v>
      </c>
      <c r="BV11" s="159">
        <f t="shared" si="58"/>
        <v>6.0517045829878056</v>
      </c>
      <c r="BW11" s="159">
        <f t="shared" si="59"/>
        <v>17.253658193297774</v>
      </c>
      <c r="BX11" s="159">
        <f t="shared" si="60"/>
        <v>1.5984644055857675</v>
      </c>
      <c r="BY11" s="159">
        <f t="shared" si="61"/>
        <v>2.8287676957550247</v>
      </c>
      <c r="BZ11" s="159">
        <f t="shared" si="62"/>
        <v>2.4303497104374157</v>
      </c>
      <c r="CA11" s="159">
        <f t="shared" si="63"/>
        <v>8.3925837183852874</v>
      </c>
      <c r="CB11" s="159">
        <f t="shared" si="64"/>
        <v>13.949242421481506</v>
      </c>
      <c r="CC11" s="159">
        <f t="shared" si="65"/>
        <v>1.9551465456751536</v>
      </c>
      <c r="CD11" s="159">
        <f t="shared" si="66"/>
        <v>5.3999825509737347</v>
      </c>
      <c r="CE11" s="159">
        <f t="shared" si="67"/>
        <v>7.7644452293970767</v>
      </c>
      <c r="CF11" s="159">
        <f t="shared" si="68"/>
        <v>11.986201286690697</v>
      </c>
      <c r="CG11" s="159">
        <f t="shared" si="69"/>
        <v>7.7644452293970767</v>
      </c>
      <c r="CH11" s="159">
        <f t="shared" si="70"/>
        <v>7.4810717879884301</v>
      </c>
      <c r="CI11" s="159">
        <f t="shared" si="71"/>
        <v>13.130105547495173</v>
      </c>
      <c r="CJ11" s="159">
        <f t="shared" si="72"/>
        <v>7.4810717879884301</v>
      </c>
      <c r="CK11" s="159">
        <f t="shared" si="73"/>
        <v>3.325112408235058</v>
      </c>
    </row>
    <row r="12" spans="1:89" x14ac:dyDescent="0.25">
      <c r="A12" t="str">
        <f>PLANTILLA!D14</f>
        <v>S. Zobbe</v>
      </c>
      <c r="B12" s="521">
        <f>PLANTILLA!E14</f>
        <v>27</v>
      </c>
      <c r="C12" s="521">
        <f ca="1">PLANTILLA!F14</f>
        <v>49</v>
      </c>
      <c r="D12" s="521" t="str">
        <f>PLANTILLA!G14</f>
        <v>CAB</v>
      </c>
      <c r="E12" s="317">
        <v>41911</v>
      </c>
      <c r="F12" s="371">
        <f>PLANTILLA!Q14</f>
        <v>4</v>
      </c>
      <c r="G12" s="439">
        <f t="shared" si="78"/>
        <v>0.7559289460184544</v>
      </c>
      <c r="H12" s="439">
        <f t="shared" si="75"/>
        <v>0.84430867747355465</v>
      </c>
      <c r="I12" s="530">
        <v>1.5</v>
      </c>
      <c r="J12" s="531">
        <f>PLANTILLA!I14</f>
        <v>8.6999999999999993</v>
      </c>
      <c r="K12" s="163">
        <f>PLANTILLA!X14</f>
        <v>0</v>
      </c>
      <c r="L12" s="163">
        <f>PLANTILLA!Y14</f>
        <v>8.1199999999999992</v>
      </c>
      <c r="M12" s="163">
        <f>PLANTILLA!Z14</f>
        <v>12.058412698412699</v>
      </c>
      <c r="N12" s="163">
        <f>PLANTILLA!AA14</f>
        <v>12.25</v>
      </c>
      <c r="O12" s="163">
        <f>PLANTILLA!AB14</f>
        <v>10.24</v>
      </c>
      <c r="P12" s="163">
        <f>PLANTILLA!AC14</f>
        <v>7.4766666666666666</v>
      </c>
      <c r="Q12" s="163">
        <f>PLANTILLA!AD14</f>
        <v>15.270000000000001</v>
      </c>
      <c r="R12" s="163">
        <f t="shared" si="2"/>
        <v>3.95</v>
      </c>
      <c r="S12" s="163">
        <f t="shared" si="3"/>
        <v>19.293216731049526</v>
      </c>
      <c r="T12" s="163">
        <f t="shared" si="4"/>
        <v>0.8319333333333333</v>
      </c>
      <c r="U12" s="163">
        <f t="shared" si="5"/>
        <v>0.78290000000000004</v>
      </c>
      <c r="V12" s="163">
        <f t="shared" ca="1" si="6"/>
        <v>13.24591034958164</v>
      </c>
      <c r="W12" s="163">
        <f t="shared" ca="1" si="7"/>
        <v>14.794561192680561</v>
      </c>
      <c r="X12" s="159">
        <f t="shared" si="8"/>
        <v>4.6442204100480717</v>
      </c>
      <c r="Y12" s="159">
        <f t="shared" si="9"/>
        <v>7.0047258068408471</v>
      </c>
      <c r="Z12" s="159">
        <f t="shared" si="10"/>
        <v>4.6442204100480717</v>
      </c>
      <c r="AA12" s="159">
        <f t="shared" si="11"/>
        <v>5.6103092458016084</v>
      </c>
      <c r="AB12" s="159">
        <f t="shared" si="12"/>
        <v>10.872692336824823</v>
      </c>
      <c r="AC12" s="159">
        <f t="shared" si="13"/>
        <v>2.8051546229008042</v>
      </c>
      <c r="AD12" s="159">
        <f t="shared" si="14"/>
        <v>3.5250429983865308</v>
      </c>
      <c r="AE12" s="159">
        <f t="shared" si="15"/>
        <v>4.1098777033197829</v>
      </c>
      <c r="AF12" s="159">
        <f t="shared" si="16"/>
        <v>7.8609565595243467</v>
      </c>
      <c r="AG12" s="159">
        <f t="shared" si="17"/>
        <v>2.0549388516598914</v>
      </c>
      <c r="AH12" s="159">
        <f t="shared" si="18"/>
        <v>5.7022754385664474</v>
      </c>
      <c r="AI12" s="159">
        <f t="shared" si="19"/>
        <v>10.002876949878837</v>
      </c>
      <c r="AJ12" s="159">
        <f t="shared" si="20"/>
        <v>4.5012946274454766</v>
      </c>
      <c r="AK12" s="159">
        <f t="shared" si="21"/>
        <v>2.4734545408846667</v>
      </c>
      <c r="AL12" s="159">
        <f t="shared" si="22"/>
        <v>8.8215830940529969</v>
      </c>
      <c r="AM12" s="159">
        <f t="shared" si="23"/>
        <v>8.1980100219659171</v>
      </c>
      <c r="AN12" s="159">
        <f t="shared" si="24"/>
        <v>7.6978661744719741</v>
      </c>
      <c r="AO12" s="159">
        <f t="shared" si="25"/>
        <v>3.0097896202497467</v>
      </c>
      <c r="AP12" s="159">
        <f t="shared" si="26"/>
        <v>1.9303753930055494</v>
      </c>
      <c r="AQ12" s="159">
        <f t="shared" si="27"/>
        <v>2.9356269309427026</v>
      </c>
      <c r="AR12" s="159">
        <f t="shared" si="28"/>
        <v>6.4583792480739444</v>
      </c>
      <c r="AS12" s="159">
        <f t="shared" si="29"/>
        <v>1.4678134654713513</v>
      </c>
      <c r="AT12" s="159">
        <f t="shared" si="30"/>
        <v>13.981683153264223</v>
      </c>
      <c r="AU12" s="159">
        <f t="shared" si="31"/>
        <v>1.6890500037872271</v>
      </c>
      <c r="AV12" s="159">
        <f t="shared" si="32"/>
        <v>3.3288021880230065</v>
      </c>
      <c r="AW12" s="159">
        <f t="shared" si="33"/>
        <v>0.84452500189361357</v>
      </c>
      <c r="AX12" s="159">
        <f t="shared" si="34"/>
        <v>2.0549388516598914</v>
      </c>
      <c r="AY12" s="159">
        <f t="shared" si="35"/>
        <v>4.3490769347299292</v>
      </c>
      <c r="AZ12" s="159">
        <f t="shared" si="36"/>
        <v>1.0274694258299457</v>
      </c>
      <c r="BA12" s="159">
        <f t="shared" si="37"/>
        <v>14.811105035237524</v>
      </c>
      <c r="BB12" s="159">
        <f t="shared" si="38"/>
        <v>3.2871511612166806</v>
      </c>
      <c r="BC12" s="159">
        <f t="shared" si="39"/>
        <v>6.5786734775904785</v>
      </c>
      <c r="BD12" s="159">
        <f t="shared" si="40"/>
        <v>1.6435755806083403</v>
      </c>
      <c r="BE12" s="159">
        <f t="shared" si="41"/>
        <v>3.1639534700160232</v>
      </c>
      <c r="BF12" s="159">
        <f t="shared" si="42"/>
        <v>3.7836969332150381</v>
      </c>
      <c r="BG12" s="159">
        <f t="shared" si="43"/>
        <v>13.048583536044259</v>
      </c>
      <c r="BH12" s="159">
        <f t="shared" si="44"/>
        <v>12.704243487437269</v>
      </c>
      <c r="BI12" s="159">
        <f t="shared" si="45"/>
        <v>3.1312388531747826</v>
      </c>
      <c r="BJ12" s="159">
        <f t="shared" si="46"/>
        <v>5.2732557833600389</v>
      </c>
      <c r="BK12" s="159">
        <f t="shared" si="47"/>
        <v>2.8703907769217536</v>
      </c>
      <c r="BL12" s="159">
        <f t="shared" si="48"/>
        <v>5.6430310184254973</v>
      </c>
      <c r="BM12" s="159">
        <f t="shared" si="49"/>
        <v>12.708343102384898</v>
      </c>
      <c r="BN12" s="159">
        <f t="shared" si="50"/>
        <v>0.67562000151489077</v>
      </c>
      <c r="BO12" s="159">
        <f t="shared" si="51"/>
        <v>1.957084620628468</v>
      </c>
      <c r="BP12" s="159">
        <f t="shared" si="52"/>
        <v>0.73934307890408801</v>
      </c>
      <c r="BQ12" s="159">
        <f t="shared" si="53"/>
        <v>4.5173870357474453</v>
      </c>
      <c r="BR12" s="159">
        <f t="shared" si="54"/>
        <v>18.718602345156725</v>
      </c>
      <c r="BS12" s="159">
        <f t="shared" si="55"/>
        <v>1.7540134654713513</v>
      </c>
      <c r="BT12" s="159">
        <f t="shared" si="56"/>
        <v>3.0878446236582495</v>
      </c>
      <c r="BU12" s="159">
        <f t="shared" si="57"/>
        <v>2.6529369301852568</v>
      </c>
      <c r="BV12" s="159">
        <f t="shared" si="58"/>
        <v>6.7390527910330738</v>
      </c>
      <c r="BW12" s="159">
        <f t="shared" si="59"/>
        <v>16.132543109201908</v>
      </c>
      <c r="BX12" s="159">
        <f t="shared" si="60"/>
        <v>1.5721157727558037</v>
      </c>
      <c r="BY12" s="159">
        <f t="shared" si="61"/>
        <v>3.0878446236582495</v>
      </c>
      <c r="BZ12" s="159">
        <f t="shared" si="62"/>
        <v>2.6529369301852568</v>
      </c>
      <c r="CA12" s="159">
        <f t="shared" si="63"/>
        <v>9.3458072772348775</v>
      </c>
      <c r="CB12" s="159">
        <f t="shared" si="64"/>
        <v>13.039479641458218</v>
      </c>
      <c r="CC12" s="159">
        <f t="shared" si="65"/>
        <v>1.9229184658500738</v>
      </c>
      <c r="CD12" s="159">
        <f t="shared" si="66"/>
        <v>6.0133086443064352</v>
      </c>
      <c r="CE12" s="159">
        <f t="shared" si="67"/>
        <v>6.7076893741524</v>
      </c>
      <c r="CF12" s="159">
        <f t="shared" si="68"/>
        <v>13.018748237931419</v>
      </c>
      <c r="CG12" s="159">
        <f t="shared" si="69"/>
        <v>6.7076893741524</v>
      </c>
      <c r="CH12" s="159">
        <f t="shared" si="70"/>
        <v>7.6901906591751992</v>
      </c>
      <c r="CI12" s="159">
        <f t="shared" si="71"/>
        <v>15.023662475779851</v>
      </c>
      <c r="CJ12" s="159">
        <f t="shared" si="72"/>
        <v>7.6901906591751992</v>
      </c>
      <c r="CK12" s="159">
        <f t="shared" si="73"/>
        <v>3.7027762588093811</v>
      </c>
    </row>
    <row r="13" spans="1:89" x14ac:dyDescent="0.25">
      <c r="A13" t="str">
        <f>PLANTILLA!D15</f>
        <v>S. Buschelman</v>
      </c>
      <c r="B13" s="521">
        <f>PLANTILLA!E15</f>
        <v>29</v>
      </c>
      <c r="C13" s="521">
        <f ca="1">PLANTILLA!F15</f>
        <v>46</v>
      </c>
      <c r="D13" s="521" t="str">
        <f>PLANTILLA!G15</f>
        <v>TEC</v>
      </c>
      <c r="E13" s="317">
        <v>41747</v>
      </c>
      <c r="F13" s="371">
        <f>PLANTILLA!Q15</f>
        <v>6</v>
      </c>
      <c r="G13" s="439">
        <f t="shared" si="78"/>
        <v>0.92582009977255142</v>
      </c>
      <c r="H13" s="439">
        <f t="shared" si="75"/>
        <v>0.99928545900129484</v>
      </c>
      <c r="I13" s="530">
        <v>1.5</v>
      </c>
      <c r="J13" s="531">
        <f>PLANTILLA!I15</f>
        <v>10.4</v>
      </c>
      <c r="K13" s="163">
        <f>PLANTILLA!X15</f>
        <v>0</v>
      </c>
      <c r="L13" s="163">
        <f>PLANTILLA!Y15</f>
        <v>9.1936666666666653</v>
      </c>
      <c r="M13" s="163">
        <f>PLANTILLA!Z15</f>
        <v>13.679999999999998</v>
      </c>
      <c r="N13" s="163">
        <f>PLANTILLA!AA15</f>
        <v>12.835000000000001</v>
      </c>
      <c r="O13" s="163">
        <f>PLANTILLA!AB15</f>
        <v>9.6733333333333356</v>
      </c>
      <c r="P13" s="163">
        <f>PLANTILLA!AC15</f>
        <v>5.0296666666666656</v>
      </c>
      <c r="Q13" s="163">
        <f>PLANTILLA!AD15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3.9355785796708123</v>
      </c>
      <c r="AE13" s="159">
        <f t="shared" si="15"/>
        <v>4.5547908030065845</v>
      </c>
      <c r="AF13" s="159">
        <f t="shared" si="16"/>
        <v>8.7119411390840238</v>
      </c>
      <c r="AG13" s="159">
        <f t="shared" si="17"/>
        <v>2.2773954015032922</v>
      </c>
      <c r="AH13" s="159">
        <f t="shared" si="18"/>
        <v>6.3663771141733729</v>
      </c>
      <c r="AI13" s="159">
        <f t="shared" si="19"/>
        <v>11.085734229539836</v>
      </c>
      <c r="AJ13" s="159">
        <f t="shared" si="20"/>
        <v>4.988580403292926</v>
      </c>
      <c r="AK13" s="159">
        <f t="shared" si="21"/>
        <v>2.7615194235505283</v>
      </c>
      <c r="AL13" s="159">
        <f t="shared" si="22"/>
        <v>9.2263341380102428</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15.610025963064063</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16.536044452398372</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14.568255162562965</v>
      </c>
      <c r="BH13" s="159">
        <f t="shared" si="44"/>
        <v>12.953413518182156</v>
      </c>
      <c r="BI13" s="159">
        <f t="shared" si="45"/>
        <v>3.0195800463613418</v>
      </c>
      <c r="BJ13" s="159">
        <f t="shared" si="46"/>
        <v>5.8441098927465438</v>
      </c>
      <c r="BK13" s="159">
        <f t="shared" si="47"/>
        <v>3.1811237354331703</v>
      </c>
      <c r="BL13" s="159">
        <f t="shared" si="48"/>
        <v>6.3002329363637797</v>
      </c>
      <c r="BM13" s="159">
        <f t="shared" si="49"/>
        <v>13.07847785139618</v>
      </c>
      <c r="BN13" s="159">
        <f t="shared" si="50"/>
        <v>0.65152764485804882</v>
      </c>
      <c r="BO13" s="159">
        <f t="shared" si="51"/>
        <v>2.1689480014317071</v>
      </c>
      <c r="BP13" s="159">
        <f t="shared" si="52"/>
        <v>0.81938035609642268</v>
      </c>
      <c r="BQ13" s="159">
        <f t="shared" si="53"/>
        <v>5.0434935579815035</v>
      </c>
      <c r="BR13" s="159">
        <f t="shared" si="54"/>
        <v>19.274446499117644</v>
      </c>
      <c r="BS13" s="159">
        <f t="shared" si="55"/>
        <v>1.6914660010737808</v>
      </c>
      <c r="BT13" s="159">
        <f t="shared" si="56"/>
        <v>3.4221179578144709</v>
      </c>
      <c r="BU13" s="159">
        <f t="shared" si="57"/>
        <v>2.9401295130518696</v>
      </c>
      <c r="BV13" s="159">
        <f t="shared" si="58"/>
        <v>7.5239002258412597</v>
      </c>
      <c r="BW13" s="159">
        <f t="shared" si="59"/>
        <v>16.614230586590732</v>
      </c>
      <c r="BX13" s="159">
        <f t="shared" si="60"/>
        <v>1.5160547120735368</v>
      </c>
      <c r="BY13" s="159">
        <f t="shared" si="61"/>
        <v>3.4221179578144709</v>
      </c>
      <c r="BZ13" s="159">
        <f t="shared" si="62"/>
        <v>2.9401295130518696</v>
      </c>
      <c r="CA13" s="159">
        <f t="shared" si="63"/>
        <v>10.434244049463372</v>
      </c>
      <c r="CB13" s="159">
        <f t="shared" si="64"/>
        <v>13.433283118229879</v>
      </c>
      <c r="CC13" s="159">
        <f t="shared" si="65"/>
        <v>1.8543479122882929</v>
      </c>
      <c r="CD13" s="159">
        <f t="shared" si="66"/>
        <v>6.7136340476737395</v>
      </c>
      <c r="CE13" s="159">
        <f t="shared" si="67"/>
        <v>7.4146603825580897</v>
      </c>
      <c r="CF13" s="159">
        <f t="shared" si="68"/>
        <v>11.400821720067237</v>
      </c>
      <c r="CG13" s="159">
        <f t="shared" si="69"/>
        <v>7.4146603825580897</v>
      </c>
      <c r="CH13" s="159">
        <f t="shared" si="70"/>
        <v>7.1671773605108537</v>
      </c>
      <c r="CI13" s="159">
        <f t="shared" si="71"/>
        <v>12.509051522000039</v>
      </c>
      <c r="CJ13" s="159">
        <f t="shared" si="72"/>
        <v>7.1671773605108537</v>
      </c>
      <c r="CK13" s="159">
        <f t="shared" si="73"/>
        <v>4.1340111130995929</v>
      </c>
    </row>
    <row r="14" spans="1:89" x14ac:dyDescent="0.25">
      <c r="A14" t="str">
        <f>PLANTILLA!D16</f>
        <v>C. Rojas</v>
      </c>
      <c r="B14" s="521">
        <f>PLANTILLA!E16</f>
        <v>31</v>
      </c>
      <c r="C14" s="521">
        <f ca="1">PLANTILLA!F16</f>
        <v>80</v>
      </c>
      <c r="D14" s="521" t="str">
        <f>PLANTILLA!G16</f>
        <v>TEC</v>
      </c>
      <c r="E14" s="317">
        <v>41653</v>
      </c>
      <c r="F14" s="371">
        <f>PLANTILLA!Q16</f>
        <v>5</v>
      </c>
      <c r="G14" s="439">
        <f t="shared" si="78"/>
        <v>0.84515425472851657</v>
      </c>
      <c r="H14" s="439">
        <f t="shared" si="75"/>
        <v>0.92504826128926143</v>
      </c>
      <c r="I14" s="530">
        <v>1.5</v>
      </c>
      <c r="J14" s="531">
        <f>PLANTILLA!I16</f>
        <v>11</v>
      </c>
      <c r="K14" s="163">
        <f>PLANTILLA!X16</f>
        <v>0</v>
      </c>
      <c r="L14" s="163">
        <f>PLANTILLA!Y16</f>
        <v>8.6075555555555585</v>
      </c>
      <c r="M14" s="163">
        <f>PLANTILLA!Z16</f>
        <v>14.190398412698405</v>
      </c>
      <c r="N14" s="163">
        <f>PLANTILLA!AA16</f>
        <v>9.99</v>
      </c>
      <c r="O14" s="163">
        <f>PLANTILLA!AB16</f>
        <v>10.09</v>
      </c>
      <c r="P14" s="163">
        <f>PLANTILLA!AC16</f>
        <v>4.3999999999999995</v>
      </c>
      <c r="Q14" s="163">
        <f>PLANTILLA!AD16</f>
        <v>16.544444444444441</v>
      </c>
      <c r="R14" s="163">
        <f t="shared" si="2"/>
        <v>3.9734444444444446</v>
      </c>
      <c r="S14" s="163">
        <f t="shared" si="3"/>
        <v>15.187081556710682</v>
      </c>
      <c r="T14" s="163">
        <f t="shared" si="4"/>
        <v>0.71633333333333327</v>
      </c>
      <c r="U14" s="163">
        <f t="shared" si="5"/>
        <v>0.84063555555555569</v>
      </c>
      <c r="V14" s="163">
        <f t="shared" ca="1" si="6"/>
        <v>16.001278480676476</v>
      </c>
      <c r="W14" s="163">
        <f t="shared" ca="1" si="7"/>
        <v>17.513909152252669</v>
      </c>
      <c r="X14" s="159">
        <f t="shared" si="8"/>
        <v>4.8973664188575086</v>
      </c>
      <c r="Y14" s="159">
        <f t="shared" si="9"/>
        <v>7.38729505316347</v>
      </c>
      <c r="Z14" s="159">
        <f t="shared" si="10"/>
        <v>4.8973664188575086</v>
      </c>
      <c r="AA14" s="159">
        <f t="shared" si="11"/>
        <v>5.9319768340555274</v>
      </c>
      <c r="AB14" s="159">
        <f t="shared" si="12"/>
        <v>11.496079135766525</v>
      </c>
      <c r="AC14" s="159">
        <f t="shared" si="13"/>
        <v>2.9659884170277637</v>
      </c>
      <c r="AD14" s="159">
        <f t="shared" si="14"/>
        <v>4.0647834343124307</v>
      </c>
      <c r="AE14" s="159">
        <f t="shared" si="15"/>
        <v>4.3455179133197461</v>
      </c>
      <c r="AF14" s="159">
        <f t="shared" si="16"/>
        <v>8.3116652151591968</v>
      </c>
      <c r="AG14" s="159">
        <f t="shared" si="17"/>
        <v>2.1727589566598731</v>
      </c>
      <c r="AH14" s="159">
        <f t="shared" si="18"/>
        <v>6.5753849672701081</v>
      </c>
      <c r="AI14" s="159">
        <f t="shared" si="19"/>
        <v>10.576392804905204</v>
      </c>
      <c r="AJ14" s="159">
        <f t="shared" si="20"/>
        <v>4.7593767622073413</v>
      </c>
      <c r="AK14" s="159">
        <f t="shared" si="21"/>
        <v>2.8521799728158652</v>
      </c>
      <c r="AL14" s="159">
        <f t="shared" si="22"/>
        <v>7.5725718651640479</v>
      </c>
      <c r="AM14" s="159">
        <f t="shared" si="23"/>
        <v>8.6680436683679591</v>
      </c>
      <c r="AN14" s="159">
        <f t="shared" si="24"/>
        <v>8.1392240281226993</v>
      </c>
      <c r="AO14" s="159">
        <f t="shared" si="25"/>
        <v>3.2453056601174537</v>
      </c>
      <c r="AP14" s="159">
        <f t="shared" si="26"/>
        <v>1.9762467911007582</v>
      </c>
      <c r="AQ14" s="159">
        <f t="shared" si="27"/>
        <v>3.103941366656962</v>
      </c>
      <c r="AR14" s="159">
        <f t="shared" si="28"/>
        <v>6.8286710066453153</v>
      </c>
      <c r="AS14" s="159">
        <f t="shared" si="29"/>
        <v>1.551970683328481</v>
      </c>
      <c r="AT14" s="159">
        <f t="shared" si="30"/>
        <v>16.122502361306445</v>
      </c>
      <c r="AU14" s="159">
        <f t="shared" si="31"/>
        <v>1.6872080654274257</v>
      </c>
      <c r="AV14" s="159">
        <f t="shared" si="32"/>
        <v>2.818337409001813</v>
      </c>
      <c r="AW14" s="159">
        <f t="shared" si="33"/>
        <v>0.84360403271371287</v>
      </c>
      <c r="AX14" s="159">
        <f t="shared" si="34"/>
        <v>2.1727589566598731</v>
      </c>
      <c r="AY14" s="159">
        <f t="shared" si="35"/>
        <v>4.5984316543066104</v>
      </c>
      <c r="AZ14" s="159">
        <f t="shared" si="36"/>
        <v>1.0863794783299365</v>
      </c>
      <c r="BA14" s="159">
        <f t="shared" si="37"/>
        <v>17.078921992909372</v>
      </c>
      <c r="BB14" s="159">
        <f t="shared" si="38"/>
        <v>3.2835664657933745</v>
      </c>
      <c r="BC14" s="159">
        <f t="shared" si="39"/>
        <v>5.9562664926962432</v>
      </c>
      <c r="BD14" s="159">
        <f t="shared" si="40"/>
        <v>1.6417832328966873</v>
      </c>
      <c r="BE14" s="159">
        <f t="shared" si="41"/>
        <v>3.3453590285080588</v>
      </c>
      <c r="BF14" s="159">
        <f t="shared" si="42"/>
        <v>4.0006355392467503</v>
      </c>
      <c r="BG14" s="159">
        <f t="shared" si="43"/>
        <v>15.046530275753156</v>
      </c>
      <c r="BH14" s="159">
        <f t="shared" si="44"/>
        <v>11.480507462807548</v>
      </c>
      <c r="BI14" s="159">
        <f t="shared" si="45"/>
        <v>3.1278241828308428</v>
      </c>
      <c r="BJ14" s="159">
        <f t="shared" si="46"/>
        <v>5.5755983808467642</v>
      </c>
      <c r="BK14" s="159">
        <f t="shared" si="47"/>
        <v>3.0349648918423626</v>
      </c>
      <c r="BL14" s="159">
        <f t="shared" si="48"/>
        <v>6.507069279298471</v>
      </c>
      <c r="BM14" s="159">
        <f t="shared" si="49"/>
        <v>11.275929609104386</v>
      </c>
      <c r="BN14" s="159">
        <f t="shared" si="50"/>
        <v>0.67488322617097019</v>
      </c>
      <c r="BO14" s="159">
        <f t="shared" si="51"/>
        <v>2.0692942444379745</v>
      </c>
      <c r="BP14" s="159">
        <f t="shared" si="52"/>
        <v>0.78173338123212377</v>
      </c>
      <c r="BQ14" s="159">
        <f t="shared" si="53"/>
        <v>5.2090712078373587</v>
      </c>
      <c r="BR14" s="159">
        <f t="shared" si="54"/>
        <v>16.590381324151302</v>
      </c>
      <c r="BS14" s="159">
        <f t="shared" si="55"/>
        <v>1.7521006833284807</v>
      </c>
      <c r="BT14" s="159">
        <f t="shared" si="56"/>
        <v>3.2648864745576929</v>
      </c>
      <c r="BU14" s="159">
        <f t="shared" si="57"/>
        <v>2.8050433091270319</v>
      </c>
      <c r="BV14" s="159">
        <f t="shared" si="58"/>
        <v>7.7709095067737648</v>
      </c>
      <c r="BW14" s="159">
        <f t="shared" si="59"/>
        <v>14.293804126873752</v>
      </c>
      <c r="BX14" s="159">
        <f t="shared" si="60"/>
        <v>1.570401353205527</v>
      </c>
      <c r="BY14" s="159">
        <f t="shared" si="61"/>
        <v>3.2648864745576929</v>
      </c>
      <c r="BZ14" s="159">
        <f t="shared" si="62"/>
        <v>2.8050433091270319</v>
      </c>
      <c r="CA14" s="159">
        <f t="shared" si="63"/>
        <v>10.776799777525813</v>
      </c>
      <c r="CB14" s="159">
        <f t="shared" si="64"/>
        <v>11.545578604288814</v>
      </c>
      <c r="CC14" s="159">
        <f t="shared" si="65"/>
        <v>1.920821489871223</v>
      </c>
      <c r="CD14" s="159">
        <f t="shared" si="66"/>
        <v>6.9340423291212057</v>
      </c>
      <c r="CE14" s="159">
        <f t="shared" si="67"/>
        <v>7.0624626717067915</v>
      </c>
      <c r="CF14" s="159">
        <f t="shared" si="68"/>
        <v>11.296547551317548</v>
      </c>
      <c r="CG14" s="159">
        <f t="shared" si="69"/>
        <v>7.0624626717067915</v>
      </c>
      <c r="CH14" s="159">
        <f t="shared" si="70"/>
        <v>6.454120190471432</v>
      </c>
      <c r="CI14" s="159">
        <f t="shared" si="71"/>
        <v>12.077598781308811</v>
      </c>
      <c r="CJ14" s="159">
        <f t="shared" si="72"/>
        <v>6.454120190471432</v>
      </c>
      <c r="CK14" s="159">
        <f t="shared" si="73"/>
        <v>4.269730498227343</v>
      </c>
    </row>
    <row r="15" spans="1:89" x14ac:dyDescent="0.25">
      <c r="A15" t="str">
        <f>PLANTILLA!D17</f>
        <v>E. Gross</v>
      </c>
      <c r="B15" s="521">
        <f>PLANTILLA!E17</f>
        <v>30</v>
      </c>
      <c r="C15" s="521">
        <f ca="1">PLANTILLA!F17</f>
        <v>74</v>
      </c>
      <c r="D15" s="521"/>
      <c r="E15" s="317">
        <v>41552</v>
      </c>
      <c r="F15" s="371">
        <f>PLANTILLA!Q17</f>
        <v>6</v>
      </c>
      <c r="G15" s="439">
        <f t="shared" si="78"/>
        <v>0.92582009977255142</v>
      </c>
      <c r="H15" s="439">
        <f t="shared" si="75"/>
        <v>0.99928545900129484</v>
      </c>
      <c r="I15" s="530">
        <v>1.5</v>
      </c>
      <c r="J15" s="531">
        <f>PLANTILLA!I17</f>
        <v>9.1</v>
      </c>
      <c r="K15" s="163">
        <f>PLANTILLA!X17</f>
        <v>0</v>
      </c>
      <c r="L15" s="163">
        <f>PLANTILLA!Y17</f>
        <v>10.349999999999996</v>
      </c>
      <c r="M15" s="163">
        <f>PLANTILLA!Z17</f>
        <v>12.859777777777778</v>
      </c>
      <c r="N15" s="163">
        <f>PLANTILLA!AA17</f>
        <v>5.1299999999999981</v>
      </c>
      <c r="O15" s="163">
        <f>PLANTILLA!AB17</f>
        <v>9.24</v>
      </c>
      <c r="P15" s="163">
        <f>PLANTILLA!AC17</f>
        <v>2.98</v>
      </c>
      <c r="Q15" s="163">
        <f>PLANTILLA!AD17</f>
        <v>16.959999999999997</v>
      </c>
      <c r="R15" s="163">
        <f t="shared" si="2"/>
        <v>3.9787499999999998</v>
      </c>
      <c r="S15" s="163">
        <f t="shared" si="3"/>
        <v>12.815775302706152</v>
      </c>
      <c r="T15" s="163">
        <f t="shared" si="4"/>
        <v>0.65779999999999994</v>
      </c>
      <c r="U15" s="163">
        <f t="shared" si="5"/>
        <v>0.92279999999999984</v>
      </c>
      <c r="V15" s="163">
        <f t="shared" ca="1" si="6"/>
        <v>17.811595388614649</v>
      </c>
      <c r="W15" s="163">
        <f t="shared" ca="1" si="7"/>
        <v>19.224975000899018</v>
      </c>
      <c r="X15" s="159">
        <f t="shared" si="8"/>
        <v>5.282424180661752</v>
      </c>
      <c r="Y15" s="159">
        <f t="shared" si="9"/>
        <v>7.9860799166487073</v>
      </c>
      <c r="Z15" s="159">
        <f t="shared" si="10"/>
        <v>5.282424180661752</v>
      </c>
      <c r="AA15" s="159">
        <f t="shared" si="11"/>
        <v>6.7744204779169097</v>
      </c>
      <c r="AB15" s="159">
        <f t="shared" si="12"/>
        <v>13.12872185642812</v>
      </c>
      <c r="AC15" s="159">
        <f t="shared" si="13"/>
        <v>3.3872102389584549</v>
      </c>
      <c r="AD15" s="159">
        <f t="shared" si="14"/>
        <v>3.7219629129410046</v>
      </c>
      <c r="AE15" s="159">
        <f t="shared" si="15"/>
        <v>4.9626568617298297</v>
      </c>
      <c r="AF15" s="159">
        <f t="shared" si="16"/>
        <v>9.4920659021975311</v>
      </c>
      <c r="AG15" s="159">
        <f t="shared" si="17"/>
        <v>2.4813284308649148</v>
      </c>
      <c r="AH15" s="159">
        <f t="shared" si="18"/>
        <v>6.020822359169272</v>
      </c>
      <c r="AI15" s="159">
        <f t="shared" si="19"/>
        <v>12.078424107913872</v>
      </c>
      <c r="AJ15" s="159">
        <f t="shared" si="20"/>
        <v>5.435290848561241</v>
      </c>
      <c r="AK15" s="159">
        <f t="shared" si="21"/>
        <v>2.6116294389123857</v>
      </c>
      <c r="AL15" s="159">
        <f t="shared" si="22"/>
        <v>4.6503284515797363</v>
      </c>
      <c r="AM15" s="159">
        <f t="shared" si="23"/>
        <v>9.8990562797468034</v>
      </c>
      <c r="AN15" s="159">
        <f t="shared" si="24"/>
        <v>9.2951350743511085</v>
      </c>
      <c r="AO15" s="159">
        <f t="shared" si="25"/>
        <v>3.2963665500234964</v>
      </c>
      <c r="AP15" s="159">
        <f t="shared" si="26"/>
        <v>1.9461518946512997</v>
      </c>
      <c r="AQ15" s="159">
        <f t="shared" si="27"/>
        <v>3.5447549012355926</v>
      </c>
      <c r="AR15" s="159">
        <f t="shared" si="28"/>
        <v>7.798460782718303</v>
      </c>
      <c r="AS15" s="159">
        <f t="shared" si="29"/>
        <v>1.7723774506177963</v>
      </c>
      <c r="AT15" s="159">
        <f t="shared" si="30"/>
        <v>14.76274365469037</v>
      </c>
      <c r="AU15" s="159">
        <f t="shared" si="31"/>
        <v>1.5624338413356562</v>
      </c>
      <c r="AV15" s="159">
        <f t="shared" si="32"/>
        <v>2.4385055039334405</v>
      </c>
      <c r="AW15" s="159">
        <f t="shared" si="33"/>
        <v>0.78121692066782811</v>
      </c>
      <c r="AX15" s="159">
        <f t="shared" si="34"/>
        <v>2.4813284308649148</v>
      </c>
      <c r="AY15" s="159">
        <f t="shared" si="35"/>
        <v>5.2514887425712482</v>
      </c>
      <c r="AZ15" s="159">
        <f t="shared" si="36"/>
        <v>1.2406642154324574</v>
      </c>
      <c r="BA15" s="159">
        <f t="shared" si="37"/>
        <v>15.638499634205902</v>
      </c>
      <c r="BB15" s="159">
        <f t="shared" si="38"/>
        <v>3.0407366296763154</v>
      </c>
      <c r="BC15" s="159">
        <f t="shared" si="39"/>
        <v>5.3077157428918973</v>
      </c>
      <c r="BD15" s="159">
        <f t="shared" si="40"/>
        <v>1.5203683148381577</v>
      </c>
      <c r="BE15" s="159">
        <f t="shared" si="41"/>
        <v>3.8204580602205827</v>
      </c>
      <c r="BF15" s="159">
        <f t="shared" si="42"/>
        <v>4.5687952060369854</v>
      </c>
      <c r="BG15" s="159">
        <f t="shared" si="43"/>
        <v>13.777518177735399</v>
      </c>
      <c r="BH15" s="159">
        <f t="shared" si="44"/>
        <v>8.325503730364602</v>
      </c>
      <c r="BI15" s="159">
        <f t="shared" si="45"/>
        <v>2.8965119673991779</v>
      </c>
      <c r="BJ15" s="159">
        <f t="shared" si="46"/>
        <v>6.3674301003676383</v>
      </c>
      <c r="BK15" s="159">
        <f t="shared" si="47"/>
        <v>3.4659825700970237</v>
      </c>
      <c r="BL15" s="159">
        <f t="shared" si="48"/>
        <v>5.9582683606324487</v>
      </c>
      <c r="BM15" s="159">
        <f t="shared" si="49"/>
        <v>7.73833290251818</v>
      </c>
      <c r="BN15" s="159">
        <f t="shared" si="50"/>
        <v>0.62497353653426246</v>
      </c>
      <c r="BO15" s="159">
        <f t="shared" si="51"/>
        <v>2.3631699341570616</v>
      </c>
      <c r="BP15" s="159">
        <f t="shared" si="52"/>
        <v>0.89275308623711225</v>
      </c>
      <c r="BQ15" s="159">
        <f t="shared" si="53"/>
        <v>4.7697423884327996</v>
      </c>
      <c r="BR15" s="159">
        <f t="shared" si="54"/>
        <v>11.346076307366566</v>
      </c>
      <c r="BS15" s="159">
        <f t="shared" si="55"/>
        <v>1.6225274506177969</v>
      </c>
      <c r="BT15" s="159">
        <f t="shared" si="56"/>
        <v>3.7285570072255858</v>
      </c>
      <c r="BU15" s="159">
        <f t="shared" si="57"/>
        <v>3.2034081329684612</v>
      </c>
      <c r="BV15" s="159">
        <f t="shared" si="58"/>
        <v>7.1155173335636857</v>
      </c>
      <c r="BW15" s="159">
        <f t="shared" si="59"/>
        <v>9.7657038169223611</v>
      </c>
      <c r="BX15" s="159">
        <f t="shared" si="60"/>
        <v>1.4542653446278029</v>
      </c>
      <c r="BY15" s="159">
        <f t="shared" si="61"/>
        <v>3.7285570072255858</v>
      </c>
      <c r="BZ15" s="159">
        <f t="shared" si="62"/>
        <v>3.2034081329684612</v>
      </c>
      <c r="CA15" s="159">
        <f t="shared" si="63"/>
        <v>9.8678932691839236</v>
      </c>
      <c r="CB15" s="159">
        <f t="shared" si="64"/>
        <v>7.8715360615031704</v>
      </c>
      <c r="CC15" s="159">
        <f t="shared" si="65"/>
        <v>1.7787708347513622</v>
      </c>
      <c r="CD15" s="159">
        <f t="shared" si="66"/>
        <v>6.3492308514875964</v>
      </c>
      <c r="CE15" s="159">
        <f t="shared" si="67"/>
        <v>4.8748940871990527</v>
      </c>
      <c r="CF15" s="159">
        <f t="shared" si="68"/>
        <v>9.8835008103380684</v>
      </c>
      <c r="CG15" s="159">
        <f t="shared" si="69"/>
        <v>4.8748940871990527</v>
      </c>
      <c r="CH15" s="159">
        <f t="shared" si="70"/>
        <v>4.8217537165547206</v>
      </c>
      <c r="CI15" s="159">
        <f t="shared" si="71"/>
        <v>10.193630221450103</v>
      </c>
      <c r="CJ15" s="159">
        <f t="shared" si="72"/>
        <v>4.8217537165547206</v>
      </c>
      <c r="CK15" s="159">
        <f t="shared" si="73"/>
        <v>3.9096249085514754</v>
      </c>
    </row>
    <row r="16" spans="1:89" x14ac:dyDescent="0.25">
      <c r="A16" t="str">
        <f>PLANTILLA!D18</f>
        <v>L. Bauman</v>
      </c>
      <c r="B16" s="521">
        <f>PLANTILLA!E18</f>
        <v>30</v>
      </c>
      <c r="C16" s="521">
        <f ca="1">PLANTILLA!F18</f>
        <v>49</v>
      </c>
      <c r="D16" s="521"/>
      <c r="E16" s="317">
        <v>41686</v>
      </c>
      <c r="F16" s="371">
        <f>PLANTILLA!Q18</f>
        <v>7</v>
      </c>
      <c r="G16" s="439">
        <f t="shared" si="78"/>
        <v>1</v>
      </c>
      <c r="H16" s="439">
        <f t="shared" si="75"/>
        <v>1</v>
      </c>
      <c r="I16" s="530">
        <v>1.5</v>
      </c>
      <c r="J16" s="531">
        <f>PLANTILLA!I18</f>
        <v>8.1</v>
      </c>
      <c r="K16" s="163">
        <f>PLANTILLA!X18</f>
        <v>0</v>
      </c>
      <c r="L16" s="163">
        <f>PLANTILLA!Y18</f>
        <v>5.2811111111111115</v>
      </c>
      <c r="M16" s="163">
        <f>PLANTILLA!Z18</f>
        <v>14.283789947089938</v>
      </c>
      <c r="N16" s="163">
        <f>PLANTILLA!AA18</f>
        <v>3.5124999999999993</v>
      </c>
      <c r="O16" s="163">
        <f>PLANTILLA!AB18</f>
        <v>9.1400000000000041</v>
      </c>
      <c r="P16" s="163">
        <f>PLANTILLA!AC18</f>
        <v>7.4318888888888894</v>
      </c>
      <c r="Q16" s="163">
        <f>PLANTILLA!AD18</f>
        <v>16.07</v>
      </c>
      <c r="R16" s="163">
        <f t="shared" si="2"/>
        <v>3.3201388888888901</v>
      </c>
      <c r="S16" s="163">
        <f t="shared" si="3"/>
        <v>19.567438077851307</v>
      </c>
      <c r="T16" s="163">
        <f t="shared" si="4"/>
        <v>0.85369444444444442</v>
      </c>
      <c r="U16" s="163">
        <f t="shared" si="5"/>
        <v>0.69334444444444443</v>
      </c>
      <c r="V16" s="163">
        <f t="shared" ca="1" si="6"/>
        <v>18.281313358504867</v>
      </c>
      <c r="W16" s="163">
        <f t="shared" ca="1" si="7"/>
        <v>18.281313358504867</v>
      </c>
      <c r="X16" s="159">
        <f t="shared" si="8"/>
        <v>3.8245632286414155</v>
      </c>
      <c r="Y16" s="159">
        <f t="shared" si="9"/>
        <v>5.7447777680520051</v>
      </c>
      <c r="Z16" s="159">
        <f t="shared" si="10"/>
        <v>3.8245632286414155</v>
      </c>
      <c r="AA16" s="159">
        <f t="shared" si="11"/>
        <v>4.1240910263218451</v>
      </c>
      <c r="AB16" s="159">
        <f t="shared" si="12"/>
        <v>7.9924244696159779</v>
      </c>
      <c r="AC16" s="159">
        <f t="shared" si="13"/>
        <v>2.0620455131609225</v>
      </c>
      <c r="AD16" s="159">
        <f t="shared" si="14"/>
        <v>4.0448345867315627</v>
      </c>
      <c r="AE16" s="159">
        <f t="shared" si="15"/>
        <v>3.0211364495148398</v>
      </c>
      <c r="AF16" s="159">
        <f t="shared" si="16"/>
        <v>5.7785228915323517</v>
      </c>
      <c r="AG16" s="159">
        <f t="shared" si="17"/>
        <v>1.5105682247574199</v>
      </c>
      <c r="AH16" s="159">
        <f t="shared" si="18"/>
        <v>6.5431147726539995</v>
      </c>
      <c r="AI16" s="159">
        <f t="shared" si="19"/>
        <v>7.3530305120466997</v>
      </c>
      <c r="AJ16" s="159">
        <f t="shared" si="20"/>
        <v>3.3088637304210144</v>
      </c>
      <c r="AK16" s="159">
        <f t="shared" si="21"/>
        <v>2.8381822520343323</v>
      </c>
      <c r="AL16" s="159">
        <f t="shared" si="22"/>
        <v>3.6596022548008609</v>
      </c>
      <c r="AM16" s="159">
        <f t="shared" si="23"/>
        <v>6.0262880500904474</v>
      </c>
      <c r="AN16" s="159">
        <f t="shared" si="24"/>
        <v>5.6586365244881121</v>
      </c>
      <c r="AO16" s="159">
        <f t="shared" si="25"/>
        <v>3.1364793308703129</v>
      </c>
      <c r="AP16" s="159">
        <f t="shared" si="26"/>
        <v>1.7370582472494016</v>
      </c>
      <c r="AQ16" s="159">
        <f t="shared" si="27"/>
        <v>2.1579546067963142</v>
      </c>
      <c r="AR16" s="159">
        <f t="shared" si="28"/>
        <v>4.747500134951891</v>
      </c>
      <c r="AS16" s="159">
        <f t="shared" si="29"/>
        <v>1.0789773033981571</v>
      </c>
      <c r="AT16" s="159">
        <f t="shared" si="30"/>
        <v>16.043377520481492</v>
      </c>
      <c r="AU16" s="159">
        <f t="shared" si="31"/>
        <v>1.5406707366056334</v>
      </c>
      <c r="AV16" s="159">
        <f t="shared" si="32"/>
        <v>3.1769315918197041</v>
      </c>
      <c r="AW16" s="159">
        <f t="shared" si="33"/>
        <v>0.77033536830281668</v>
      </c>
      <c r="AX16" s="159">
        <f t="shared" si="34"/>
        <v>1.5105682247574199</v>
      </c>
      <c r="AY16" s="159">
        <f t="shared" si="35"/>
        <v>3.1969697878463914</v>
      </c>
      <c r="AZ16" s="159">
        <f t="shared" si="36"/>
        <v>0.75528411237870996</v>
      </c>
      <c r="BA16" s="159">
        <f t="shared" si="37"/>
        <v>16.995103305594803</v>
      </c>
      <c r="BB16" s="159">
        <f t="shared" si="38"/>
        <v>2.9983822797017323</v>
      </c>
      <c r="BC16" s="159">
        <f t="shared" si="39"/>
        <v>6.1713703272028502</v>
      </c>
      <c r="BD16" s="159">
        <f t="shared" si="40"/>
        <v>1.4991911398508662</v>
      </c>
      <c r="BE16" s="159">
        <f t="shared" si="41"/>
        <v>2.3257955206582492</v>
      </c>
      <c r="BF16" s="159">
        <f t="shared" si="42"/>
        <v>2.7813637154263602</v>
      </c>
      <c r="BG16" s="159">
        <f t="shared" si="43"/>
        <v>14.972686012229021</v>
      </c>
      <c r="BH16" s="159">
        <f t="shared" si="44"/>
        <v>7.3056325757108267</v>
      </c>
      <c r="BI16" s="159">
        <f t="shared" si="45"/>
        <v>2.8561665193996739</v>
      </c>
      <c r="BJ16" s="159">
        <f t="shared" si="46"/>
        <v>3.8763258677637493</v>
      </c>
      <c r="BK16" s="159">
        <f t="shared" si="47"/>
        <v>2.1100000599786184</v>
      </c>
      <c r="BL16" s="159">
        <f t="shared" si="48"/>
        <v>6.4751343594316202</v>
      </c>
      <c r="BM16" s="159">
        <f t="shared" si="49"/>
        <v>6.5707403753332549</v>
      </c>
      <c r="BN16" s="159">
        <f t="shared" si="50"/>
        <v>0.6162682946422533</v>
      </c>
      <c r="BO16" s="159">
        <f t="shared" si="51"/>
        <v>1.4386364045308759</v>
      </c>
      <c r="BP16" s="159">
        <f t="shared" si="52"/>
        <v>0.54348486393388651</v>
      </c>
      <c r="BQ16" s="159">
        <f t="shared" si="53"/>
        <v>5.1835065082064151</v>
      </c>
      <c r="BR16" s="159">
        <f t="shared" si="54"/>
        <v>9.6132889790372591</v>
      </c>
      <c r="BS16" s="159">
        <f t="shared" si="55"/>
        <v>1.5999273033981578</v>
      </c>
      <c r="BT16" s="159">
        <f t="shared" si="56"/>
        <v>2.2698485493709377</v>
      </c>
      <c r="BU16" s="159">
        <f t="shared" si="57"/>
        <v>1.9501515705862986</v>
      </c>
      <c r="BV16" s="159">
        <f t="shared" si="58"/>
        <v>7.7327720040456356</v>
      </c>
      <c r="BW16" s="159">
        <f t="shared" si="59"/>
        <v>8.2690952012233918</v>
      </c>
      <c r="BX16" s="159">
        <f t="shared" si="60"/>
        <v>1.4340089163790894</v>
      </c>
      <c r="BY16" s="159">
        <f t="shared" si="61"/>
        <v>2.2698485493709377</v>
      </c>
      <c r="BZ16" s="159">
        <f t="shared" si="62"/>
        <v>1.9501515705862986</v>
      </c>
      <c r="CA16" s="159">
        <f t="shared" si="63"/>
        <v>10.72391018583032</v>
      </c>
      <c r="CB16" s="159">
        <f t="shared" si="64"/>
        <v>6.6564204558618556</v>
      </c>
      <c r="CC16" s="159">
        <f t="shared" si="65"/>
        <v>1.753994377058721</v>
      </c>
      <c r="CD16" s="159">
        <f t="shared" si="66"/>
        <v>6.9000119420714903</v>
      </c>
      <c r="CE16" s="159">
        <f t="shared" si="67"/>
        <v>5.147244148669925</v>
      </c>
      <c r="CF16" s="159">
        <f t="shared" si="68"/>
        <v>12.348750063898706</v>
      </c>
      <c r="CG16" s="159">
        <f t="shared" si="69"/>
        <v>5.147244148669925</v>
      </c>
      <c r="CH16" s="159">
        <f t="shared" si="70"/>
        <v>5.5655818334596434</v>
      </c>
      <c r="CI16" s="159">
        <f t="shared" si="71"/>
        <v>14.516336876682054</v>
      </c>
      <c r="CJ16" s="159">
        <f t="shared" si="72"/>
        <v>5.5655818334596434</v>
      </c>
      <c r="CK16" s="159">
        <f t="shared" si="73"/>
        <v>4.2487758263987008</v>
      </c>
    </row>
    <row r="17" spans="1:89" x14ac:dyDescent="0.25">
      <c r="A17" t="str">
        <f>PLANTILLA!D19</f>
        <v>W. Gelifini</v>
      </c>
      <c r="B17" s="521">
        <f>PLANTILLA!E19</f>
        <v>28</v>
      </c>
      <c r="C17" s="521">
        <f ca="1">PLANTILLA!F19</f>
        <v>111</v>
      </c>
      <c r="D17" s="521"/>
      <c r="E17" s="317">
        <v>41737</v>
      </c>
      <c r="F17" s="371">
        <f>PLANTILLA!Q19</f>
        <v>6</v>
      </c>
      <c r="G17" s="439">
        <f t="shared" si="78"/>
        <v>0.92582009977255142</v>
      </c>
      <c r="H17" s="439">
        <f t="shared" si="75"/>
        <v>0.99928545900129484</v>
      </c>
      <c r="I17" s="530">
        <v>1.5</v>
      </c>
      <c r="J17" s="531">
        <f>PLANTILLA!I19</f>
        <v>4</v>
      </c>
      <c r="K17" s="163">
        <f>PLANTILLA!X19</f>
        <v>0</v>
      </c>
      <c r="L17" s="163">
        <f>PLANTILLA!Y19</f>
        <v>5.6315555555555523</v>
      </c>
      <c r="M17" s="163">
        <f>PLANTILLA!Z19</f>
        <v>9.8523388888888874</v>
      </c>
      <c r="N17" s="163">
        <f>PLANTILLA!AA19</f>
        <v>7.0726666666666667</v>
      </c>
      <c r="O17" s="163">
        <f>PLANTILLA!AB19</f>
        <v>9.2666666666666639</v>
      </c>
      <c r="P17" s="163">
        <f>PLANTILLA!AC19</f>
        <v>3.5417777777777766</v>
      </c>
      <c r="Q17" s="163">
        <f>PLANTILLA!AD19</f>
        <v>12.450000000000001</v>
      </c>
      <c r="R17" s="163">
        <f t="shared" si="2"/>
        <v>3.3956111111111102</v>
      </c>
      <c r="S17" s="163">
        <f t="shared" si="3"/>
        <v>10.215921218890843</v>
      </c>
      <c r="T17" s="163">
        <f t="shared" si="4"/>
        <v>0.55058888888888879</v>
      </c>
      <c r="U17" s="163">
        <f t="shared" si="5"/>
        <v>0.59876222222222208</v>
      </c>
      <c r="V17" s="163">
        <f t="shared" ca="1" si="6"/>
        <v>13.195479330261239</v>
      </c>
      <c r="W17" s="163">
        <f t="shared" ca="1" si="7"/>
        <v>14.242562483274723</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2.8929103594702954</v>
      </c>
      <c r="AE17" s="159">
        <f t="shared" si="15"/>
        <v>2.9991662356292919</v>
      </c>
      <c r="AF17" s="159">
        <f t="shared" si="16"/>
        <v>5.7365004983068202</v>
      </c>
      <c r="AG17" s="159">
        <f t="shared" si="17"/>
        <v>1.4995831178146459</v>
      </c>
      <c r="AH17" s="159">
        <f t="shared" si="18"/>
        <v>4.6797079344372428</v>
      </c>
      <c r="AI17" s="159">
        <f t="shared" si="19"/>
        <v>7.2995580338067425</v>
      </c>
      <c r="AJ17" s="159">
        <f t="shared" si="20"/>
        <v>3.2848011152130336</v>
      </c>
      <c r="AK17" s="159">
        <f t="shared" si="21"/>
        <v>2.0298992858468039</v>
      </c>
      <c r="AL17" s="159">
        <f t="shared" si="22"/>
        <v>5.5127430332011222</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11.474400753529238</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12.155085543992838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10.70863036425769</v>
      </c>
      <c r="BH17" s="159">
        <f t="shared" si="44"/>
        <v>9.0258524430540774</v>
      </c>
      <c r="BI17" s="159">
        <f t="shared" si="45"/>
        <v>2.7882286105467182</v>
      </c>
      <c r="BJ17" s="159">
        <f t="shared" si="46"/>
        <v>3.8481365721698584</v>
      </c>
      <c r="BK17" s="159">
        <f t="shared" si="47"/>
        <v>2.0946557836141086</v>
      </c>
      <c r="BL17" s="159">
        <f t="shared" si="48"/>
        <v>4.6310875922612711</v>
      </c>
      <c r="BM17" s="159">
        <f t="shared" si="49"/>
        <v>8.6351052432275193</v>
      </c>
      <c r="BN17" s="159">
        <f t="shared" si="50"/>
        <v>0.60160949273207198</v>
      </c>
      <c r="BO17" s="159">
        <f t="shared" si="51"/>
        <v>1.4281743979187103</v>
      </c>
      <c r="BP17" s="159">
        <f t="shared" si="52"/>
        <v>0.53953255032484615</v>
      </c>
      <c r="BQ17" s="159">
        <f t="shared" si="53"/>
        <v>3.7073010909178157</v>
      </c>
      <c r="BR17" s="159">
        <f t="shared" si="54"/>
        <v>12.684265531797013</v>
      </c>
      <c r="BS17" s="159">
        <f t="shared" si="55"/>
        <v>1.561870798439033</v>
      </c>
      <c r="BT17" s="159">
        <f t="shared" si="56"/>
        <v>2.2533418278272985</v>
      </c>
      <c r="BU17" s="159">
        <f t="shared" si="57"/>
        <v>1.9359697394009185</v>
      </c>
      <c r="BV17" s="159">
        <f t="shared" si="58"/>
        <v>5.5305639225167411</v>
      </c>
      <c r="BW17" s="159">
        <f t="shared" si="59"/>
        <v>10.923293960521843</v>
      </c>
      <c r="BX17" s="159">
        <f t="shared" si="60"/>
        <v>1.3998990119342443</v>
      </c>
      <c r="BY17" s="159">
        <f t="shared" si="61"/>
        <v>2.2533418278272985</v>
      </c>
      <c r="BZ17" s="159">
        <f t="shared" si="62"/>
        <v>1.9359697394009185</v>
      </c>
      <c r="CA17" s="159">
        <f t="shared" si="63"/>
        <v>7.669858978259481</v>
      </c>
      <c r="CB17" s="159">
        <f t="shared" si="64"/>
        <v>8.8144369229847008</v>
      </c>
      <c r="CC17" s="159">
        <f t="shared" si="65"/>
        <v>1.7122731716220509</v>
      </c>
      <c r="CD17" s="159">
        <f t="shared" si="66"/>
        <v>4.9349647308610924</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3.0387713859982095</v>
      </c>
    </row>
    <row r="18" spans="1:89" x14ac:dyDescent="0.25">
      <c r="A18" t="str">
        <f>PLANTILLA!D20</f>
        <v>M. Amico</v>
      </c>
      <c r="B18" s="521">
        <f>PLANTILLA!E20</f>
        <v>29</v>
      </c>
      <c r="C18" s="521">
        <f ca="1">PLANTILLA!F20</f>
        <v>6</v>
      </c>
      <c r="D18" s="521" t="str">
        <f>PLANTILLA!G20</f>
        <v>IMP</v>
      </c>
      <c r="E18" s="317">
        <v>41730</v>
      </c>
      <c r="F18" s="371">
        <f>PLANTILLA!Q20</f>
        <v>6</v>
      </c>
      <c r="G18" s="439">
        <f t="shared" si="78"/>
        <v>0.92582009977255142</v>
      </c>
      <c r="H18" s="439">
        <f t="shared" si="75"/>
        <v>0.99928545900129484</v>
      </c>
      <c r="I18" s="530">
        <v>1.5</v>
      </c>
      <c r="J18" s="531">
        <f>PLANTILLA!I20</f>
        <v>1.2</v>
      </c>
      <c r="K18" s="163">
        <f>PLANTILLA!X20</f>
        <v>0</v>
      </c>
      <c r="L18" s="163">
        <f>PLANTILLA!Y20</f>
        <v>2.47611111111111</v>
      </c>
      <c r="M18" s="163">
        <f>PLANTILLA!Z20</f>
        <v>7.3199999999999976</v>
      </c>
      <c r="N18" s="163">
        <f>PLANTILLA!AA20</f>
        <v>4.17</v>
      </c>
      <c r="O18" s="163">
        <f>PLANTILLA!AB20</f>
        <v>7.2649999999999988</v>
      </c>
      <c r="P18" s="163">
        <f>PLANTILLA!AC20</f>
        <v>4.3299999999999983</v>
      </c>
      <c r="Q18" s="163">
        <f>PLANTILLA!AD20</f>
        <v>9.5</v>
      </c>
      <c r="R18" s="163">
        <f t="shared" si="2"/>
        <v>2.5007638888888883</v>
      </c>
      <c r="S18" s="163">
        <f t="shared" si="3"/>
        <v>8.3611207383536659</v>
      </c>
      <c r="T18" s="163">
        <f t="shared" si="4"/>
        <v>0.50149999999999983</v>
      </c>
      <c r="U18" s="163">
        <f t="shared" si="5"/>
        <v>0.38404444444444441</v>
      </c>
      <c r="V18" s="163">
        <f t="shared" ca="1" si="6"/>
        <v>9.818854499766358</v>
      </c>
      <c r="W18" s="163">
        <f t="shared" ca="1" si="7"/>
        <v>10.597996876581588</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2.1242868487457787</v>
      </c>
      <c r="AE18" s="159">
        <f t="shared" si="15"/>
        <v>1.5428773480080025</v>
      </c>
      <c r="AF18" s="159">
        <f t="shared" si="16"/>
        <v>2.9510590545232427</v>
      </c>
      <c r="AG18" s="159">
        <f t="shared" si="17"/>
        <v>0.77143867400400123</v>
      </c>
      <c r="AH18" s="159">
        <f t="shared" si="18"/>
        <v>3.4363463729711126</v>
      </c>
      <c r="AI18" s="159">
        <f t="shared" si="19"/>
        <v>3.7551512173739745</v>
      </c>
      <c r="AJ18" s="159">
        <f t="shared" si="20"/>
        <v>1.6898180478182885</v>
      </c>
      <c r="AK18" s="159">
        <f t="shared" si="21"/>
        <v>1.4905710241199372</v>
      </c>
      <c r="AL18" s="159">
        <f t="shared" si="22"/>
        <v>3.3960380969013375</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8.4257427950252737</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8.9255749947301624</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7.8634315703572728</v>
      </c>
      <c r="BH18" s="159">
        <f t="shared" si="44"/>
        <v>6.1094111703151164</v>
      </c>
      <c r="BI18" s="159">
        <f t="shared" si="45"/>
        <v>2.1378085737299695</v>
      </c>
      <c r="BJ18" s="159">
        <f t="shared" si="46"/>
        <v>1.979617761333019</v>
      </c>
      <c r="BK18" s="159">
        <f t="shared" si="47"/>
        <v>1.0775651319420971</v>
      </c>
      <c r="BL18" s="159">
        <f t="shared" si="48"/>
        <v>3.4006440729921921</v>
      </c>
      <c r="BM18" s="159">
        <f t="shared" si="49"/>
        <v>5.669947545394165</v>
      </c>
      <c r="BN18" s="159">
        <f t="shared" si="50"/>
        <v>0.46126989972596855</v>
      </c>
      <c r="BO18" s="159">
        <f t="shared" si="51"/>
        <v>0.73470349905142973</v>
      </c>
      <c r="BP18" s="159">
        <f t="shared" si="52"/>
        <v>0.27755465519720685</v>
      </c>
      <c r="BQ18" s="159">
        <f t="shared" si="53"/>
        <v>2.7223003733926996</v>
      </c>
      <c r="BR18" s="159">
        <f t="shared" si="54"/>
        <v>8.3125594432229928</v>
      </c>
      <c r="BS18" s="159">
        <f t="shared" si="55"/>
        <v>1.1975276242885722</v>
      </c>
      <c r="BT18" s="159">
        <f t="shared" si="56"/>
        <v>1.1591988540589224</v>
      </c>
      <c r="BU18" s="159">
        <f t="shared" si="57"/>
        <v>0.99593140982527151</v>
      </c>
      <c r="BV18" s="159">
        <f t="shared" si="58"/>
        <v>4.0611366226022243</v>
      </c>
      <c r="BW18" s="159">
        <f t="shared" si="59"/>
        <v>7.1545170941610232</v>
      </c>
      <c r="BX18" s="159">
        <f t="shared" si="60"/>
        <v>1.0733395743623499</v>
      </c>
      <c r="BY18" s="159">
        <f t="shared" si="61"/>
        <v>1.1591988540589224</v>
      </c>
      <c r="BZ18" s="159">
        <f t="shared" si="62"/>
        <v>0.99593140982527151</v>
      </c>
      <c r="CA18" s="159">
        <f t="shared" si="63"/>
        <v>5.6320378216747322</v>
      </c>
      <c r="CB18" s="159">
        <f t="shared" si="64"/>
        <v>5.766474620283498</v>
      </c>
      <c r="CC18" s="159">
        <f t="shared" si="65"/>
        <v>1.3128450992200642</v>
      </c>
      <c r="CD18" s="159">
        <f t="shared" si="66"/>
        <v>3.623783447860446</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2.2313937486825406</v>
      </c>
    </row>
    <row r="19" spans="1:89" x14ac:dyDescent="0.25">
      <c r="A19" t="str">
        <f>PLANTILLA!D22</f>
        <v>J. Limon</v>
      </c>
      <c r="B19" s="521">
        <f>PLANTILLA!E22</f>
        <v>29</v>
      </c>
      <c r="C19" s="521">
        <f ca="1">PLANTILLA!F22</f>
        <v>86</v>
      </c>
      <c r="D19" s="521" t="str">
        <f>PLANTILLA!G22</f>
        <v>RAP</v>
      </c>
      <c r="E19" s="317">
        <v>41664</v>
      </c>
      <c r="F19" s="371">
        <f>PLANTILLA!Q22</f>
        <v>7</v>
      </c>
      <c r="G19" s="439">
        <f t="shared" si="78"/>
        <v>1</v>
      </c>
      <c r="H19" s="439">
        <f t="shared" si="75"/>
        <v>1</v>
      </c>
      <c r="I19" s="530">
        <v>1.5</v>
      </c>
      <c r="J19" s="531">
        <f>PLANTILLA!I22</f>
        <v>10</v>
      </c>
      <c r="K19" s="163">
        <f>PLANTILLA!X22</f>
        <v>0</v>
      </c>
      <c r="L19" s="163">
        <f>PLANTILLA!Y22</f>
        <v>6.8176190476190497</v>
      </c>
      <c r="M19" s="163">
        <f>PLANTILLA!Z22</f>
        <v>8.5</v>
      </c>
      <c r="N19" s="163">
        <f>PLANTILLA!AA22</f>
        <v>8.7299999999999969</v>
      </c>
      <c r="O19" s="163">
        <f>PLANTILLA!AB22</f>
        <v>9.6900000000000013</v>
      </c>
      <c r="P19" s="163">
        <f>PLANTILLA!AC22</f>
        <v>8.5625000000000018</v>
      </c>
      <c r="Q19" s="163">
        <f>PLANTILLA!AD22</f>
        <v>18.639999999999993</v>
      </c>
      <c r="R19" s="163">
        <f t="shared" si="2"/>
        <v>3.6497023809523816</v>
      </c>
      <c r="S19" s="163">
        <f t="shared" si="3"/>
        <v>23.127416666666669</v>
      </c>
      <c r="T19" s="163">
        <f t="shared" si="4"/>
        <v>0.9873249999999999</v>
      </c>
      <c r="U19" s="163">
        <f t="shared" si="5"/>
        <v>0.83190476190476181</v>
      </c>
      <c r="V19" s="163">
        <f t="shared" ca="1" si="6"/>
        <v>20.973333333333326</v>
      </c>
      <c r="W19" s="163">
        <f t="shared" ca="1" si="7"/>
        <v>20.973333333333326</v>
      </c>
      <c r="X19" s="159">
        <f t="shared" si="8"/>
        <v>4.355162857142858</v>
      </c>
      <c r="Y19" s="159">
        <f t="shared" si="9"/>
        <v>6.5553214285714301</v>
      </c>
      <c r="Z19" s="159">
        <f t="shared" si="10"/>
        <v>4.355162857142858</v>
      </c>
      <c r="AA19" s="159">
        <f t="shared" si="11"/>
        <v>4.9798914285714302</v>
      </c>
      <c r="AB19" s="159">
        <f t="shared" si="12"/>
        <v>9.6509523809523845</v>
      </c>
      <c r="AC19" s="159">
        <f t="shared" si="13"/>
        <v>2.4899457142857151</v>
      </c>
      <c r="AD19" s="159">
        <f t="shared" si="14"/>
        <v>2.6973333333333334</v>
      </c>
      <c r="AE19" s="159">
        <f t="shared" si="15"/>
        <v>3.6480600000000014</v>
      </c>
      <c r="AF19" s="159">
        <f t="shared" si="16"/>
        <v>6.9776385714285736</v>
      </c>
      <c r="AG19" s="159">
        <f t="shared" si="17"/>
        <v>1.8240300000000007</v>
      </c>
      <c r="AH19" s="159">
        <f t="shared" si="18"/>
        <v>4.3633333333333333</v>
      </c>
      <c r="AI19" s="159">
        <f t="shared" si="19"/>
        <v>8.8788761904761948</v>
      </c>
      <c r="AJ19" s="159">
        <f t="shared" si="20"/>
        <v>3.9954942857142868</v>
      </c>
      <c r="AK19" s="159">
        <f t="shared" si="21"/>
        <v>1.8926666666666669</v>
      </c>
      <c r="AL19" s="159">
        <f t="shared" si="22"/>
        <v>6.7992399999999984</v>
      </c>
      <c r="AM19" s="159">
        <f t="shared" si="23"/>
        <v>7.2768180952380979</v>
      </c>
      <c r="AN19" s="159">
        <f t="shared" si="24"/>
        <v>6.8328742857142881</v>
      </c>
      <c r="AO19" s="159">
        <f t="shared" si="25"/>
        <v>3.5860466666666655</v>
      </c>
      <c r="AP19" s="159">
        <f t="shared" si="26"/>
        <v>1.8671142857142857</v>
      </c>
      <c r="AQ19" s="159">
        <f t="shared" si="27"/>
        <v>2.605757142857144</v>
      </c>
      <c r="AR19" s="159">
        <f t="shared" si="28"/>
        <v>5.7326657142857158</v>
      </c>
      <c r="AS19" s="159">
        <f t="shared" si="29"/>
        <v>1.302878571428572</v>
      </c>
      <c r="AT19" s="159">
        <f t="shared" si="30"/>
        <v>10.698666666666666</v>
      </c>
      <c r="AU19" s="159">
        <f t="shared" si="31"/>
        <v>1.6280333333333337</v>
      </c>
      <c r="AV19" s="159">
        <f t="shared" si="32"/>
        <v>3.4742791666666673</v>
      </c>
      <c r="AW19" s="159">
        <f t="shared" si="33"/>
        <v>0.81401666666666683</v>
      </c>
      <c r="AX19" s="159">
        <f t="shared" si="34"/>
        <v>1.8240300000000007</v>
      </c>
      <c r="AY19" s="159">
        <f t="shared" si="35"/>
        <v>3.8603809523809538</v>
      </c>
      <c r="AZ19" s="159">
        <f t="shared" si="36"/>
        <v>0.91201500000000035</v>
      </c>
      <c r="BA19" s="159">
        <f t="shared" si="37"/>
        <v>11.333333333333334</v>
      </c>
      <c r="BB19" s="159">
        <f t="shared" si="38"/>
        <v>3.1684033333333339</v>
      </c>
      <c r="BC19" s="159">
        <f t="shared" si="39"/>
        <v>6.6635816666666683</v>
      </c>
      <c r="BD19" s="159">
        <f t="shared" si="40"/>
        <v>1.584201666666667</v>
      </c>
      <c r="BE19" s="159">
        <f t="shared" si="41"/>
        <v>2.8084271428571439</v>
      </c>
      <c r="BF19" s="159">
        <f t="shared" si="42"/>
        <v>3.3585314285714296</v>
      </c>
      <c r="BG19" s="159">
        <f t="shared" si="43"/>
        <v>9.9846666666666675</v>
      </c>
      <c r="BH19" s="159">
        <f t="shared" si="44"/>
        <v>10.582203333333332</v>
      </c>
      <c r="BI19" s="159">
        <f t="shared" si="45"/>
        <v>3.0181233333333335</v>
      </c>
      <c r="BJ19" s="159">
        <f t="shared" si="46"/>
        <v>4.6807119047619068</v>
      </c>
      <c r="BK19" s="159">
        <f t="shared" si="47"/>
        <v>2.5478514285714295</v>
      </c>
      <c r="BL19" s="159">
        <f t="shared" si="48"/>
        <v>4.3180000000000005</v>
      </c>
      <c r="BM19" s="159">
        <f t="shared" si="49"/>
        <v>10.299313333333332</v>
      </c>
      <c r="BN19" s="159">
        <f t="shared" si="50"/>
        <v>0.65121333333333342</v>
      </c>
      <c r="BO19" s="159">
        <f t="shared" si="51"/>
        <v>1.7371714285714293</v>
      </c>
      <c r="BP19" s="159">
        <f t="shared" si="52"/>
        <v>0.65626476190476224</v>
      </c>
      <c r="BQ19" s="159">
        <f t="shared" si="53"/>
        <v>3.4566666666666666</v>
      </c>
      <c r="BR19" s="159">
        <f t="shared" si="54"/>
        <v>15.145006666666664</v>
      </c>
      <c r="BS19" s="159">
        <f t="shared" si="55"/>
        <v>1.6906500000000004</v>
      </c>
      <c r="BT19" s="159">
        <f t="shared" si="56"/>
        <v>2.740870476190477</v>
      </c>
      <c r="BU19" s="159">
        <f t="shared" si="57"/>
        <v>2.3548323809523817</v>
      </c>
      <c r="BV19" s="159">
        <f t="shared" si="58"/>
        <v>5.1566666666666672</v>
      </c>
      <c r="BW19" s="159">
        <f t="shared" si="59"/>
        <v>13.046413333333332</v>
      </c>
      <c r="BX19" s="159">
        <f t="shared" si="60"/>
        <v>1.5153233333333336</v>
      </c>
      <c r="BY19" s="159">
        <f t="shared" si="61"/>
        <v>2.740870476190477</v>
      </c>
      <c r="BZ19" s="159">
        <f t="shared" si="62"/>
        <v>2.3548323809523817</v>
      </c>
      <c r="CA19" s="159">
        <f t="shared" si="63"/>
        <v>7.1513333333333335</v>
      </c>
      <c r="CB19" s="159">
        <f t="shared" si="64"/>
        <v>10.534463333333331</v>
      </c>
      <c r="CC19" s="159">
        <f t="shared" si="65"/>
        <v>1.8534533333333336</v>
      </c>
      <c r="CD19" s="159">
        <f t="shared" si="66"/>
        <v>4.6013333333333337</v>
      </c>
      <c r="CE19" s="159">
        <f t="shared" si="67"/>
        <v>6.2432241666666668</v>
      </c>
      <c r="CF19" s="159">
        <f t="shared" si="68"/>
        <v>13.443940833333336</v>
      </c>
      <c r="CG19" s="159">
        <f t="shared" si="69"/>
        <v>6.2432241666666668</v>
      </c>
      <c r="CH19" s="159">
        <f t="shared" si="70"/>
        <v>7.1667266666666665</v>
      </c>
      <c r="CI19" s="159">
        <f t="shared" si="71"/>
        <v>16.016943333333337</v>
      </c>
      <c r="CJ19" s="159">
        <f t="shared" si="72"/>
        <v>7.1667266666666665</v>
      </c>
      <c r="CK19" s="159">
        <f t="shared" si="73"/>
        <v>2.8333333333333335</v>
      </c>
    </row>
    <row r="20" spans="1:89" x14ac:dyDescent="0.25">
      <c r="A20" t="str">
        <f>PLANTILLA!D23</f>
        <v>L. Calosso</v>
      </c>
      <c r="B20" s="521">
        <f>PLANTILLA!E23</f>
        <v>30</v>
      </c>
      <c r="C20" s="521">
        <f ca="1">PLANTILLA!F23</f>
        <v>43</v>
      </c>
      <c r="D20" s="521" t="str">
        <f>PLANTILLA!G23</f>
        <v>TEC</v>
      </c>
      <c r="E20" s="317">
        <v>41890</v>
      </c>
      <c r="F20" s="371">
        <f>PLANTILLA!Q23</f>
        <v>7</v>
      </c>
      <c r="G20" s="439">
        <f t="shared" si="78"/>
        <v>1</v>
      </c>
      <c r="H20" s="439">
        <f t="shared" si="75"/>
        <v>1</v>
      </c>
      <c r="I20" s="530">
        <v>1.5</v>
      </c>
      <c r="J20" s="531">
        <f>PLANTILLA!I23</f>
        <v>10.199999999999999</v>
      </c>
      <c r="K20" s="163">
        <f>PLANTILLA!X23</f>
        <v>0</v>
      </c>
      <c r="L20" s="163">
        <f>PLANTILLA!Y23</f>
        <v>2</v>
      </c>
      <c r="M20" s="163">
        <f>PLANTILLA!Z23</f>
        <v>14.127609523809523</v>
      </c>
      <c r="N20" s="163">
        <f>PLANTILLA!AA23</f>
        <v>3.02</v>
      </c>
      <c r="O20" s="163">
        <f>PLANTILLA!AB23</f>
        <v>15.02</v>
      </c>
      <c r="P20" s="163">
        <f>PLANTILLA!AC23</f>
        <v>10</v>
      </c>
      <c r="Q20" s="163">
        <f>PLANTILLA!AD23</f>
        <v>9.3000000000000007</v>
      </c>
      <c r="R20" s="163">
        <f t="shared" si="2"/>
        <v>4.38</v>
      </c>
      <c r="S20" s="163">
        <f t="shared" si="3"/>
        <v>20.402008506125121</v>
      </c>
      <c r="T20" s="163">
        <f t="shared" si="4"/>
        <v>0.77900000000000003</v>
      </c>
      <c r="U20" s="163">
        <f t="shared" si="5"/>
        <v>0.35899999999999999</v>
      </c>
      <c r="V20" s="163">
        <f t="shared" ca="1" si="6"/>
        <v>11.644800229015891</v>
      </c>
      <c r="W20" s="163">
        <f t="shared" ca="1" si="7"/>
        <v>11.644800229015891</v>
      </c>
      <c r="X20" s="159">
        <f t="shared" si="8"/>
        <v>3.035510599930872</v>
      </c>
      <c r="Y20" s="159">
        <f t="shared" si="9"/>
        <v>4.5226370956595137</v>
      </c>
      <c r="Z20" s="159">
        <f t="shared" si="10"/>
        <v>3.035510599930872</v>
      </c>
      <c r="AA20" s="159">
        <f t="shared" si="11"/>
        <v>2.4999169181721994</v>
      </c>
      <c r="AB20" s="159">
        <f t="shared" si="12"/>
        <v>4.84480022901589</v>
      </c>
      <c r="AC20" s="159">
        <f t="shared" si="13"/>
        <v>1.2499584590860997</v>
      </c>
      <c r="AD20" s="159">
        <f t="shared" si="14"/>
        <v>4.0394335211724481</v>
      </c>
      <c r="AE20" s="159">
        <f t="shared" si="15"/>
        <v>1.8313344865680063</v>
      </c>
      <c r="AF20" s="159">
        <f t="shared" si="16"/>
        <v>3.5027905655784886</v>
      </c>
      <c r="AG20" s="159">
        <f t="shared" si="17"/>
        <v>0.91566724328400317</v>
      </c>
      <c r="AH20" s="159">
        <f t="shared" si="18"/>
        <v>6.5343777548377844</v>
      </c>
      <c r="AI20" s="159">
        <f t="shared" si="19"/>
        <v>4.4572162106946189</v>
      </c>
      <c r="AJ20" s="159">
        <f t="shared" si="20"/>
        <v>2.0057472948125783</v>
      </c>
      <c r="AK20" s="159">
        <f t="shared" si="21"/>
        <v>2.834392428721844</v>
      </c>
      <c r="AL20" s="159">
        <f t="shared" si="22"/>
        <v>3.4485025346613427</v>
      </c>
      <c r="AM20" s="159">
        <f t="shared" si="23"/>
        <v>3.6529793726779811</v>
      </c>
      <c r="AN20" s="159">
        <f t="shared" si="24"/>
        <v>3.4301185621432499</v>
      </c>
      <c r="AO20" s="159">
        <f t="shared" si="25"/>
        <v>2.0281816382456537</v>
      </c>
      <c r="AP20" s="159">
        <f t="shared" si="26"/>
        <v>2.0807424659565763</v>
      </c>
      <c r="AQ20" s="159">
        <f t="shared" si="27"/>
        <v>1.3080960618342905</v>
      </c>
      <c r="AR20" s="159">
        <f t="shared" si="28"/>
        <v>2.8778113360354385</v>
      </c>
      <c r="AS20" s="159">
        <f t="shared" si="29"/>
        <v>0.65404803091714525</v>
      </c>
      <c r="AT20" s="159">
        <f t="shared" si="30"/>
        <v>16.021954806667189</v>
      </c>
      <c r="AU20" s="159">
        <f t="shared" si="31"/>
        <v>2.322424029772066</v>
      </c>
      <c r="AV20" s="159">
        <f t="shared" si="32"/>
        <v>4.3659264671016551</v>
      </c>
      <c r="AW20" s="159">
        <f t="shared" si="33"/>
        <v>1.161212014886033</v>
      </c>
      <c r="AX20" s="159">
        <f t="shared" si="34"/>
        <v>0.91566724328400317</v>
      </c>
      <c r="AY20" s="159">
        <f t="shared" si="35"/>
        <v>1.9379200916063561</v>
      </c>
      <c r="AZ20" s="159">
        <f t="shared" si="36"/>
        <v>0.45783362164200159</v>
      </c>
      <c r="BA20" s="159">
        <f t="shared" si="37"/>
        <v>16.972409752825413</v>
      </c>
      <c r="BB20" s="159">
        <f t="shared" si="38"/>
        <v>4.5197944579410203</v>
      </c>
      <c r="BC20" s="159">
        <f t="shared" si="39"/>
        <v>8.7893049261877572</v>
      </c>
      <c r="BD20" s="159">
        <f t="shared" si="40"/>
        <v>2.2598972289705102</v>
      </c>
      <c r="BE20" s="159">
        <f t="shared" si="41"/>
        <v>1.4098368666436238</v>
      </c>
      <c r="BF20" s="159">
        <f t="shared" si="42"/>
        <v>1.6859904796975296</v>
      </c>
      <c r="BG20" s="159">
        <f t="shared" si="43"/>
        <v>14.952692992239189</v>
      </c>
      <c r="BH20" s="159">
        <f t="shared" si="44"/>
        <v>8.9938074035951256</v>
      </c>
      <c r="BI20" s="159">
        <f t="shared" si="45"/>
        <v>4.3054168551928296</v>
      </c>
      <c r="BJ20" s="159">
        <f t="shared" si="46"/>
        <v>2.3497281110727064</v>
      </c>
      <c r="BK20" s="159">
        <f t="shared" si="47"/>
        <v>1.2790272604601951</v>
      </c>
      <c r="BL20" s="159">
        <f t="shared" si="48"/>
        <v>6.4664881158264826</v>
      </c>
      <c r="BM20" s="159">
        <f t="shared" si="49"/>
        <v>7.5378354001598886</v>
      </c>
      <c r="BN20" s="159">
        <f t="shared" si="50"/>
        <v>0.92896961190882632</v>
      </c>
      <c r="BO20" s="159">
        <f t="shared" si="51"/>
        <v>0.87206404122286019</v>
      </c>
      <c r="BP20" s="159">
        <f t="shared" si="52"/>
        <v>0.32944641557308052</v>
      </c>
      <c r="BQ20" s="159">
        <f t="shared" si="53"/>
        <v>5.1765849746117514</v>
      </c>
      <c r="BR20" s="159">
        <f t="shared" si="54"/>
        <v>10.974133094514434</v>
      </c>
      <c r="BS20" s="159">
        <f t="shared" si="55"/>
        <v>2.4117480309171455</v>
      </c>
      <c r="BT20" s="159">
        <f t="shared" si="56"/>
        <v>1.3759232650405127</v>
      </c>
      <c r="BU20" s="159">
        <f t="shared" si="57"/>
        <v>1.1821312558798771</v>
      </c>
      <c r="BV20" s="159">
        <f t="shared" si="58"/>
        <v>7.722446437535563</v>
      </c>
      <c r="BW20" s="159">
        <f t="shared" si="59"/>
        <v>9.426198653749605</v>
      </c>
      <c r="BX20" s="159">
        <f t="shared" si="60"/>
        <v>2.1616408277109227</v>
      </c>
      <c r="BY20" s="159">
        <f t="shared" si="61"/>
        <v>1.3759232650405127</v>
      </c>
      <c r="BZ20" s="159">
        <f t="shared" si="62"/>
        <v>1.1821312558798771</v>
      </c>
      <c r="CA20" s="159">
        <f t="shared" si="63"/>
        <v>10.709590554032836</v>
      </c>
      <c r="CB20" s="159">
        <f t="shared" si="64"/>
        <v>7.564996204969221</v>
      </c>
      <c r="CC20" s="159">
        <f t="shared" si="65"/>
        <v>2.6439904338943516</v>
      </c>
      <c r="CD20" s="159">
        <f t="shared" si="66"/>
        <v>6.8907983596471185</v>
      </c>
      <c r="CE20" s="159">
        <f t="shared" si="67"/>
        <v>8.2992049376385495</v>
      </c>
      <c r="CF20" s="159">
        <f t="shared" si="68"/>
        <v>17.189105057871892</v>
      </c>
      <c r="CG20" s="159">
        <f t="shared" si="69"/>
        <v>8.2992049376385495</v>
      </c>
      <c r="CH20" s="159">
        <f t="shared" si="70"/>
        <v>7.0425705426768994</v>
      </c>
      <c r="CI20" s="159">
        <f t="shared" si="71"/>
        <v>19.436911513522752</v>
      </c>
      <c r="CJ20" s="159">
        <f t="shared" si="72"/>
        <v>7.0425705426768994</v>
      </c>
      <c r="CK20" s="159">
        <f t="shared" si="73"/>
        <v>4.2431024382063534</v>
      </c>
    </row>
    <row r="21" spans="1:89" x14ac:dyDescent="0.25">
      <c r="A21" t="str">
        <f>PLANTILLA!D24</f>
        <v>P .Trivadi</v>
      </c>
      <c r="B21" s="521">
        <f>PLANTILLA!E24</f>
        <v>27</v>
      </c>
      <c r="C21" s="521">
        <f ca="1">PLANTILLA!F24</f>
        <v>5</v>
      </c>
      <c r="D21" s="521"/>
      <c r="E21" s="317">
        <v>41973</v>
      </c>
      <c r="F21" s="371">
        <f>PLANTILLA!Q24</f>
        <v>5</v>
      </c>
      <c r="G21" s="439">
        <f t="shared" si="78"/>
        <v>0.84515425472851657</v>
      </c>
      <c r="H21" s="439">
        <f t="shared" si="75"/>
        <v>0.92504826128926143</v>
      </c>
      <c r="I21" s="530">
        <v>1.5</v>
      </c>
      <c r="J21" s="531">
        <f>PLANTILLA!I24</f>
        <v>5.3</v>
      </c>
      <c r="K21" s="163">
        <f>PLANTILLA!X24</f>
        <v>0</v>
      </c>
      <c r="L21" s="163">
        <f>PLANTILLA!Y24</f>
        <v>4</v>
      </c>
      <c r="M21" s="163">
        <f>PLANTILLA!Z24</f>
        <v>5.5438722222222205</v>
      </c>
      <c r="N21" s="163">
        <f>PLANTILLA!AA24</f>
        <v>5.4899999999999993</v>
      </c>
      <c r="O21" s="163">
        <f>PLANTILLA!AB24</f>
        <v>10.799999999999999</v>
      </c>
      <c r="P21" s="163">
        <f>PLANTILLA!AC24</f>
        <v>8.384500000000001</v>
      </c>
      <c r="Q21" s="163">
        <f>PLANTILLA!AD24</f>
        <v>13.566666666666668</v>
      </c>
      <c r="R21" s="163">
        <f t="shared" si="2"/>
        <v>3.5749999999999997</v>
      </c>
      <c r="S21" s="163">
        <f t="shared" si="3"/>
        <v>19.229136229090329</v>
      </c>
      <c r="T21" s="163">
        <f t="shared" si="4"/>
        <v>0.82622500000000021</v>
      </c>
      <c r="U21" s="163">
        <f t="shared" si="5"/>
        <v>0.56699999999999995</v>
      </c>
      <c r="V21" s="163">
        <f t="shared" ca="1" si="6"/>
        <v>13.127246754265796</v>
      </c>
      <c r="W21" s="163">
        <f t="shared" ca="1" si="7"/>
        <v>14.368189851270879</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1.9062784648422055</v>
      </c>
      <c r="AE21" s="159">
        <f t="shared" si="15"/>
        <v>2.4440350382787974</v>
      </c>
      <c r="AF21" s="159">
        <f t="shared" si="16"/>
        <v>4.6747019382951605</v>
      </c>
      <c r="AG21" s="159">
        <f t="shared" si="17"/>
        <v>1.2220175191393987</v>
      </c>
      <c r="AH21" s="159">
        <f t="shared" si="18"/>
        <v>3.0836857519506267</v>
      </c>
      <c r="AI21" s="159">
        <f t="shared" si="19"/>
        <v>5.9484450667103008</v>
      </c>
      <c r="AJ21" s="159">
        <f t="shared" si="20"/>
        <v>2.6768002800196351</v>
      </c>
      <c r="AK21" s="159">
        <f t="shared" si="21"/>
        <v>1.3375987547422199</v>
      </c>
      <c r="AL21" s="159">
        <f t="shared" si="22"/>
        <v>4.6779522817670181</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7.5610372723153025</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8.0095733816899397</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7.0564341492688367</v>
      </c>
      <c r="BH21" s="159">
        <f t="shared" si="44"/>
        <v>8.7452683307668018</v>
      </c>
      <c r="BI21" s="159">
        <f t="shared" si="45"/>
        <v>3.19703397943172</v>
      </c>
      <c r="BJ21" s="159">
        <f t="shared" si="46"/>
        <v>3.1358650623418431</v>
      </c>
      <c r="BK21" s="159">
        <f t="shared" si="47"/>
        <v>1.7069451060994778</v>
      </c>
      <c r="BL21" s="159">
        <f t="shared" si="48"/>
        <v>3.0516474584238669</v>
      </c>
      <c r="BM21" s="159">
        <f t="shared" si="49"/>
        <v>8.0205928133747868</v>
      </c>
      <c r="BN21" s="159">
        <f t="shared" si="50"/>
        <v>0.68981646029232124</v>
      </c>
      <c r="BO21" s="159">
        <f t="shared" si="51"/>
        <v>1.1638262087041893</v>
      </c>
      <c r="BP21" s="159">
        <f t="shared" si="52"/>
        <v>0.43966767884380487</v>
      </c>
      <c r="BQ21" s="159">
        <f t="shared" si="53"/>
        <v>2.4429198814154316</v>
      </c>
      <c r="BR21" s="159">
        <f t="shared" si="54"/>
        <v>11.749691691075485</v>
      </c>
      <c r="BS21" s="159">
        <f t="shared" si="55"/>
        <v>1.7908696565281419</v>
      </c>
      <c r="BT21" s="159">
        <f t="shared" si="56"/>
        <v>1.8362591292888317</v>
      </c>
      <c r="BU21" s="159">
        <f t="shared" si="57"/>
        <v>1.5776310829101232</v>
      </c>
      <c r="BV21" s="159">
        <f t="shared" si="58"/>
        <v>3.6443558886689229</v>
      </c>
      <c r="BW21" s="159">
        <f t="shared" si="59"/>
        <v>10.110556884690231</v>
      </c>
      <c r="BX21" s="159">
        <f t="shared" si="60"/>
        <v>1.6051498402955937</v>
      </c>
      <c r="BY21" s="159">
        <f t="shared" si="61"/>
        <v>1.8362591292888317</v>
      </c>
      <c r="BZ21" s="159">
        <f t="shared" si="62"/>
        <v>1.5776310829101232</v>
      </c>
      <c r="CA21" s="159">
        <f t="shared" si="63"/>
        <v>5.0540408038463518</v>
      </c>
      <c r="CB21" s="159">
        <f t="shared" si="64"/>
        <v>8.145182537723608</v>
      </c>
      <c r="CC21" s="159">
        <f t="shared" si="65"/>
        <v>1.963323771601222</v>
      </c>
      <c r="CD21" s="159">
        <f t="shared" si="66"/>
        <v>3.2518867929661157</v>
      </c>
      <c r="CE21" s="159">
        <f t="shared" si="67"/>
        <v>5.8400218040826815</v>
      </c>
      <c r="CF21" s="159">
        <f t="shared" si="68"/>
        <v>13.528943005560652</v>
      </c>
      <c r="CG21" s="159">
        <f t="shared" si="69"/>
        <v>5.8400218040826815</v>
      </c>
      <c r="CH21" s="159">
        <f t="shared" si="70"/>
        <v>6.3329918223483883</v>
      </c>
      <c r="CI21" s="159">
        <f t="shared" si="71"/>
        <v>15.745244887311307</v>
      </c>
      <c r="CJ21" s="159">
        <f t="shared" si="72"/>
        <v>6.3329918223483883</v>
      </c>
      <c r="CK21" s="159">
        <f t="shared" si="73"/>
        <v>2.0023933454224849</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1"/>
      <c r="L25">
        <f>L15*G15</f>
        <v>9.582238032645904</v>
      </c>
      <c r="M25">
        <f>L15*H15</f>
        <v>10.342604500663398</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1"/>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1"/>
      <c r="L27">
        <f>L14*G14</f>
        <v>7.2747122005898603</v>
      </c>
      <c r="M27">
        <f>L14*H14</f>
        <v>7.9624043006173926</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1"/>
    </row>
    <row r="29" spans="1:89" x14ac:dyDescent="0.25">
      <c r="D29" s="521"/>
      <c r="L29" s="47">
        <f>(M25-L27)/M25</f>
        <v>0.29662666689775835</v>
      </c>
      <c r="M29" s="47">
        <f>(L25-M27)/M27</f>
        <v>0.20343525282971528</v>
      </c>
    </row>
    <row r="30" spans="1:89" x14ac:dyDescent="0.25">
      <c r="D30" s="521"/>
    </row>
    <row r="31" spans="1:89" ht="18.75" x14ac:dyDescent="0.3">
      <c r="A31" s="471" t="s">
        <v>739</v>
      </c>
      <c r="B31" s="471" t="s">
        <v>178</v>
      </c>
      <c r="C31" s="471"/>
      <c r="D31" s="472"/>
      <c r="L31" s="47"/>
      <c r="M31" s="47"/>
    </row>
    <row r="32" spans="1:89" x14ac:dyDescent="0.25">
      <c r="A32" s="275" t="s">
        <v>744</v>
      </c>
      <c r="B32" s="473">
        <v>1</v>
      </c>
      <c r="C32" s="532">
        <v>0.624</v>
      </c>
      <c r="D32" s="533">
        <v>0.245</v>
      </c>
    </row>
    <row r="33" spans="1:4" x14ac:dyDescent="0.25">
      <c r="A33" s="275" t="s">
        <v>745</v>
      </c>
      <c r="B33" s="473">
        <v>1</v>
      </c>
      <c r="C33" s="532">
        <v>1.002</v>
      </c>
      <c r="D33" s="533">
        <v>0.34</v>
      </c>
    </row>
    <row r="34" spans="1:4" x14ac:dyDescent="0.25">
      <c r="A34" s="275" t="s">
        <v>746</v>
      </c>
      <c r="B34" s="473">
        <v>1</v>
      </c>
      <c r="C34" s="532">
        <v>0.46800000000000003</v>
      </c>
      <c r="D34" s="533">
        <v>0.125</v>
      </c>
    </row>
    <row r="35" spans="1:4" x14ac:dyDescent="0.25">
      <c r="A35" s="275" t="s">
        <v>747</v>
      </c>
      <c r="B35" s="473">
        <v>1</v>
      </c>
      <c r="C35" s="532">
        <v>0.877</v>
      </c>
      <c r="D35" s="533">
        <v>0.25</v>
      </c>
    </row>
    <row r="36" spans="1:4" x14ac:dyDescent="0.25">
      <c r="A36" s="275" t="s">
        <v>748</v>
      </c>
      <c r="B36" s="473">
        <v>1</v>
      </c>
      <c r="C36" s="532">
        <v>0.59299999999999997</v>
      </c>
      <c r="D36" s="533">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66"/>
      <c r="V1" t="s">
        <v>822</v>
      </c>
      <c r="Y1" t="s">
        <v>823</v>
      </c>
      <c r="AC1" t="s">
        <v>824</v>
      </c>
      <c r="AG1" s="4" t="s">
        <v>825</v>
      </c>
      <c r="AK1" t="s">
        <v>826</v>
      </c>
      <c r="AO1" t="s">
        <v>821</v>
      </c>
      <c r="AV1" t="s">
        <v>827</v>
      </c>
      <c r="BC1" t="s">
        <v>596</v>
      </c>
      <c r="BH1" t="s">
        <v>828</v>
      </c>
      <c r="BM1" t="s">
        <v>770</v>
      </c>
      <c r="BR1" t="s">
        <v>970</v>
      </c>
      <c r="BW1" t="s">
        <v>764</v>
      </c>
      <c r="CB1" t="s">
        <v>736</v>
      </c>
      <c r="CF1" t="s">
        <v>67</v>
      </c>
    </row>
    <row r="2" spans="1:87" x14ac:dyDescent="0.25">
      <c r="A2" s="522" t="s">
        <v>182</v>
      </c>
      <c r="B2" s="522" t="s">
        <v>1017</v>
      </c>
      <c r="C2" s="522" t="s">
        <v>829</v>
      </c>
      <c r="D2" s="522" t="s">
        <v>63</v>
      </c>
      <c r="E2" s="523" t="s">
        <v>830</v>
      </c>
      <c r="F2" s="522" t="s">
        <v>831</v>
      </c>
      <c r="G2" s="525" t="s">
        <v>835</v>
      </c>
      <c r="H2" s="526" t="s">
        <v>836</v>
      </c>
      <c r="I2" s="526" t="s">
        <v>1019</v>
      </c>
      <c r="J2" s="526" t="s">
        <v>1</v>
      </c>
      <c r="K2" s="526" t="s">
        <v>2</v>
      </c>
      <c r="L2" s="526" t="s">
        <v>837</v>
      </c>
      <c r="M2" s="526" t="s">
        <v>66</v>
      </c>
      <c r="N2" s="526" t="s">
        <v>712</v>
      </c>
      <c r="O2" s="526" t="s">
        <v>838</v>
      </c>
      <c r="P2" s="526" t="s">
        <v>0</v>
      </c>
      <c r="Q2" s="527" t="s">
        <v>699</v>
      </c>
      <c r="R2" s="527" t="s">
        <v>992</v>
      </c>
      <c r="S2" s="527" t="s">
        <v>839</v>
      </c>
      <c r="T2" s="527" t="s">
        <v>840</v>
      </c>
      <c r="U2" s="527" t="s">
        <v>722</v>
      </c>
      <c r="V2" s="528" t="s">
        <v>841</v>
      </c>
      <c r="W2" s="528" t="s">
        <v>842</v>
      </c>
      <c r="X2" s="528" t="s">
        <v>841</v>
      </c>
      <c r="Y2" s="529" t="s">
        <v>841</v>
      </c>
      <c r="Z2" s="529" t="s">
        <v>842</v>
      </c>
      <c r="AA2" s="529" t="s">
        <v>841</v>
      </c>
      <c r="AB2" s="529" t="s">
        <v>65</v>
      </c>
      <c r="AC2" s="529" t="s">
        <v>841</v>
      </c>
      <c r="AD2" s="529" t="s">
        <v>842</v>
      </c>
      <c r="AE2" s="529" t="s">
        <v>841</v>
      </c>
      <c r="AF2" s="529" t="s">
        <v>65</v>
      </c>
      <c r="AG2" s="528" t="s">
        <v>841</v>
      </c>
      <c r="AH2" s="528" t="s">
        <v>842</v>
      </c>
      <c r="AI2" s="528" t="s">
        <v>65</v>
      </c>
      <c r="AJ2" s="528" t="s">
        <v>843</v>
      </c>
      <c r="AK2" s="528" t="s">
        <v>841</v>
      </c>
      <c r="AL2" s="528" t="s">
        <v>842</v>
      </c>
      <c r="AM2" s="528" t="s">
        <v>65</v>
      </c>
      <c r="AN2" s="528" t="s">
        <v>843</v>
      </c>
      <c r="AO2" s="528" t="s">
        <v>841</v>
      </c>
      <c r="AP2" s="528" t="s">
        <v>842</v>
      </c>
      <c r="AQ2" s="528" t="s">
        <v>841</v>
      </c>
      <c r="AR2" s="528" t="s">
        <v>65</v>
      </c>
      <c r="AS2" s="528" t="s">
        <v>843</v>
      </c>
      <c r="AT2" s="528" t="s">
        <v>844</v>
      </c>
      <c r="AU2" s="528" t="s">
        <v>843</v>
      </c>
      <c r="AV2" s="528" t="s">
        <v>841</v>
      </c>
      <c r="AW2" s="528" t="s">
        <v>842</v>
      </c>
      <c r="AX2" s="528" t="s">
        <v>841</v>
      </c>
      <c r="AY2" s="528" t="s">
        <v>65</v>
      </c>
      <c r="AZ2" s="528" t="s">
        <v>843</v>
      </c>
      <c r="BA2" s="528" t="s">
        <v>844</v>
      </c>
      <c r="BB2" s="528" t="s">
        <v>843</v>
      </c>
      <c r="BC2" s="529" t="s">
        <v>841</v>
      </c>
      <c r="BD2" s="529" t="s">
        <v>842</v>
      </c>
      <c r="BE2" s="529" t="s">
        <v>65</v>
      </c>
      <c r="BF2" s="529" t="s">
        <v>843</v>
      </c>
      <c r="BG2" s="529" t="s">
        <v>844</v>
      </c>
      <c r="BH2" s="529" t="s">
        <v>841</v>
      </c>
      <c r="BI2" s="529" t="s">
        <v>842</v>
      </c>
      <c r="BJ2" s="529" t="s">
        <v>65</v>
      </c>
      <c r="BK2" s="529" t="s">
        <v>843</v>
      </c>
      <c r="BL2" s="529" t="s">
        <v>844</v>
      </c>
      <c r="BM2" s="528" t="s">
        <v>841</v>
      </c>
      <c r="BN2" s="528" t="s">
        <v>842</v>
      </c>
      <c r="BO2" s="528" t="s">
        <v>65</v>
      </c>
      <c r="BP2" s="528" t="s">
        <v>843</v>
      </c>
      <c r="BQ2" s="528" t="s">
        <v>844</v>
      </c>
      <c r="BR2" s="528" t="s">
        <v>841</v>
      </c>
      <c r="BS2" s="528" t="s">
        <v>842</v>
      </c>
      <c r="BT2" s="528" t="s">
        <v>65</v>
      </c>
      <c r="BU2" s="528" t="s">
        <v>843</v>
      </c>
      <c r="BV2" s="528" t="s">
        <v>844</v>
      </c>
      <c r="BW2" s="528" t="s">
        <v>841</v>
      </c>
      <c r="BX2" s="528" t="s">
        <v>842</v>
      </c>
      <c r="BY2" s="528" t="s">
        <v>65</v>
      </c>
      <c r="BZ2" s="528" t="s">
        <v>843</v>
      </c>
      <c r="CA2" s="528" t="s">
        <v>844</v>
      </c>
      <c r="CB2" s="529" t="s">
        <v>65</v>
      </c>
      <c r="CC2" s="529" t="s">
        <v>843</v>
      </c>
      <c r="CD2" s="529" t="s">
        <v>844</v>
      </c>
      <c r="CE2" s="529" t="s">
        <v>843</v>
      </c>
      <c r="CF2" s="528" t="s">
        <v>843</v>
      </c>
      <c r="CG2" s="528" t="s">
        <v>844</v>
      </c>
      <c r="CH2" s="528" t="s">
        <v>843</v>
      </c>
      <c r="CI2" s="528" t="s">
        <v>65</v>
      </c>
    </row>
    <row r="3" spans="1:87" x14ac:dyDescent="0.25">
      <c r="A3" t="str">
        <f>PLANTILLA!D5</f>
        <v>D. Gehmacher</v>
      </c>
      <c r="C3" s="666">
        <f>PLANTILLA!E5</f>
        <v>30</v>
      </c>
      <c r="D3" s="371">
        <f ca="1">PLANTILLA!F5</f>
        <v>2</v>
      </c>
      <c r="E3" s="666"/>
      <c r="F3" s="317">
        <v>42468</v>
      </c>
      <c r="G3" s="530">
        <v>1</v>
      </c>
      <c r="H3" s="531">
        <f>PLANTILLA!I5</f>
        <v>18.100000000000001</v>
      </c>
      <c r="I3" s="531"/>
      <c r="J3" s="163">
        <f>PLANTILLA!X5</f>
        <v>16.666666666666668</v>
      </c>
      <c r="K3" s="163">
        <f>PLANTILLA!Y5</f>
        <v>11.832727272727276</v>
      </c>
      <c r="L3" s="163">
        <f>PLANTILLA!Z5</f>
        <v>2.0399999999999991</v>
      </c>
      <c r="M3" s="163">
        <f>PLANTILLA!AA5</f>
        <v>2.1399999999999992</v>
      </c>
      <c r="N3" s="163">
        <f>PLANTILLA!AB5</f>
        <v>1.0400000000000003</v>
      </c>
      <c r="O3" s="163">
        <f>PLANTILLA!AC5</f>
        <v>0.14055555555555557</v>
      </c>
      <c r="P3" s="163">
        <f>PLANTILLA!AD5</f>
        <v>17.849999999999998</v>
      </c>
      <c r="Q3" s="163">
        <f>((2*(N3+1))+(K3+1))/8</f>
        <v>2.1140909090909092</v>
      </c>
      <c r="R3" s="163">
        <f>1.66*(O3+(LOG(H3)*4/3)+G3)+0.55*(P3+(LOG(H3)*4/3)+G3)-7.6</f>
        <v>8.3667817561700861</v>
      </c>
      <c r="S3" s="163">
        <f>(0.5*O3+ 0.3*P3)/10</f>
        <v>0.54252777777777772</v>
      </c>
      <c r="T3" s="163">
        <f>(0.4*K3+0.3*P3)/10</f>
        <v>1.008809090909091</v>
      </c>
      <c r="U3" s="163">
        <f t="shared" ref="U3:U22" ca="1" si="0">IF(TODAY()-F3&gt;335,(P3+1+(LOG(H3)*4/3)),(P3+((TODAY()-F3)^0.5)/(336^0.5)+(LOG(H3)*4/3)))</f>
        <v>20.526904766492244</v>
      </c>
      <c r="V3" s="159">
        <f t="shared" ref="V3:V22" si="1">((J3+G3+(LOG(H3)*4/3))*0.597)+((K3+G3+(LOG(H3)*4/3))*0.276)</f>
        <v>15.55277058842046</v>
      </c>
      <c r="W3" s="159">
        <f t="shared" ref="W3:W22" si="2">((J3+G3+(LOG(H3)*4/3))*0.866)+((K3+G3+(LOG(H3)*4/3))*0.425)</f>
        <v>22.918126477783918</v>
      </c>
      <c r="X3" s="159">
        <f>V3</f>
        <v>15.55277058842046</v>
      </c>
      <c r="Y3" s="159">
        <f t="shared" ref="Y3:Y22" si="3">((K3+G3+(LOG(H3)*4/3))*0.516)</f>
        <v>7.486970132237273</v>
      </c>
      <c r="Z3" s="159">
        <f t="shared" ref="Z3:Z22" si="4">(K3+G3+(LOG(H3)*4/3))*1</f>
        <v>14.509632039219522</v>
      </c>
      <c r="AA3" s="159">
        <f>Y3/2</f>
        <v>3.7434850661186365</v>
      </c>
      <c r="AB3" s="159">
        <f t="shared" ref="AB3:AB22" si="5">(L3+G3+(LOG(H3)*4/3))*0.238</f>
        <v>1.1226233344251544</v>
      </c>
      <c r="AC3" s="159">
        <f t="shared" ref="AC3:AC22" si="6">((K3+G3+(LOG(H3)*4/3))*0.378)</f>
        <v>5.4846409108249796</v>
      </c>
      <c r="AD3" s="159">
        <f t="shared" ref="AD3:AD22" si="7">(K3+G3+(LOG(H3)*4/3))*0.723</f>
        <v>10.490463964355714</v>
      </c>
      <c r="AE3" s="159">
        <f>AC3/2</f>
        <v>2.7423204554124898</v>
      </c>
      <c r="AF3" s="159">
        <f t="shared" ref="AF3:AF22" si="8">(L3+G3+(LOG(H3)*4/3))*0.385</f>
        <v>1.8160083350995144</v>
      </c>
      <c r="AG3" s="387">
        <f t="shared" ref="AG3:AG22" si="9">((K3+G3+(LOG(H3)*4/3))*0.92)</f>
        <v>13.348861476081961</v>
      </c>
      <c r="AH3" s="159">
        <f t="shared" ref="AH3:AH22" si="10">(K3+G3+(LOG(H3)*4/3))*0.414</f>
        <v>6.006987664236882</v>
      </c>
      <c r="AI3" s="159">
        <f t="shared" ref="AI3:AI22" si="11">((L3+G3+(LOG(H3)*4/3))*0.167)</f>
        <v>0.78772309600420498</v>
      </c>
      <c r="AJ3" s="387">
        <f t="shared" ref="AJ3:AJ22" si="12">(M3+G3+(LOG(H3)*4/3))*0.588</f>
        <v>2.8323400026974399</v>
      </c>
      <c r="AK3" s="159">
        <f t="shared" ref="AK3:AK22" si="13">((K3+G3+(LOG(H3)*4/3))*0.754)</f>
        <v>10.94026255757152</v>
      </c>
      <c r="AL3" s="159">
        <f t="shared" ref="AL3:AL22" si="14">((K3+G3+(LOG(H3)*4/3))*0.708)</f>
        <v>10.272819483767421</v>
      </c>
      <c r="AM3" s="159">
        <f t="shared" ref="AM3:AM22" si="15">((P3+G3+(LOG(H3)*4/3))*0.167)</f>
        <v>3.4279930960042049</v>
      </c>
      <c r="AN3" s="159">
        <f t="shared" ref="AN3:AN22" si="16">((Q3+G3+(LOG(H3)*4/3))*0.288)</f>
        <v>1.3798067545679487</v>
      </c>
      <c r="AO3" s="159">
        <f t="shared" ref="AO3:AO22" si="17">((K3+G3+(LOG(H3)*4/3))*0.27)</f>
        <v>3.9176006505892711</v>
      </c>
      <c r="AP3" s="159">
        <f t="shared" ref="AP3:AP22" si="18">((K3+G3+(LOG(H3)*4/3))*0.594)</f>
        <v>8.6187214312963949</v>
      </c>
      <c r="AQ3" s="159">
        <f>AO3/2</f>
        <v>1.9588003252946355</v>
      </c>
      <c r="AR3" s="159">
        <f t="shared" ref="AR3:AR22" si="19">((L3+G3+(LOG(H3)*4/3))*0.944)</f>
        <v>4.4527580995686789</v>
      </c>
      <c r="AS3" s="159">
        <f t="shared" ref="AS3:AS22" si="20">((N3+G3+(LOG(H3)*4/3))*0.13)</f>
        <v>0.48319761964399199</v>
      </c>
      <c r="AT3" s="159">
        <f t="shared" ref="AT3:AT22" si="21">((O3+G3+(LOG(H3)*4/3))*0.173)+((N3+G3+(LOG(H3)*4/3))*0.12)</f>
        <v>0.93344920769333917</v>
      </c>
      <c r="AU3" s="159">
        <f>AS3/2</f>
        <v>0.241598809821996</v>
      </c>
      <c r="AV3" s="159">
        <f t="shared" ref="AV3:AV22" si="22">((K3+G3+(LOG(H3)*4/3))*0.189)</f>
        <v>2.7423204554124898</v>
      </c>
      <c r="AW3" s="159">
        <f t="shared" ref="AW3:AW22" si="23">((K3+G3+(LOG(H3)*4/3))*0.4)</f>
        <v>5.8038528156878089</v>
      </c>
      <c r="AX3" s="159">
        <f>AV3/2</f>
        <v>1.3711602277062449</v>
      </c>
      <c r="AY3" s="159">
        <f t="shared" ref="AY3:AY22" si="24">((L3+G3+(LOG(H3)*4/3))*1)</f>
        <v>4.7169047664922452</v>
      </c>
      <c r="AZ3" s="159">
        <f t="shared" ref="AZ3:AZ22" si="25">((N3+G3+(LOG(H3)*4/3))*0.253)</f>
        <v>0.94037690592253831</v>
      </c>
      <c r="BA3" s="159">
        <f t="shared" ref="BA3:BA22" si="26">((O3+G3+(LOG(H3)*4/3))*0.21)+((N3+G3+(LOG(H3)*4/3))*0.341)</f>
        <v>1.8591311930038943</v>
      </c>
      <c r="BB3" s="159">
        <f>AZ3/2</f>
        <v>0.47018845296126915</v>
      </c>
      <c r="BC3" s="159">
        <f t="shared" ref="BC3:BC22" si="27">((K3+G3+(LOG(H3)*4/3))*0.291)</f>
        <v>4.2223029234128804</v>
      </c>
      <c r="BD3" s="159">
        <f t="shared" ref="BD3:BD22" si="28">((K3+G3+(LOG(H3)*4/3))*0.348)</f>
        <v>5.0493519496483934</v>
      </c>
      <c r="BE3" s="159">
        <f t="shared" ref="BE3:BE22" si="29">((L3+G3+(LOG(H3)*4/3))*0.881)</f>
        <v>4.1555930992796677</v>
      </c>
      <c r="BF3" s="159">
        <f t="shared" ref="BF3:BF22" si="30">((M3+G3+(LOG(H3)*4/3))*0.574)+((N3+G3+(LOG(H3)*4/3))*0.315)</f>
        <v>3.9357283374116059</v>
      </c>
      <c r="BG3" s="159">
        <f t="shared" ref="BG3:BG22" si="31">((N3+G3+(LOG(H3)*4/3))*0.241)</f>
        <v>0.89577404872463129</v>
      </c>
      <c r="BH3" s="159">
        <f t="shared" ref="BH3:BH22" si="32">((K3+G3+(LOG(H3)*4/3))*0.485)</f>
        <v>7.0371715390214682</v>
      </c>
      <c r="BI3" s="159">
        <f t="shared" ref="BI3:BI22" si="33">((K3+G3+(LOG(H3)*4/3))*0.264)</f>
        <v>3.830542858353954</v>
      </c>
      <c r="BJ3" s="159">
        <f t="shared" ref="BJ3:BJ22" si="34">((L3+G3+(LOG(H3)*4/3))*0.381)</f>
        <v>1.7971407160335455</v>
      </c>
      <c r="BK3" s="159">
        <f t="shared" ref="BK3:BK22" si="35">((M3+G3+(LOG(H3)*4/3))*0.673)+((N3+G3+(LOG(H3)*4/3))*0.201)</f>
        <v>3.9888747659142223</v>
      </c>
      <c r="BL3" s="159">
        <f t="shared" ref="BL3:BL22" si="36">((N3+G3+(LOG(H3)*4/3))*0.052)</f>
        <v>0.19327904785759678</v>
      </c>
      <c r="BM3" s="159">
        <f t="shared" ref="BM3:BM22" si="37">((K3+G3+(LOG(H3)*4/3))*0.18)</f>
        <v>2.6117337670595138</v>
      </c>
      <c r="BN3" s="159">
        <f t="shared" ref="BN3:BN22" si="38">(K3+G3+(LOG(H3)*4/3))*0.068</f>
        <v>0.98665497866692753</v>
      </c>
      <c r="BO3" s="159">
        <f t="shared" ref="BO3:BO22" si="39">((L3+G3+(LOG(H3)*4/3))*0.305)</f>
        <v>1.4386559537801347</v>
      </c>
      <c r="BP3" s="159">
        <f t="shared" ref="BP3:BP22" si="40">((M3+G3+(LOG(H3)*4/3))*1)+((N3+G3+(LOG(H3)*4/3))*0.286)</f>
        <v>5.8799395297090271</v>
      </c>
      <c r="BQ3" s="159">
        <f t="shared" ref="BQ3:BQ22" si="41">((N3+G3+(LOG(H3)*4/3))*0.135)</f>
        <v>0.50178214347645322</v>
      </c>
      <c r="BR3" s="159">
        <f t="shared" ref="BR3:BR22" si="42">((K3+G3+(LOG(H3)*4/3))*0.284)</f>
        <v>4.1207354991383438</v>
      </c>
      <c r="BS3" s="159">
        <f t="shared" ref="BS3:BS22" si="43">(K3+G3+(LOG(H3)*4/3))*0.244</f>
        <v>3.5403502175695634</v>
      </c>
      <c r="BT3" s="159">
        <f t="shared" ref="BT3:BT22" si="44">((L3+G3+(LOG(H3)*4/3))*0.455)</f>
        <v>2.1461916687539717</v>
      </c>
      <c r="BU3" s="159">
        <f t="shared" ref="BU3:BU22" si="45">((M3+G3+(LOG(H3)*4/3))*0.864)+((N3+G3+(LOG(H3)*4/3))*0.244)</f>
        <v>5.0687304812734073</v>
      </c>
      <c r="BV3" s="159">
        <f t="shared" ref="BV3:BV22" si="46">((N3+G3+(LOG(H3)*4/3))*0.121)</f>
        <v>0.44974547674556176</v>
      </c>
      <c r="BW3" s="159">
        <f t="shared" ref="BW3:BW22" si="47">((K3+G3+(LOG(H3)*4/3))*0.284)</f>
        <v>4.1207354991383438</v>
      </c>
      <c r="BX3" s="159">
        <f t="shared" ref="BX3:BX22" si="48">((K3+G3+(LOG(H3)*4/3))*0.244)</f>
        <v>3.5403502175695634</v>
      </c>
      <c r="BY3" s="159">
        <f t="shared" ref="BY3:BY22" si="49">((L3+G3+(LOG(H3)*4/3))*0.631)</f>
        <v>2.9763669076566068</v>
      </c>
      <c r="BZ3" s="159">
        <f t="shared" ref="BZ3:BZ22" si="50">((M3+G3+(LOG(H3)*4/3))*0.702)+((N3+G3+(LOG(H3)*4/3))*0.193)</f>
        <v>4.0988297660105593</v>
      </c>
      <c r="CA3" s="159">
        <f t="shared" ref="CA3:CA22" si="51">((N3+G3+(LOG(H3)*4/3))*0.148)</f>
        <v>0.55010190544085236</v>
      </c>
      <c r="CB3" s="159">
        <f t="shared" ref="CB3:CB22" si="52">((L3+G3+(LOG(H3)*4/3))*0.406)</f>
        <v>1.9150633351958517</v>
      </c>
      <c r="CC3" s="159">
        <f t="shared" ref="CC3:CC22" si="53">IF(E3="TEC",((M3+G3+(LOG(H3)*4/3))*0.15)+((N3+G3+(LOG(H3)*4/3))*0.324)+((O3+G3+(LOG(H3)*4/3))*0.127),(((M3+G3+(LOG(H3)*4/3))*0.144)+((N3+G3+(LOG(H3)*4/3))*0.25)+((O3+G3+(LOG(H3)*4/3))*0.127)))</f>
        <v>1.9806779388980156</v>
      </c>
      <c r="CD3" s="159">
        <f t="shared" ref="CD3:CD22" si="54">((N3+G3+(LOG(H3)*4/3))*0.543)+((O3+G3+(LOG(H3)*4/3))*0.583)</f>
        <v>3.6608586559591574</v>
      </c>
      <c r="CE3" s="159">
        <f>CC3</f>
        <v>1.9806779388980156</v>
      </c>
      <c r="CF3" s="159">
        <f t="shared" ref="CF3:CF22" si="55">((O3+1+(LOG(H3)*4/3))*0.26)+((M3+G3+(LOG(H3)*4/3))*0.221)+((N3+G3+(LOG(H3)*4/3))*0.142)</f>
        <v>2.3248761139691134</v>
      </c>
      <c r="CG3" s="159">
        <f t="shared" ref="CG3:CG22" si="56">((O3+G3+(LOG(H3)*4/3))*1)+((N3+G3+(LOG(H3)*4/3))*0.369)</f>
        <v>4.1889981808834404</v>
      </c>
      <c r="CH3" s="159">
        <f>CF3</f>
        <v>2.3248761139691134</v>
      </c>
      <c r="CI3" s="159">
        <f>((L3+G3+(LOG(H3)*4/3))*0.25)</f>
        <v>1.1792261916230613</v>
      </c>
    </row>
    <row r="4" spans="1:87" x14ac:dyDescent="0.25">
      <c r="A4" t="str">
        <f>PLANTILLA!D6</f>
        <v>T. Hammond</v>
      </c>
      <c r="B4" t="s">
        <v>1018</v>
      </c>
      <c r="C4" s="666">
        <f>PLANTILLA!E6</f>
        <v>34</v>
      </c>
      <c r="D4" s="666">
        <f ca="1">PLANTILLA!F6</f>
        <v>11</v>
      </c>
      <c r="E4" s="666" t="str">
        <f>PLANTILLA!G6</f>
        <v>CAB</v>
      </c>
      <c r="F4" s="317">
        <v>41400</v>
      </c>
      <c r="G4" s="530">
        <v>1.5</v>
      </c>
      <c r="H4" s="531">
        <f>PLANTILLA!I6</f>
        <v>7.8</v>
      </c>
      <c r="I4" s="531"/>
      <c r="J4" s="163">
        <f>PLANTILLA!X6</f>
        <v>10.3</v>
      </c>
      <c r="K4" s="163">
        <f>PLANTILLA!Y6</f>
        <v>10.794999999999998</v>
      </c>
      <c r="L4" s="163">
        <f>PLANTILLA!Z6</f>
        <v>4.6300000000000008</v>
      </c>
      <c r="M4" s="163">
        <f>PLANTILLA!AA6</f>
        <v>4.95</v>
      </c>
      <c r="N4" s="163">
        <f>PLANTILLA!AB6</f>
        <v>6.5444444444444434</v>
      </c>
      <c r="O4" s="163">
        <f>PLANTILLA!AC6</f>
        <v>3.99</v>
      </c>
      <c r="P4" s="163">
        <f>PLANTILLA!AD6</f>
        <v>15.778888888888888</v>
      </c>
      <c r="Q4" s="163">
        <f t="shared" ref="Q4:Q22" si="57">((2*(N4+1))+(K4+1))/8</f>
        <v>3.3604861111111104</v>
      </c>
      <c r="R4" s="163">
        <f t="shared" ref="R4:R22" si="58">1.66*(O4+(LOG(H4)*4/3)+G4)+0.55*(P4+(LOG(H4)*4/3)+G4)-7.6</f>
        <v>13.645494318150172</v>
      </c>
      <c r="S4" s="163">
        <f t="shared" ref="S4:S22" si="59">(0.5*O4+ 0.3*P4)/10</f>
        <v>0.67286666666666661</v>
      </c>
      <c r="T4" s="163">
        <f t="shared" ref="T4:T22" si="60">(0.4*K4+0.3*P4)/10</f>
        <v>0.90516666666666656</v>
      </c>
      <c r="U4" s="163">
        <f t="shared" ca="1" si="0"/>
        <v>17.968348359142858</v>
      </c>
      <c r="V4" s="159">
        <f t="shared" si="1"/>
        <v>11.476418117531718</v>
      </c>
      <c r="W4" s="159">
        <f t="shared" si="2"/>
        <v>16.97976717609788</v>
      </c>
      <c r="X4" s="159">
        <f t="shared" ref="X4:X22" si="61">V4</f>
        <v>11.476418117531718</v>
      </c>
      <c r="Y4" s="159">
        <f t="shared" si="3"/>
        <v>6.9579810866510501</v>
      </c>
      <c r="Z4" s="159">
        <f t="shared" si="4"/>
        <v>13.484459470253972</v>
      </c>
      <c r="AA4" s="159">
        <f t="shared" ref="AA4:AA22" si="62">Y4/2</f>
        <v>3.478990543325525</v>
      </c>
      <c r="AB4" s="159">
        <f t="shared" si="5"/>
        <v>1.7420313539204459</v>
      </c>
      <c r="AC4" s="159">
        <f t="shared" si="6"/>
        <v>5.0971256797560018</v>
      </c>
      <c r="AD4" s="159">
        <f t="shared" si="7"/>
        <v>9.7492641969936216</v>
      </c>
      <c r="AE4" s="159">
        <f t="shared" ref="AE4:AE22" si="63">AC4/2</f>
        <v>2.5485628398780009</v>
      </c>
      <c r="AF4" s="159">
        <f t="shared" si="8"/>
        <v>2.8179918960477801</v>
      </c>
      <c r="AG4" s="387">
        <f t="shared" si="9"/>
        <v>12.405702712633655</v>
      </c>
      <c r="AH4" s="159">
        <f t="shared" si="10"/>
        <v>5.5825662206851439</v>
      </c>
      <c r="AI4" s="159">
        <f t="shared" si="11"/>
        <v>1.2223497315324139</v>
      </c>
      <c r="AJ4" s="387">
        <f t="shared" si="12"/>
        <v>4.4920021685093365</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2" si="64">AO4/2</f>
        <v>1.8204020284842863</v>
      </c>
      <c r="AR4" s="159">
        <f t="shared" si="19"/>
        <v>6.9095697399197515</v>
      </c>
      <c r="AS4" s="159">
        <f t="shared" si="20"/>
        <v>1.2004075089107944</v>
      </c>
      <c r="AT4" s="159">
        <f t="shared" si="21"/>
        <v>2.2636149581177474</v>
      </c>
      <c r="AU4" s="159">
        <f t="shared" ref="AU4:AU22" si="65">AS4/2</f>
        <v>0.6002037544553972</v>
      </c>
      <c r="AV4" s="159">
        <f t="shared" si="22"/>
        <v>2.5485628398780009</v>
      </c>
      <c r="AW4" s="159">
        <f t="shared" si="23"/>
        <v>5.3937837881015893</v>
      </c>
      <c r="AX4" s="159">
        <f t="shared" ref="AX4:AX22" si="66">AV4/2</f>
        <v>1.2742814199390005</v>
      </c>
      <c r="AY4" s="159">
        <f t="shared" si="24"/>
        <v>7.3194594702539746</v>
      </c>
      <c r="AZ4" s="159">
        <f t="shared" si="25"/>
        <v>2.3361776904186997</v>
      </c>
      <c r="BA4" s="159">
        <f t="shared" si="26"/>
        <v>4.5514477236654951</v>
      </c>
      <c r="BB4" s="159">
        <f t="shared" ref="BB4:BB22" si="67">AZ4/2</f>
        <v>1.1680888452093499</v>
      </c>
      <c r="BC4" s="159">
        <f t="shared" si="27"/>
        <v>3.9239777058439054</v>
      </c>
      <c r="BD4" s="159">
        <f t="shared" si="28"/>
        <v>4.6925918956483823</v>
      </c>
      <c r="BE4" s="159">
        <f t="shared" si="29"/>
        <v>6.4484437932937517</v>
      </c>
      <c r="BF4" s="159">
        <f t="shared" si="30"/>
        <v>7.2937294690557817</v>
      </c>
      <c r="BG4" s="159">
        <f t="shared" si="31"/>
        <v>2.2253708434423185</v>
      </c>
      <c r="BH4" s="159">
        <f t="shared" si="32"/>
        <v>6.5399628430731767</v>
      </c>
      <c r="BI4" s="159">
        <f t="shared" si="33"/>
        <v>3.5598973001470489</v>
      </c>
      <c r="BJ4" s="159">
        <f t="shared" si="34"/>
        <v>2.7887140581667644</v>
      </c>
      <c r="BK4" s="159">
        <f t="shared" si="35"/>
        <v>6.9973709103353068</v>
      </c>
      <c r="BL4" s="159">
        <f t="shared" si="36"/>
        <v>0.48016300356431774</v>
      </c>
      <c r="BM4" s="159">
        <f t="shared" si="37"/>
        <v>2.427202704645715</v>
      </c>
      <c r="BN4" s="159">
        <f t="shared" si="38"/>
        <v>0.91694324397727012</v>
      </c>
      <c r="BO4" s="159">
        <f t="shared" si="39"/>
        <v>2.2324351384274621</v>
      </c>
      <c r="BP4" s="159">
        <f t="shared" si="40"/>
        <v>10.280355989857721</v>
      </c>
      <c r="BQ4" s="159">
        <f t="shared" si="41"/>
        <v>1.2465770284842865</v>
      </c>
      <c r="BR4" s="159">
        <f t="shared" si="42"/>
        <v>3.8295864895521277</v>
      </c>
      <c r="BS4" s="159">
        <f t="shared" si="43"/>
        <v>3.2902081107419692</v>
      </c>
      <c r="BT4" s="159">
        <f t="shared" si="44"/>
        <v>3.3303540589655585</v>
      </c>
      <c r="BU4" s="159">
        <f t="shared" si="45"/>
        <v>8.8535655374858475</v>
      </c>
      <c r="BV4" s="159">
        <f t="shared" si="46"/>
        <v>1.1173023736785086</v>
      </c>
      <c r="BW4" s="159">
        <f t="shared" si="47"/>
        <v>3.8295864895521277</v>
      </c>
      <c r="BX4" s="159">
        <f t="shared" si="48"/>
        <v>3.2902081107419692</v>
      </c>
      <c r="BY4" s="159">
        <f t="shared" si="49"/>
        <v>4.6185789257302581</v>
      </c>
      <c r="BZ4" s="159">
        <f t="shared" si="50"/>
        <v>7.1450440036550837</v>
      </c>
      <c r="CA4" s="159">
        <f t="shared" si="51"/>
        <v>1.3666177793753658</v>
      </c>
      <c r="CB4" s="159">
        <f t="shared" si="52"/>
        <v>2.971700544923114</v>
      </c>
      <c r="CC4" s="159">
        <f t="shared" si="53"/>
        <v>4.256849495113431</v>
      </c>
      <c r="CD4" s="159">
        <f t="shared" si="54"/>
        <v>8.9081346968393085</v>
      </c>
      <c r="CE4" s="159">
        <f t="shared" ref="CE4:CE22" si="68">CC4</f>
        <v>4.256849495113431</v>
      </c>
      <c r="CF4" s="159">
        <f t="shared" si="55"/>
        <v>4.6061943610793366</v>
      </c>
      <c r="CG4" s="159">
        <f t="shared" si="56"/>
        <v>10.08677001477769</v>
      </c>
      <c r="CH4" s="159">
        <f t="shared" ref="CH4:CH22" si="69">CF4</f>
        <v>4.6061943610793366</v>
      </c>
      <c r="CI4" s="159">
        <f t="shared" ref="CI4:CI22" si="70">((L4+G4+(LOG(H4)*4/3))*0.25)</f>
        <v>1.8298648675634936</v>
      </c>
    </row>
    <row r="5" spans="1:87" x14ac:dyDescent="0.25">
      <c r="A5" t="str">
        <f>PLANTILLA!D8</f>
        <v>D. Toh</v>
      </c>
      <c r="B5" t="s">
        <v>1018</v>
      </c>
      <c r="C5" s="666">
        <f>PLANTILLA!E8</f>
        <v>31</v>
      </c>
      <c r="D5" s="666">
        <f ca="1">PLANTILLA!F8</f>
        <v>59</v>
      </c>
      <c r="E5" s="666" t="str">
        <f>PLANTILLA!G8</f>
        <v>CAB</v>
      </c>
      <c r="F5" s="317">
        <v>41519</v>
      </c>
      <c r="G5" s="530">
        <v>1.5</v>
      </c>
      <c r="H5" s="531">
        <f>PLANTILLA!I8</f>
        <v>7.5</v>
      </c>
      <c r="I5" s="371"/>
      <c r="J5" s="163">
        <f>PLANTILLA!X8</f>
        <v>0</v>
      </c>
      <c r="K5" s="163">
        <f>PLANTILLA!Y8</f>
        <v>11</v>
      </c>
      <c r="L5" s="163">
        <f>PLANTILLA!Z8</f>
        <v>6.1894444444444412</v>
      </c>
      <c r="M5" s="163">
        <f>PLANTILLA!AA8</f>
        <v>6.04</v>
      </c>
      <c r="N5" s="163">
        <f>PLANTILLA!AB8</f>
        <v>7.7227777777777789</v>
      </c>
      <c r="O5" s="163">
        <f>PLANTILLA!AC8</f>
        <v>4.383333333333332</v>
      </c>
      <c r="P5" s="163">
        <f>PLANTILLA!AD8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2.1077738853607428</v>
      </c>
      <c r="AC5" s="159">
        <f t="shared" si="6"/>
        <v>5.1660308767494172</v>
      </c>
      <c r="AD5" s="159">
        <f t="shared" si="7"/>
        <v>9.8810590579095994</v>
      </c>
      <c r="AE5" s="159">
        <f t="shared" si="63"/>
        <v>2.5830154383747086</v>
      </c>
      <c r="AF5" s="159">
        <f t="shared" si="8"/>
        <v>3.409634226318849</v>
      </c>
      <c r="AG5" s="387">
        <f t="shared" si="9"/>
        <v>12.57340848309382</v>
      </c>
      <c r="AH5" s="159">
        <f t="shared" si="10"/>
        <v>5.6580338173922184</v>
      </c>
      <c r="AI5" s="159">
        <f t="shared" si="11"/>
        <v>1.4789841968707735</v>
      </c>
      <c r="AJ5" s="387">
        <f t="shared" si="12"/>
        <v>5.1195680304990923</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8.3602459990779057</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8.8561927956333744</v>
      </c>
      <c r="AZ5" s="159">
        <f t="shared" si="25"/>
        <v>2.6285501106285785</v>
      </c>
      <c r="BA5" s="159">
        <f t="shared" si="26"/>
        <v>5.0233455637273252</v>
      </c>
      <c r="BB5" s="159">
        <f t="shared" si="67"/>
        <v>1.3142750553142892</v>
      </c>
      <c r="BC5" s="159">
        <f t="shared" si="27"/>
        <v>3.9770237701959794</v>
      </c>
      <c r="BD5" s="159">
        <f t="shared" si="28"/>
        <v>4.7560284262137484</v>
      </c>
      <c r="BE5" s="159">
        <f t="shared" si="29"/>
        <v>7.8023058529530029</v>
      </c>
      <c r="BF5" s="159">
        <f t="shared" si="30"/>
        <v>8.2703742842069623</v>
      </c>
      <c r="BG5" s="159">
        <f t="shared" si="31"/>
        <v>2.5038757970809775</v>
      </c>
      <c r="BH5" s="159">
        <f t="shared" si="32"/>
        <v>6.6283729503266331</v>
      </c>
      <c r="BI5" s="159">
        <f t="shared" si="33"/>
        <v>3.6080215647138787</v>
      </c>
      <c r="BJ5" s="159">
        <f t="shared" si="34"/>
        <v>3.3742094551363158</v>
      </c>
      <c r="BK5" s="159">
        <f t="shared" si="35"/>
        <v>7.947936392272462</v>
      </c>
      <c r="BL5" s="159">
        <f t="shared" si="36"/>
        <v>0.54025535870626906</v>
      </c>
      <c r="BM5" s="159">
        <f t="shared" si="37"/>
        <v>2.4600147032140081</v>
      </c>
      <c r="BN5" s="159">
        <f t="shared" si="38"/>
        <v>0.92933888788084762</v>
      </c>
      <c r="BO5" s="159">
        <f t="shared" si="39"/>
        <v>2.7011388026681793</v>
      </c>
      <c r="BP5" s="159">
        <f t="shared" si="40"/>
        <v>11.678152824073413</v>
      </c>
      <c r="BQ5" s="159">
        <f t="shared" si="41"/>
        <v>1.4025860274105064</v>
      </c>
      <c r="BR5" s="159">
        <f t="shared" si="42"/>
        <v>3.8813565317376568</v>
      </c>
      <c r="BS5" s="159">
        <f t="shared" si="43"/>
        <v>3.3346865976900997</v>
      </c>
      <c r="BT5" s="159">
        <f t="shared" si="44"/>
        <v>4.0295677220131854</v>
      </c>
      <c r="BU5" s="159">
        <f t="shared" si="45"/>
        <v>10.057674950895116</v>
      </c>
      <c r="BV5" s="159">
        <f t="shared" si="46"/>
        <v>1.2571326616049723</v>
      </c>
      <c r="BW5" s="159">
        <f t="shared" si="47"/>
        <v>3.8813565317376568</v>
      </c>
      <c r="BX5" s="159">
        <f t="shared" si="48"/>
        <v>3.3346865976900997</v>
      </c>
      <c r="BY5" s="159">
        <f t="shared" si="49"/>
        <v>5.5882576540446589</v>
      </c>
      <c r="BZ5" s="159">
        <f t="shared" si="50"/>
        <v>8.1173158854252065</v>
      </c>
      <c r="CA5" s="159">
        <f t="shared" si="51"/>
        <v>1.5376498670870735</v>
      </c>
      <c r="CB5" s="159">
        <f t="shared" si="52"/>
        <v>3.5956142750271503</v>
      </c>
      <c r="CC5" s="159">
        <f t="shared" si="53"/>
        <v>4.7465136687472125</v>
      </c>
      <c r="CD5" s="159">
        <f t="shared" si="54"/>
        <v>9.7517103101054055</v>
      </c>
      <c r="CE5" s="159">
        <f t="shared" si="68"/>
        <v>4.7465136687472125</v>
      </c>
      <c r="CF5" s="159">
        <f t="shared" si="55"/>
        <v>5.1025253339018164</v>
      </c>
      <c r="CG5" s="159">
        <f t="shared" si="56"/>
        <v>10.883816826110982</v>
      </c>
      <c r="CH5" s="159">
        <f t="shared" si="69"/>
        <v>5.1025253339018164</v>
      </c>
      <c r="CI5" s="159">
        <f t="shared" si="70"/>
        <v>2.2140481989083436</v>
      </c>
    </row>
    <row r="6" spans="1:87" x14ac:dyDescent="0.25">
      <c r="A6" t="str">
        <f>PLANTILLA!D9</f>
        <v>E. Toney</v>
      </c>
      <c r="B6" t="s">
        <v>1018</v>
      </c>
      <c r="C6" s="666">
        <f>PLANTILLA!E9</f>
        <v>31</v>
      </c>
      <c r="D6" s="666">
        <f ca="1">PLANTILLA!F9</f>
        <v>13</v>
      </c>
      <c r="E6" s="666"/>
      <c r="F6" s="317">
        <v>41539</v>
      </c>
      <c r="G6" s="530">
        <v>1.5</v>
      </c>
      <c r="H6" s="531">
        <f>PLANTILLA!I9</f>
        <v>12.2</v>
      </c>
      <c r="I6" s="371"/>
      <c r="J6" s="163">
        <f>PLANTILLA!X9</f>
        <v>0</v>
      </c>
      <c r="K6" s="163">
        <f>PLANTILLA!Y9</f>
        <v>12.060000000000004</v>
      </c>
      <c r="L6" s="163">
        <f>PLANTILLA!Z9</f>
        <v>13.116555555555554</v>
      </c>
      <c r="M6" s="163">
        <f>PLANTILLA!AA9</f>
        <v>9.8200000000000056</v>
      </c>
      <c r="N6" s="163">
        <f>PLANTILLA!AB9</f>
        <v>9.6</v>
      </c>
      <c r="O6" s="163">
        <f>PLANTILLA!AC9</f>
        <v>3.6816666666666658</v>
      </c>
      <c r="P6" s="163">
        <f>PLANTILLA!AD9</f>
        <v>16.627777777777773</v>
      </c>
      <c r="Q6" s="163">
        <f t="shared" si="57"/>
        <v>4.2825000000000006</v>
      </c>
      <c r="R6" s="163">
        <f t="shared" si="58"/>
        <v>14.172984745499365</v>
      </c>
      <c r="S6" s="163">
        <f t="shared" si="59"/>
        <v>0.68291666666666639</v>
      </c>
      <c r="T6" s="163">
        <f t="shared" si="60"/>
        <v>0.98123333333333329</v>
      </c>
      <c r="U6" s="163">
        <f t="shared" ca="1" si="0"/>
        <v>19.07625755201077</v>
      </c>
      <c r="V6" s="159">
        <f t="shared" si="1"/>
        <v>5.9025828429054084</v>
      </c>
      <c r="W6" s="159">
        <f t="shared" si="2"/>
        <v>8.931987388534802</v>
      </c>
      <c r="X6" s="159">
        <f t="shared" si="61"/>
        <v>5.9025828429054084</v>
      </c>
      <c r="Y6" s="159">
        <f t="shared" si="3"/>
        <v>7.7443755635042297</v>
      </c>
      <c r="Z6" s="159">
        <f t="shared" si="4"/>
        <v>15.008479774233003</v>
      </c>
      <c r="AA6" s="159">
        <f t="shared" si="62"/>
        <v>3.8721877817521149</v>
      </c>
      <c r="AB6" s="159">
        <f t="shared" si="5"/>
        <v>3.8234784084896747</v>
      </c>
      <c r="AC6" s="159">
        <f t="shared" si="6"/>
        <v>5.6732053546600749</v>
      </c>
      <c r="AD6" s="159">
        <f t="shared" si="7"/>
        <v>10.85113087677046</v>
      </c>
      <c r="AE6" s="159">
        <f t="shared" si="63"/>
        <v>2.8366026773300375</v>
      </c>
      <c r="AF6" s="159">
        <f t="shared" si="8"/>
        <v>6.1850386019685919</v>
      </c>
      <c r="AG6" s="387">
        <f t="shared" si="9"/>
        <v>13.807801392294364</v>
      </c>
      <c r="AH6" s="159">
        <f t="shared" si="10"/>
        <v>6.2135106265324627</v>
      </c>
      <c r="AI6" s="159">
        <f t="shared" si="11"/>
        <v>2.6828609000746879</v>
      </c>
      <c r="AJ6" s="387">
        <f t="shared" si="12"/>
        <v>7.507866107249006</v>
      </c>
      <c r="AK6" s="159">
        <f t="shared" si="13"/>
        <v>11.316393749771684</v>
      </c>
      <c r="AL6" s="159">
        <f t="shared" si="14"/>
        <v>10.626003680156964</v>
      </c>
      <c r="AM6" s="159">
        <f t="shared" si="15"/>
        <v>3.2692350111857986</v>
      </c>
      <c r="AN6" s="159">
        <f t="shared" si="16"/>
        <v>2.0825221749791032</v>
      </c>
      <c r="AO6" s="159">
        <f t="shared" si="17"/>
        <v>4.0522895390429108</v>
      </c>
      <c r="AP6" s="159">
        <f t="shared" si="18"/>
        <v>8.9150369858944032</v>
      </c>
      <c r="AQ6" s="159">
        <f t="shared" si="64"/>
        <v>2.0261447695214554</v>
      </c>
      <c r="AR6" s="159">
        <f t="shared" si="19"/>
        <v>15.165393351320391</v>
      </c>
      <c r="AS6" s="159">
        <f t="shared" si="20"/>
        <v>1.6313023706502898</v>
      </c>
      <c r="AT6" s="159">
        <f t="shared" si="21"/>
        <v>2.6528329071836012</v>
      </c>
      <c r="AU6" s="159">
        <f t="shared" si="65"/>
        <v>0.81565118532514491</v>
      </c>
      <c r="AV6" s="159">
        <f t="shared" si="22"/>
        <v>2.8366026773300375</v>
      </c>
      <c r="AW6" s="159">
        <f t="shared" si="23"/>
        <v>6.0033919096932014</v>
      </c>
      <c r="AX6" s="159">
        <f t="shared" si="66"/>
        <v>1.4183013386650187</v>
      </c>
      <c r="AY6" s="159">
        <f t="shared" si="24"/>
        <v>16.06503532978855</v>
      </c>
      <c r="AZ6" s="159">
        <f t="shared" si="25"/>
        <v>3.1747653828809486</v>
      </c>
      <c r="BA6" s="159">
        <f t="shared" si="26"/>
        <v>5.6713623556023816</v>
      </c>
      <c r="BB6" s="159">
        <f t="shared" si="67"/>
        <v>1.5873826914404743</v>
      </c>
      <c r="BC6" s="159">
        <f t="shared" si="27"/>
        <v>4.3674676143018036</v>
      </c>
      <c r="BD6" s="159">
        <f t="shared" si="28"/>
        <v>5.2229509614330842</v>
      </c>
      <c r="BE6" s="159">
        <f t="shared" si="29"/>
        <v>14.153296125543713</v>
      </c>
      <c r="BF6" s="159">
        <f t="shared" si="30"/>
        <v>11.281878519293139</v>
      </c>
      <c r="BG6" s="159">
        <f t="shared" si="31"/>
        <v>3.0241836255901524</v>
      </c>
      <c r="BH6" s="159">
        <f t="shared" si="32"/>
        <v>7.2791126905030064</v>
      </c>
      <c r="BI6" s="159">
        <f t="shared" si="33"/>
        <v>3.9622386603975128</v>
      </c>
      <c r="BJ6" s="159">
        <f t="shared" si="34"/>
        <v>6.1207784606494373</v>
      </c>
      <c r="BK6" s="159">
        <f t="shared" si="35"/>
        <v>11.115431322679644</v>
      </c>
      <c r="BL6" s="159">
        <f t="shared" si="36"/>
        <v>0.65252094826011586</v>
      </c>
      <c r="BM6" s="159">
        <f t="shared" si="37"/>
        <v>2.7015263593619405</v>
      </c>
      <c r="BN6" s="159">
        <f t="shared" si="38"/>
        <v>1.0205766246478443</v>
      </c>
      <c r="BO6" s="159">
        <f t="shared" si="39"/>
        <v>4.8998357755855073</v>
      </c>
      <c r="BP6" s="159">
        <f t="shared" si="40"/>
        <v>16.357344989663641</v>
      </c>
      <c r="BQ6" s="159">
        <f t="shared" si="41"/>
        <v>1.6940447695214549</v>
      </c>
      <c r="BR6" s="159">
        <f t="shared" si="42"/>
        <v>4.2624082558821721</v>
      </c>
      <c r="BS6" s="159">
        <f t="shared" si="43"/>
        <v>3.6620690649128527</v>
      </c>
      <c r="BT6" s="159">
        <f t="shared" si="44"/>
        <v>7.3095910750537909</v>
      </c>
      <c r="BU6" s="159">
        <f t="shared" si="45"/>
        <v>14.093795589850167</v>
      </c>
      <c r="BV6" s="159">
        <f t="shared" si="46"/>
        <v>1.5183660526821927</v>
      </c>
      <c r="BW6" s="159">
        <f t="shared" si="47"/>
        <v>4.2624082558821721</v>
      </c>
      <c r="BX6" s="159">
        <f t="shared" si="48"/>
        <v>3.6620690649128527</v>
      </c>
      <c r="BY6" s="159">
        <f t="shared" si="49"/>
        <v>10.137037293096576</v>
      </c>
      <c r="BZ6" s="159">
        <f t="shared" si="50"/>
        <v>11.385329397938536</v>
      </c>
      <c r="CA6" s="159">
        <f t="shared" si="51"/>
        <v>1.8571750065864836</v>
      </c>
      <c r="CB6" s="159">
        <f t="shared" si="52"/>
        <v>6.5224043438941521</v>
      </c>
      <c r="CC6" s="159">
        <f t="shared" si="53"/>
        <v>5.8178096290420598</v>
      </c>
      <c r="CD6" s="159">
        <f t="shared" si="54"/>
        <v>10.679199892453022</v>
      </c>
      <c r="CE6" s="159">
        <f t="shared" si="68"/>
        <v>5.8178096290420598</v>
      </c>
      <c r="CF6" s="159">
        <f t="shared" si="55"/>
        <v>6.1975562326804923</v>
      </c>
      <c r="CG6" s="159">
        <f t="shared" si="56"/>
        <v>11.26053547759164</v>
      </c>
      <c r="CH6" s="159">
        <f t="shared" si="69"/>
        <v>6.1975562326804923</v>
      </c>
      <c r="CI6" s="159">
        <f t="shared" si="70"/>
        <v>4.0162588324471376</v>
      </c>
    </row>
    <row r="7" spans="1:87" x14ac:dyDescent="0.25">
      <c r="A7" t="str">
        <f>PLANTILLA!D10</f>
        <v>B. Bartolache</v>
      </c>
      <c r="B7" t="s">
        <v>1018</v>
      </c>
      <c r="C7" s="666">
        <f>PLANTILLA!E10</f>
        <v>30</v>
      </c>
      <c r="D7" s="666">
        <f ca="1">PLANTILLA!F10</f>
        <v>110</v>
      </c>
      <c r="E7" s="666"/>
      <c r="F7" s="317">
        <v>41527</v>
      </c>
      <c r="G7" s="530">
        <v>1.5</v>
      </c>
      <c r="H7" s="531">
        <f>PLANTILLA!I10</f>
        <v>9.3000000000000007</v>
      </c>
      <c r="I7" s="371"/>
      <c r="J7" s="163">
        <f>PLANTILLA!X10</f>
        <v>0</v>
      </c>
      <c r="K7" s="163">
        <f>PLANTILLA!Y10</f>
        <v>11.649999999999997</v>
      </c>
      <c r="L7" s="163">
        <f>PLANTILLA!Z10</f>
        <v>6.700000000000002</v>
      </c>
      <c r="M7" s="163">
        <f>PLANTILLA!AA10</f>
        <v>7.4300000000000015</v>
      </c>
      <c r="N7" s="163">
        <f>PLANTILLA!AB10</f>
        <v>9.0199999999999978</v>
      </c>
      <c r="O7" s="163">
        <f>PLANTILLA!AC10</f>
        <v>4.6199999999999966</v>
      </c>
      <c r="P7" s="163">
        <f>PLANTILLA!AD10</f>
        <v>15.6</v>
      </c>
      <c r="Q7" s="163">
        <f t="shared" si="57"/>
        <v>4.0862499999999988</v>
      </c>
      <c r="R7" s="163">
        <f t="shared" si="58"/>
        <v>14.817996421738927</v>
      </c>
      <c r="S7" s="163">
        <f t="shared" si="59"/>
        <v>0.69899999999999984</v>
      </c>
      <c r="T7" s="163">
        <f t="shared" si="60"/>
        <v>0.93399999999999994</v>
      </c>
      <c r="U7" s="163">
        <f t="shared" ca="1" si="0"/>
        <v>17.891310598071914</v>
      </c>
      <c r="V7" s="159">
        <f t="shared" si="1"/>
        <v>5.6522141521167795</v>
      </c>
      <c r="W7" s="159">
        <f t="shared" si="2"/>
        <v>8.554831982110839</v>
      </c>
      <c r="X7" s="159">
        <f t="shared" si="61"/>
        <v>5.6522141521167795</v>
      </c>
      <c r="Y7" s="159">
        <f t="shared" si="3"/>
        <v>7.4517162686051055</v>
      </c>
      <c r="Z7" s="159">
        <f t="shared" si="4"/>
        <v>14.44131059807191</v>
      </c>
      <c r="AA7" s="159">
        <f t="shared" si="62"/>
        <v>3.7258581343025527</v>
      </c>
      <c r="AB7" s="159">
        <f t="shared" si="5"/>
        <v>2.2589319223411159</v>
      </c>
      <c r="AC7" s="159">
        <f t="shared" si="6"/>
        <v>5.4588154060711815</v>
      </c>
      <c r="AD7" s="159">
        <f t="shared" si="7"/>
        <v>10.441067562405991</v>
      </c>
      <c r="AE7" s="159">
        <f t="shared" si="63"/>
        <v>2.7294077030355908</v>
      </c>
      <c r="AF7" s="159">
        <f t="shared" si="8"/>
        <v>3.6541545802576878</v>
      </c>
      <c r="AG7" s="387">
        <f t="shared" si="9"/>
        <v>13.286005750226158</v>
      </c>
      <c r="AH7" s="159">
        <f t="shared" si="10"/>
        <v>5.9787025876017701</v>
      </c>
      <c r="AI7" s="159">
        <f t="shared" si="11"/>
        <v>1.5850488698780101</v>
      </c>
      <c r="AJ7" s="387">
        <f t="shared" si="12"/>
        <v>6.0101306316662857</v>
      </c>
      <c r="AK7" s="159">
        <f t="shared" si="13"/>
        <v>10.88874819094622</v>
      </c>
      <c r="AL7" s="159">
        <f t="shared" si="14"/>
        <v>10.224447903434912</v>
      </c>
      <c r="AM7" s="159">
        <f t="shared" si="15"/>
        <v>3.07134886987801</v>
      </c>
      <c r="AN7" s="159">
        <f t="shared" si="16"/>
        <v>1.9807374522447108</v>
      </c>
      <c r="AO7" s="159">
        <f t="shared" si="17"/>
        <v>3.8991538614794159</v>
      </c>
      <c r="AP7" s="159">
        <f t="shared" si="18"/>
        <v>8.5781384952547146</v>
      </c>
      <c r="AQ7" s="159">
        <f t="shared" si="64"/>
        <v>1.9495769307397079</v>
      </c>
      <c r="AR7" s="159">
        <f t="shared" si="19"/>
        <v>8.9597972045798873</v>
      </c>
      <c r="AS7" s="159">
        <f t="shared" si="20"/>
        <v>1.5354703777493484</v>
      </c>
      <c r="AT7" s="159">
        <f t="shared" si="21"/>
        <v>2.6995140052350699</v>
      </c>
      <c r="AU7" s="159">
        <f t="shared" si="65"/>
        <v>0.76773518887467418</v>
      </c>
      <c r="AV7" s="159">
        <f t="shared" si="22"/>
        <v>2.7294077030355908</v>
      </c>
      <c r="AW7" s="159">
        <f t="shared" si="23"/>
        <v>5.7765242392287641</v>
      </c>
      <c r="AX7" s="159">
        <f t="shared" si="66"/>
        <v>1.3647038515177954</v>
      </c>
      <c r="AY7" s="159">
        <f t="shared" si="24"/>
        <v>9.4913105980719159</v>
      </c>
      <c r="AZ7" s="159">
        <f t="shared" si="25"/>
        <v>2.9882615813121935</v>
      </c>
      <c r="BA7" s="159">
        <f t="shared" si="26"/>
        <v>5.5840321395376229</v>
      </c>
      <c r="BB7" s="159">
        <f t="shared" si="67"/>
        <v>1.4941307906560968</v>
      </c>
      <c r="BC7" s="159">
        <f t="shared" si="27"/>
        <v>4.2024213840389253</v>
      </c>
      <c r="BD7" s="159">
        <f t="shared" si="28"/>
        <v>5.0255760881290241</v>
      </c>
      <c r="BE7" s="159">
        <f t="shared" si="29"/>
        <v>8.3618446369013579</v>
      </c>
      <c r="BF7" s="159">
        <f t="shared" si="30"/>
        <v>9.587595121685931</v>
      </c>
      <c r="BG7" s="159">
        <f t="shared" si="31"/>
        <v>2.8465258541353302</v>
      </c>
      <c r="BH7" s="159">
        <f t="shared" si="32"/>
        <v>7.0040356400648758</v>
      </c>
      <c r="BI7" s="159">
        <f t="shared" si="33"/>
        <v>3.8125059978909843</v>
      </c>
      <c r="BJ7" s="159">
        <f t="shared" si="34"/>
        <v>3.6161893378654</v>
      </c>
      <c r="BK7" s="159">
        <f t="shared" si="35"/>
        <v>9.2530154627148526</v>
      </c>
      <c r="BL7" s="159">
        <f t="shared" si="36"/>
        <v>0.61418815109973934</v>
      </c>
      <c r="BM7" s="159">
        <f t="shared" si="37"/>
        <v>2.5994359076529436</v>
      </c>
      <c r="BN7" s="159">
        <f t="shared" si="38"/>
        <v>0.9820091206688899</v>
      </c>
      <c r="BO7" s="159">
        <f t="shared" si="39"/>
        <v>2.8948497324119344</v>
      </c>
      <c r="BP7" s="159">
        <f t="shared" si="40"/>
        <v>13.599345429120481</v>
      </c>
      <c r="BQ7" s="159">
        <f t="shared" si="41"/>
        <v>1.5945269307397081</v>
      </c>
      <c r="BR7" s="159">
        <f t="shared" si="42"/>
        <v>4.1013322098524219</v>
      </c>
      <c r="BS7" s="159">
        <f t="shared" si="43"/>
        <v>3.5236797859295459</v>
      </c>
      <c r="BT7" s="159">
        <f t="shared" si="44"/>
        <v>4.3185463221227218</v>
      </c>
      <c r="BU7" s="159">
        <f t="shared" si="45"/>
        <v>11.71317214266368</v>
      </c>
      <c r="BV7" s="159">
        <f t="shared" si="46"/>
        <v>1.4291685823667011</v>
      </c>
      <c r="BW7" s="159">
        <f t="shared" si="47"/>
        <v>4.1013322098524219</v>
      </c>
      <c r="BX7" s="159">
        <f t="shared" si="48"/>
        <v>3.5236797859295459</v>
      </c>
      <c r="BY7" s="159">
        <f t="shared" si="49"/>
        <v>5.989016987383379</v>
      </c>
      <c r="BZ7" s="159">
        <f t="shared" si="50"/>
        <v>9.4549429852743625</v>
      </c>
      <c r="CA7" s="159">
        <f t="shared" si="51"/>
        <v>1.7480739685146427</v>
      </c>
      <c r="CB7" s="159">
        <f t="shared" si="52"/>
        <v>3.8534721028171983</v>
      </c>
      <c r="CC7" s="159">
        <f t="shared" si="53"/>
        <v>5.3659328215954654</v>
      </c>
      <c r="CD7" s="159">
        <f t="shared" si="54"/>
        <v>10.734335733428971</v>
      </c>
      <c r="CE7" s="159">
        <f t="shared" si="68"/>
        <v>5.3659328215954654</v>
      </c>
      <c r="CF7" s="159">
        <f t="shared" si="55"/>
        <v>5.7330565025988012</v>
      </c>
      <c r="CG7" s="159">
        <f t="shared" si="56"/>
        <v>11.769684208760445</v>
      </c>
      <c r="CH7" s="159">
        <f t="shared" si="69"/>
        <v>5.7330565025988012</v>
      </c>
      <c r="CI7" s="159">
        <f t="shared" si="70"/>
        <v>2.372827649517979</v>
      </c>
    </row>
    <row r="8" spans="1:87" x14ac:dyDescent="0.25">
      <c r="A8" t="str">
        <f>PLANTILLA!D11</f>
        <v>F. Lasprilla</v>
      </c>
      <c r="B8" t="s">
        <v>1018</v>
      </c>
      <c r="C8" s="666">
        <f>PLANTILLA!E11</f>
        <v>27</v>
      </c>
      <c r="D8" s="666">
        <f ca="1">PLANTILLA!F11</f>
        <v>21</v>
      </c>
      <c r="E8" s="666"/>
      <c r="F8" s="317">
        <v>42106</v>
      </c>
      <c r="G8" s="530">
        <v>1.5</v>
      </c>
      <c r="H8" s="531">
        <f>PLANTILLA!I11</f>
        <v>4.9000000000000004</v>
      </c>
      <c r="I8" s="371"/>
      <c r="J8" s="163">
        <f>PLANTILLA!X11</f>
        <v>0</v>
      </c>
      <c r="K8" s="163">
        <f>PLANTILLA!Y11</f>
        <v>9.5796666666666663</v>
      </c>
      <c r="L8" s="163">
        <f>PLANTILLA!Z11</f>
        <v>7.7407222222222227</v>
      </c>
      <c r="M8" s="163">
        <f>PLANTILLA!AA11</f>
        <v>6.1499999999999986</v>
      </c>
      <c r="N8" s="163">
        <f>PLANTILLA!AB11</f>
        <v>8.8633333333333315</v>
      </c>
      <c r="O8" s="163">
        <f>PLANTILLA!AC11</f>
        <v>3.2566666666666673</v>
      </c>
      <c r="P8" s="163">
        <f>PLANTILLA!AD11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2.4183141116179372</v>
      </c>
      <c r="AC8" s="159">
        <f t="shared" si="6"/>
        <v>4.5359728243343707</v>
      </c>
      <c r="AD8" s="159">
        <f t="shared" si="7"/>
        <v>8.6759480211474873</v>
      </c>
      <c r="AE8" s="159">
        <f t="shared" si="63"/>
        <v>2.2679864121671853</v>
      </c>
      <c r="AF8" s="159">
        <f t="shared" si="8"/>
        <v>3.9119787099701928</v>
      </c>
      <c r="AG8" s="387">
        <f t="shared" si="9"/>
        <v>11.039933858168311</v>
      </c>
      <c r="AH8" s="159">
        <f t="shared" si="10"/>
        <v>4.9679702361757396</v>
      </c>
      <c r="AI8" s="159">
        <f t="shared" si="11"/>
        <v>1.6968842715974604</v>
      </c>
      <c r="AJ8" s="387">
        <f t="shared" si="12"/>
        <v>5.0393137267423533</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9.5919685771736667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10.160983662260241</v>
      </c>
      <c r="AZ8" s="159">
        <f t="shared" si="25"/>
        <v>2.8547494776629514</v>
      </c>
      <c r="BA8" s="159">
        <f t="shared" si="26"/>
        <v>5.0398607201276144</v>
      </c>
      <c r="BB8" s="159">
        <f t="shared" si="67"/>
        <v>1.4273747388314757</v>
      </c>
      <c r="BC8" s="159">
        <f t="shared" si="27"/>
        <v>3.4919790790510632</v>
      </c>
      <c r="BD8" s="159">
        <f t="shared" si="28"/>
        <v>4.1759749811332298</v>
      </c>
      <c r="BE8" s="159">
        <f t="shared" si="29"/>
        <v>8.9518266064512719</v>
      </c>
      <c r="BF8" s="159">
        <f t="shared" si="30"/>
        <v>8.4736624201937971</v>
      </c>
      <c r="BG8" s="159">
        <f t="shared" si="31"/>
        <v>2.7193463403824953</v>
      </c>
      <c r="BH8" s="159">
        <f t="shared" si="32"/>
        <v>5.819965131751772</v>
      </c>
      <c r="BI8" s="159">
        <f t="shared" si="33"/>
        <v>3.1679810201700369</v>
      </c>
      <c r="BJ8" s="159">
        <f t="shared" si="34"/>
        <v>3.8713347753211518</v>
      </c>
      <c r="BK8" s="159">
        <f t="shared" si="35"/>
        <v>8.0357884985932273</v>
      </c>
      <c r="BL8" s="159">
        <f t="shared" si="36"/>
        <v>0.58674692821531016</v>
      </c>
      <c r="BM8" s="159">
        <f t="shared" si="37"/>
        <v>2.1599870592068431</v>
      </c>
      <c r="BN8" s="159">
        <f t="shared" si="38"/>
        <v>0.81599511125591861</v>
      </c>
      <c r="BO8" s="159">
        <f t="shared" si="39"/>
        <v>3.0991000169893734</v>
      </c>
      <c r="BP8" s="159">
        <f t="shared" si="40"/>
        <v>11.797369545222223</v>
      </c>
      <c r="BQ8" s="159">
        <f t="shared" si="41"/>
        <v>1.5232852944051323</v>
      </c>
      <c r="BR8" s="159">
        <f t="shared" si="42"/>
        <v>3.4079795823041303</v>
      </c>
      <c r="BS8" s="159">
        <f t="shared" si="43"/>
        <v>2.927982458035943</v>
      </c>
      <c r="BT8" s="159">
        <f t="shared" si="44"/>
        <v>4.6232475663284101</v>
      </c>
      <c r="BU8" s="159">
        <f t="shared" si="45"/>
        <v>10.157903008895456</v>
      </c>
      <c r="BV8" s="159">
        <f t="shared" si="46"/>
        <v>1.3653149675779332</v>
      </c>
      <c r="BW8" s="159">
        <f t="shared" si="47"/>
        <v>3.4079795823041303</v>
      </c>
      <c r="BX8" s="159">
        <f t="shared" si="48"/>
        <v>2.927982458035943</v>
      </c>
      <c r="BY8" s="159">
        <f t="shared" si="49"/>
        <v>6.4115806908862121</v>
      </c>
      <c r="BZ8" s="159">
        <f t="shared" si="50"/>
        <v>8.1940573221673585</v>
      </c>
      <c r="CA8" s="159">
        <f t="shared" si="51"/>
        <v>1.6699720264589597</v>
      </c>
      <c r="CB8" s="159">
        <f t="shared" si="52"/>
        <v>4.1253593668776585</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2.5402459155650603</v>
      </c>
    </row>
    <row r="9" spans="1:87" x14ac:dyDescent="0.25">
      <c r="A9" t="str">
        <f>PLANTILLA!D7</f>
        <v>B. Pinczehelyi</v>
      </c>
      <c r="C9" s="666">
        <f>PLANTILLA!E7</f>
        <v>30</v>
      </c>
      <c r="D9" s="666">
        <f ca="1">PLANTILLA!F7</f>
        <v>14</v>
      </c>
      <c r="E9" s="666" t="str">
        <f>PLANTILLA!G7</f>
        <v>CAB</v>
      </c>
      <c r="F9" s="317">
        <v>41400</v>
      </c>
      <c r="G9" s="530">
        <v>1</v>
      </c>
      <c r="H9" s="531">
        <f>PLANTILLA!I7</f>
        <v>14.1</v>
      </c>
      <c r="I9" s="371"/>
      <c r="J9" s="163">
        <f>PLANTILLA!X7</f>
        <v>0</v>
      </c>
      <c r="K9" s="163">
        <f>PLANTILLA!Y7</f>
        <v>14.200000000000003</v>
      </c>
      <c r="L9" s="163">
        <f>PLANTILLA!Z7</f>
        <v>9.3093333333333348</v>
      </c>
      <c r="M9" s="163">
        <f>PLANTILLA!AA7</f>
        <v>14.291666666666663</v>
      </c>
      <c r="N9" s="163">
        <f>PLANTILLA!AB7</f>
        <v>9.4199999999999982</v>
      </c>
      <c r="O9" s="163">
        <f>PLANTILLA!AC7</f>
        <v>1.1428571428571428</v>
      </c>
      <c r="P9" s="163">
        <f>PLANTILLA!AD7</f>
        <v>9.4</v>
      </c>
      <c r="Q9" s="163">
        <f>((2*(N9+1))+(K9+1))/8</f>
        <v>4.5049999999999999</v>
      </c>
      <c r="R9" s="163">
        <f t="shared" si="58"/>
        <v>5.0635085091007106</v>
      </c>
      <c r="S9" s="163">
        <f>(0.5*O9+ 0.3*P9)/10</f>
        <v>0.33914285714285713</v>
      </c>
      <c r="T9" s="163">
        <f>(0.4*K9+0.3*P9)/10</f>
        <v>0.8500000000000002</v>
      </c>
      <c r="U9" s="163">
        <f t="shared" ca="1" si="0"/>
        <v>11.932292150207173</v>
      </c>
      <c r="V9" s="159">
        <f t="shared" si="1"/>
        <v>6.1298910471308634</v>
      </c>
      <c r="W9" s="159">
        <f t="shared" si="2"/>
        <v>9.304189165917462</v>
      </c>
      <c r="X9" s="159">
        <f>V9</f>
        <v>6.1298910471308634</v>
      </c>
      <c r="Y9" s="159">
        <f t="shared" si="3"/>
        <v>8.6338627495069034</v>
      </c>
      <c r="Z9" s="159">
        <f t="shared" si="4"/>
        <v>16.732292150207176</v>
      </c>
      <c r="AA9" s="159">
        <f>Y9/2</f>
        <v>4.3169313747534517</v>
      </c>
      <c r="AB9" s="159">
        <f t="shared" si="5"/>
        <v>2.8183068650826408</v>
      </c>
      <c r="AC9" s="159">
        <f t="shared" si="6"/>
        <v>6.3248064327783124</v>
      </c>
      <c r="AD9" s="159">
        <f t="shared" si="7"/>
        <v>12.097447224599788</v>
      </c>
      <c r="AE9" s="159">
        <f>AC9/2</f>
        <v>3.1624032163891562</v>
      </c>
      <c r="AF9" s="159">
        <f t="shared" si="8"/>
        <v>4.5590258111630959</v>
      </c>
      <c r="AG9" s="387">
        <f t="shared" si="9"/>
        <v>15.393708778190602</v>
      </c>
      <c r="AH9" s="159">
        <f t="shared" si="10"/>
        <v>6.9271689501857701</v>
      </c>
      <c r="AI9" s="159">
        <f t="shared" si="11"/>
        <v>1.977551455751265</v>
      </c>
      <c r="AJ9" s="387">
        <f t="shared" si="12"/>
        <v>9.8924877843218155</v>
      </c>
      <c r="AK9" s="159">
        <f t="shared" si="13"/>
        <v>12.61614828125621</v>
      </c>
      <c r="AL9" s="159">
        <f t="shared" si="14"/>
        <v>11.84646284234668</v>
      </c>
      <c r="AM9" s="159">
        <f t="shared" si="15"/>
        <v>1.992692789084598</v>
      </c>
      <c r="AN9" s="159">
        <f t="shared" si="16"/>
        <v>2.0267401392596658</v>
      </c>
      <c r="AO9" s="159">
        <f t="shared" si="17"/>
        <v>4.5177188805559378</v>
      </c>
      <c r="AP9" s="159">
        <f t="shared" si="18"/>
        <v>9.9389815372230625</v>
      </c>
      <c r="AQ9" s="159">
        <f>AO9/2</f>
        <v>2.2588594402779689</v>
      </c>
      <c r="AR9" s="159">
        <f t="shared" si="19"/>
        <v>11.178494456462239</v>
      </c>
      <c r="AS9" s="159">
        <f t="shared" si="20"/>
        <v>1.5537979795269323</v>
      </c>
      <c r="AT9" s="159">
        <f t="shared" si="21"/>
        <v>2.0700758857249872</v>
      </c>
      <c r="AU9" s="159">
        <f>AS9/2</f>
        <v>0.77689898976346616</v>
      </c>
      <c r="AV9" s="159">
        <f t="shared" si="22"/>
        <v>3.1624032163891562</v>
      </c>
      <c r="AW9" s="159">
        <f t="shared" si="23"/>
        <v>6.692916860082871</v>
      </c>
      <c r="AX9" s="159">
        <f>AV9/2</f>
        <v>1.5812016081945781</v>
      </c>
      <c r="AY9" s="159">
        <f t="shared" si="24"/>
        <v>11.841625483540508</v>
      </c>
      <c r="AZ9" s="159">
        <f t="shared" si="25"/>
        <v>3.0239299140024145</v>
      </c>
      <c r="BA9" s="159">
        <f t="shared" si="26"/>
        <v>4.8475129747641521</v>
      </c>
      <c r="BB9" s="159">
        <f>AZ9/2</f>
        <v>1.5119649570012073</v>
      </c>
      <c r="BC9" s="159">
        <f t="shared" si="27"/>
        <v>4.8690970157102882</v>
      </c>
      <c r="BD9" s="159">
        <f t="shared" si="28"/>
        <v>5.822837668272097</v>
      </c>
      <c r="BE9" s="159">
        <f t="shared" si="29"/>
        <v>10.432472050999188</v>
      </c>
      <c r="BF9" s="159">
        <f t="shared" si="30"/>
        <v>13.421924388200839</v>
      </c>
      <c r="BG9" s="159">
        <f t="shared" si="31"/>
        <v>2.880502408199928</v>
      </c>
      <c r="BH9" s="159">
        <f t="shared" si="32"/>
        <v>8.1151616928504797</v>
      </c>
      <c r="BI9" s="159">
        <f t="shared" si="33"/>
        <v>4.4173251276546948</v>
      </c>
      <c r="BJ9" s="159">
        <f t="shared" si="34"/>
        <v>4.5116593092289339</v>
      </c>
      <c r="BK9" s="159">
        <f t="shared" si="35"/>
        <v>13.724935005947735</v>
      </c>
      <c r="BL9" s="159">
        <f t="shared" si="36"/>
        <v>0.62151919181077286</v>
      </c>
      <c r="BM9" s="159">
        <f t="shared" si="37"/>
        <v>3.0118125870372916</v>
      </c>
      <c r="BN9" s="159">
        <f t="shared" si="38"/>
        <v>1.1377958662140881</v>
      </c>
      <c r="BO9" s="159">
        <f t="shared" si="39"/>
        <v>3.6116957724798548</v>
      </c>
      <c r="BP9" s="159">
        <f t="shared" si="40"/>
        <v>20.242314371833089</v>
      </c>
      <c r="BQ9" s="159">
        <f t="shared" si="41"/>
        <v>1.6135594402779683</v>
      </c>
      <c r="BR9" s="159">
        <f t="shared" si="42"/>
        <v>4.7519709706588378</v>
      </c>
      <c r="BS9" s="159">
        <f t="shared" si="43"/>
        <v>4.0826792846505509</v>
      </c>
      <c r="BT9" s="159">
        <f t="shared" si="44"/>
        <v>5.3879395950109314</v>
      </c>
      <c r="BU9" s="159">
        <f t="shared" si="45"/>
        <v>17.452259702429544</v>
      </c>
      <c r="BV9" s="159">
        <f t="shared" si="46"/>
        <v>1.4462273501750678</v>
      </c>
      <c r="BW9" s="159">
        <f t="shared" si="47"/>
        <v>4.7519709706588378</v>
      </c>
      <c r="BX9" s="159">
        <f t="shared" si="48"/>
        <v>4.0826792846505509</v>
      </c>
      <c r="BY9" s="159">
        <f t="shared" si="49"/>
        <v>7.4720656801140608</v>
      </c>
      <c r="BZ9" s="159">
        <f t="shared" si="50"/>
        <v>14.117211474435418</v>
      </c>
      <c r="CA9" s="159">
        <f t="shared" si="51"/>
        <v>1.7689392382306612</v>
      </c>
      <c r="CB9" s="159">
        <f t="shared" si="52"/>
        <v>4.8076999463174461</v>
      </c>
      <c r="CC9" s="159">
        <f t="shared" si="53"/>
        <v>5.8774670674007936</v>
      </c>
      <c r="CD9" s="159">
        <f t="shared" si="54"/>
        <v>8.6327066754189907</v>
      </c>
      <c r="CE9" s="159">
        <f>CC9</f>
        <v>5.8774670674007936</v>
      </c>
      <c r="CF9" s="159">
        <f t="shared" si="55"/>
        <v>6.370859200055258</v>
      </c>
      <c r="CG9" s="159">
        <f t="shared" si="56"/>
        <v>8.0855450964907618</v>
      </c>
      <c r="CH9" s="159">
        <f>CF9</f>
        <v>6.370859200055258</v>
      </c>
      <c r="CI9" s="159">
        <f>((L9+G9+(LOG(H9)*4/3))*0.25)</f>
        <v>2.9604063708851269</v>
      </c>
    </row>
    <row r="10" spans="1:87" x14ac:dyDescent="0.25">
      <c r="A10" t="str">
        <f>PLANTILLA!D12</f>
        <v>E. Romweber</v>
      </c>
      <c r="B10" t="s">
        <v>1018</v>
      </c>
      <c r="C10" s="666">
        <f>PLANTILLA!E12</f>
        <v>30</v>
      </c>
      <c r="D10" s="666">
        <f ca="1">PLANTILLA!F12</f>
        <v>87</v>
      </c>
      <c r="E10" s="666" t="str">
        <f>PLANTILLA!G12</f>
        <v>IMP</v>
      </c>
      <c r="F10" s="317">
        <v>41583</v>
      </c>
      <c r="G10" s="530">
        <v>1.5</v>
      </c>
      <c r="H10" s="531">
        <f>PLANTILLA!I12</f>
        <v>12.3</v>
      </c>
      <c r="I10" s="371"/>
      <c r="J10" s="163">
        <f>PLANTILLA!X12</f>
        <v>0</v>
      </c>
      <c r="K10" s="163">
        <f>PLANTILLA!Y12</f>
        <v>11.95</v>
      </c>
      <c r="L10" s="163">
        <f>PLANTILLA!Z12</f>
        <v>12.489111111111114</v>
      </c>
      <c r="M10" s="163">
        <f>PLANTILLA!AA12</f>
        <v>13.133333333333335</v>
      </c>
      <c r="N10" s="163">
        <f>PLANTILLA!AB12</f>
        <v>10.91</v>
      </c>
      <c r="O10" s="163">
        <f>PLANTILLA!AC12</f>
        <v>7.7700000000000005</v>
      </c>
      <c r="P10" s="163">
        <f>PLANTILLA!AD12</f>
        <v>17.13</v>
      </c>
      <c r="Q10" s="163">
        <f t="shared" si="57"/>
        <v>4.5962499999999995</v>
      </c>
      <c r="R10" s="163">
        <f t="shared" si="58"/>
        <v>21.246287061708095</v>
      </c>
      <c r="S10" s="163">
        <f t="shared" si="59"/>
        <v>0.90239999999999987</v>
      </c>
      <c r="T10" s="163">
        <f t="shared" si="60"/>
        <v>0.9919</v>
      </c>
      <c r="U10" s="163">
        <f t="shared" ca="1" si="0"/>
        <v>19.583206815252531</v>
      </c>
      <c r="V10" s="159">
        <f t="shared" si="1"/>
        <v>5.8763495497154601</v>
      </c>
      <c r="W10" s="159">
        <f t="shared" si="2"/>
        <v>8.8913399984910164</v>
      </c>
      <c r="X10" s="159">
        <f t="shared" si="61"/>
        <v>5.8763495497154601</v>
      </c>
      <c r="Y10" s="159">
        <f t="shared" si="3"/>
        <v>7.6900547166703053</v>
      </c>
      <c r="Z10" s="159">
        <f t="shared" si="4"/>
        <v>14.903206815252529</v>
      </c>
      <c r="AA10" s="159">
        <f t="shared" si="62"/>
        <v>3.8450273583351526</v>
      </c>
      <c r="AB10" s="159">
        <f t="shared" si="5"/>
        <v>3.6752716664745471</v>
      </c>
      <c r="AC10" s="159">
        <f t="shared" si="6"/>
        <v>5.6334121761654563</v>
      </c>
      <c r="AD10" s="159">
        <f t="shared" si="7"/>
        <v>10.775018527427578</v>
      </c>
      <c r="AE10" s="159">
        <f t="shared" si="63"/>
        <v>2.8167060880827282</v>
      </c>
      <c r="AF10" s="159">
        <f t="shared" si="8"/>
        <v>5.9452924016500033</v>
      </c>
      <c r="AG10" s="387">
        <f t="shared" si="9"/>
        <v>13.710950270032328</v>
      </c>
      <c r="AH10" s="159">
        <f t="shared" si="10"/>
        <v>6.1699276215145469</v>
      </c>
      <c r="AI10" s="159">
        <f t="shared" si="11"/>
        <v>2.5788670937027289</v>
      </c>
      <c r="AJ10" s="387">
        <f t="shared" si="12"/>
        <v>9.4588856073684884</v>
      </c>
      <c r="AK10" s="159">
        <f t="shared" si="13"/>
        <v>11.237017938700408</v>
      </c>
      <c r="AL10" s="159">
        <f t="shared" si="14"/>
        <v>10.55147042519879</v>
      </c>
      <c r="AM10" s="159">
        <f t="shared" si="15"/>
        <v>3.3538955381471727</v>
      </c>
      <c r="AN10" s="159">
        <f t="shared" si="16"/>
        <v>2.1742435627927286</v>
      </c>
      <c r="AO10" s="159">
        <f t="shared" si="17"/>
        <v>4.0238658401181828</v>
      </c>
      <c r="AP10" s="159">
        <f t="shared" si="18"/>
        <v>8.8525048482600024</v>
      </c>
      <c r="AQ10" s="159">
        <f t="shared" si="64"/>
        <v>2.0119329200590914</v>
      </c>
      <c r="AR10" s="159">
        <f t="shared" si="19"/>
        <v>14.577548122487279</v>
      </c>
      <c r="AS10" s="159">
        <f t="shared" si="20"/>
        <v>1.8022168859828289</v>
      </c>
      <c r="AT10" s="159">
        <f t="shared" si="21"/>
        <v>3.5186995968689914</v>
      </c>
      <c r="AU10" s="159">
        <f t="shared" si="65"/>
        <v>0.90110844299141446</v>
      </c>
      <c r="AV10" s="159">
        <f t="shared" si="22"/>
        <v>2.8167060880827282</v>
      </c>
      <c r="AW10" s="159">
        <f t="shared" si="23"/>
        <v>5.961282726101012</v>
      </c>
      <c r="AX10" s="159">
        <f t="shared" si="66"/>
        <v>1.4083530440413641</v>
      </c>
      <c r="AY10" s="159">
        <f t="shared" si="24"/>
        <v>15.442317926363645</v>
      </c>
      <c r="AZ10" s="159">
        <f t="shared" si="25"/>
        <v>3.5073913242588901</v>
      </c>
      <c r="BA10" s="159">
        <f t="shared" si="26"/>
        <v>6.9792269552041448</v>
      </c>
      <c r="BB10" s="159">
        <f t="shared" si="67"/>
        <v>1.7536956621294451</v>
      </c>
      <c r="BC10" s="159">
        <f t="shared" si="27"/>
        <v>4.3368331832384861</v>
      </c>
      <c r="BD10" s="159">
        <f t="shared" si="28"/>
        <v>5.1863159717078799</v>
      </c>
      <c r="BE10" s="159">
        <f t="shared" si="29"/>
        <v>13.604682093126371</v>
      </c>
      <c r="BF10" s="159">
        <f t="shared" si="30"/>
        <v>13.600584192092832</v>
      </c>
      <c r="BG10" s="159">
        <f t="shared" si="31"/>
        <v>3.3410328424758595</v>
      </c>
      <c r="BH10" s="159">
        <f t="shared" si="32"/>
        <v>7.2280553053974765</v>
      </c>
      <c r="BI10" s="159">
        <f t="shared" si="33"/>
        <v>3.9344465992266682</v>
      </c>
      <c r="BJ10" s="159">
        <f t="shared" si="34"/>
        <v>5.8835231299445487</v>
      </c>
      <c r="BK10" s="159">
        <f t="shared" si="35"/>
        <v>13.612746089864046</v>
      </c>
      <c r="BL10" s="159">
        <f t="shared" si="36"/>
        <v>0.72088675439313155</v>
      </c>
      <c r="BM10" s="159">
        <f t="shared" si="37"/>
        <v>2.6825772267454551</v>
      </c>
      <c r="BN10" s="159">
        <f t="shared" si="38"/>
        <v>1.0134180634371721</v>
      </c>
      <c r="BO10" s="159">
        <f t="shared" si="39"/>
        <v>4.7099069675409115</v>
      </c>
      <c r="BP10" s="159">
        <f t="shared" si="40"/>
        <v>20.051417297748088</v>
      </c>
      <c r="BQ10" s="159">
        <f t="shared" si="41"/>
        <v>1.8715329200590918</v>
      </c>
      <c r="BR10" s="159">
        <f t="shared" si="42"/>
        <v>4.2325107355317177</v>
      </c>
      <c r="BS10" s="159">
        <f t="shared" si="43"/>
        <v>3.6363824629216173</v>
      </c>
      <c r="BT10" s="159">
        <f t="shared" si="44"/>
        <v>7.0262546564954587</v>
      </c>
      <c r="BU10" s="159">
        <f t="shared" si="45"/>
        <v>17.281393151299806</v>
      </c>
      <c r="BV10" s="159">
        <f t="shared" si="46"/>
        <v>1.6774480246455561</v>
      </c>
      <c r="BW10" s="159">
        <f t="shared" si="47"/>
        <v>4.2325107355317177</v>
      </c>
      <c r="BX10" s="159">
        <f t="shared" si="48"/>
        <v>3.6363824629216173</v>
      </c>
      <c r="BY10" s="159">
        <f t="shared" si="49"/>
        <v>9.7441026115354603</v>
      </c>
      <c r="BZ10" s="159">
        <f t="shared" si="50"/>
        <v>13.968350099651015</v>
      </c>
      <c r="CA10" s="159">
        <f t="shared" si="51"/>
        <v>2.0517546086573746</v>
      </c>
      <c r="CB10" s="159">
        <f t="shared" si="52"/>
        <v>6.2695810781036405</v>
      </c>
      <c r="CC10" s="159">
        <f t="shared" si="53"/>
        <v>7.1441107507465684</v>
      </c>
      <c r="CD10" s="159">
        <f t="shared" si="54"/>
        <v>13.779350873974348</v>
      </c>
      <c r="CE10" s="159">
        <f t="shared" si="68"/>
        <v>7.1441107507465684</v>
      </c>
      <c r="CF10" s="159">
        <f t="shared" si="55"/>
        <v>8.181734512568994</v>
      </c>
      <c r="CG10" s="159">
        <f t="shared" si="56"/>
        <v>15.838730130080712</v>
      </c>
      <c r="CH10" s="159">
        <f t="shared" si="69"/>
        <v>8.181734512568994</v>
      </c>
      <c r="CI10" s="159">
        <f t="shared" si="70"/>
        <v>3.8605794815909111</v>
      </c>
    </row>
    <row r="11" spans="1:87" x14ac:dyDescent="0.25">
      <c r="A11" t="str">
        <f>PLANTILLA!D13</f>
        <v>K. Helms</v>
      </c>
      <c r="B11" t="s">
        <v>1018</v>
      </c>
      <c r="C11" s="666">
        <f>PLANTILLA!E13</f>
        <v>30</v>
      </c>
      <c r="D11" s="666">
        <f ca="1">PLANTILLA!F13</f>
        <v>34</v>
      </c>
      <c r="E11" s="666" t="str">
        <f>PLANTILLA!G13</f>
        <v>TEC</v>
      </c>
      <c r="F11" s="317">
        <v>41722</v>
      </c>
      <c r="G11" s="530">
        <v>1.5</v>
      </c>
      <c r="H11" s="531">
        <f>PLANTILLA!I13</f>
        <v>10.3</v>
      </c>
      <c r="I11" s="371"/>
      <c r="J11" s="163">
        <f>PLANTILLA!X13</f>
        <v>0</v>
      </c>
      <c r="K11" s="163">
        <f>PLANTILLA!Y13</f>
        <v>7.11</v>
      </c>
      <c r="L11" s="163">
        <f>PLANTILLA!Z13</f>
        <v>10.450000000000003</v>
      </c>
      <c r="M11" s="163">
        <f>PLANTILLA!AA13</f>
        <v>13.388333333333334</v>
      </c>
      <c r="N11" s="163">
        <f>PLANTILLA!AB13</f>
        <v>10.359999999999998</v>
      </c>
      <c r="O11" s="163">
        <f>PLANTILLA!AC13</f>
        <v>5.4050000000000002</v>
      </c>
      <c r="P11" s="163">
        <f>PLANTILLA!AD13</f>
        <v>17.300000000000004</v>
      </c>
      <c r="Q11" s="163">
        <f t="shared" si="57"/>
        <v>3.8537499999999993</v>
      </c>
      <c r="R11" s="163">
        <f t="shared" si="58"/>
        <v>17.186793688797913</v>
      </c>
      <c r="S11" s="163">
        <f t="shared" si="59"/>
        <v>0.78925000000000023</v>
      </c>
      <c r="T11" s="163">
        <f t="shared" si="60"/>
        <v>0.80340000000000023</v>
      </c>
      <c r="U11" s="163">
        <f t="shared" ca="1" si="0"/>
        <v>19.650449632940234</v>
      </c>
      <c r="V11" s="159">
        <f t="shared" si="1"/>
        <v>4.4508025295568201</v>
      </c>
      <c r="W11" s="159">
        <f t="shared" si="2"/>
        <v>6.7016804761258353</v>
      </c>
      <c r="X11" s="159">
        <f t="shared" si="61"/>
        <v>4.4508025295568201</v>
      </c>
      <c r="Y11" s="159">
        <f t="shared" si="3"/>
        <v>5.1395920105971582</v>
      </c>
      <c r="Z11" s="159">
        <f t="shared" si="4"/>
        <v>9.9604496329402288</v>
      </c>
      <c r="AA11" s="159">
        <f t="shared" si="62"/>
        <v>2.5697960052985791</v>
      </c>
      <c r="AB11" s="159">
        <f t="shared" si="5"/>
        <v>3.1655070126397753</v>
      </c>
      <c r="AC11" s="159">
        <f t="shared" si="6"/>
        <v>3.7650499612514063</v>
      </c>
      <c r="AD11" s="159">
        <f t="shared" si="7"/>
        <v>7.2014050846157849</v>
      </c>
      <c r="AE11" s="159">
        <f t="shared" si="63"/>
        <v>1.8825249806257032</v>
      </c>
      <c r="AF11" s="159">
        <f t="shared" si="8"/>
        <v>5.1206731086819897</v>
      </c>
      <c r="AG11" s="387">
        <f t="shared" si="9"/>
        <v>9.1636136623050106</v>
      </c>
      <c r="AH11" s="159">
        <f t="shared" si="10"/>
        <v>4.1236261480372542</v>
      </c>
      <c r="AI11" s="159">
        <f t="shared" si="11"/>
        <v>2.2211750887010191</v>
      </c>
      <c r="AJ11" s="387">
        <f t="shared" si="12"/>
        <v>9.5484043841688564</v>
      </c>
      <c r="AK11" s="159">
        <f t="shared" si="13"/>
        <v>7.5101790232369323</v>
      </c>
      <c r="AL11" s="159">
        <f t="shared" si="14"/>
        <v>7.0519983401216813</v>
      </c>
      <c r="AM11" s="159">
        <f t="shared" si="15"/>
        <v>3.3651250887010193</v>
      </c>
      <c r="AN11" s="159">
        <f t="shared" si="16"/>
        <v>1.9308094942867859</v>
      </c>
      <c r="AO11" s="159">
        <f t="shared" si="17"/>
        <v>2.6893214008938617</v>
      </c>
      <c r="AP11" s="159">
        <f t="shared" si="18"/>
        <v>5.916507081966496</v>
      </c>
      <c r="AQ11" s="159">
        <f t="shared" si="64"/>
        <v>1.3446607004469309</v>
      </c>
      <c r="AR11" s="159">
        <f t="shared" si="19"/>
        <v>12.555624453495579</v>
      </c>
      <c r="AS11" s="159">
        <f t="shared" si="20"/>
        <v>1.7173584522822296</v>
      </c>
      <c r="AT11" s="159">
        <f t="shared" si="21"/>
        <v>3.013446742451487</v>
      </c>
      <c r="AU11" s="159">
        <f t="shared" si="65"/>
        <v>0.8586792261411148</v>
      </c>
      <c r="AV11" s="159">
        <f t="shared" si="22"/>
        <v>1.8825249806257032</v>
      </c>
      <c r="AW11" s="159">
        <f t="shared" si="23"/>
        <v>3.9841798531760917</v>
      </c>
      <c r="AX11" s="159">
        <f t="shared" si="66"/>
        <v>0.94126249031285159</v>
      </c>
      <c r="AY11" s="159">
        <f t="shared" si="24"/>
        <v>13.300449632940232</v>
      </c>
      <c r="AZ11" s="159">
        <f t="shared" si="25"/>
        <v>3.3422437571338777</v>
      </c>
      <c r="BA11" s="159">
        <f t="shared" si="26"/>
        <v>6.2384077477500659</v>
      </c>
      <c r="BB11" s="159">
        <f t="shared" si="67"/>
        <v>1.6711218785669388</v>
      </c>
      <c r="BC11" s="159">
        <f t="shared" si="27"/>
        <v>2.8984908431856065</v>
      </c>
      <c r="BD11" s="159">
        <f t="shared" si="28"/>
        <v>3.4662364722631995</v>
      </c>
      <c r="BE11" s="159">
        <f t="shared" si="29"/>
        <v>11.717696126620345</v>
      </c>
      <c r="BF11" s="159">
        <f t="shared" si="30"/>
        <v>13.482353057017196</v>
      </c>
      <c r="BG11" s="159">
        <f t="shared" si="31"/>
        <v>3.1837183615385944</v>
      </c>
      <c r="BH11" s="159">
        <f t="shared" si="32"/>
        <v>4.8308180719760108</v>
      </c>
      <c r="BI11" s="159">
        <f t="shared" si="33"/>
        <v>2.6295587030962206</v>
      </c>
      <c r="BJ11" s="159">
        <f t="shared" si="34"/>
        <v>5.0674713101502284</v>
      </c>
      <c r="BK11" s="159">
        <f t="shared" si="35"/>
        <v>13.584001312523096</v>
      </c>
      <c r="BL11" s="159">
        <f t="shared" si="36"/>
        <v>0.68694338091289175</v>
      </c>
      <c r="BM11" s="159">
        <f t="shared" si="37"/>
        <v>1.7928809339292411</v>
      </c>
      <c r="BN11" s="159">
        <f t="shared" si="38"/>
        <v>0.67731057503993564</v>
      </c>
      <c r="BO11" s="159">
        <f t="shared" si="39"/>
        <v>4.0566371380467707</v>
      </c>
      <c r="BP11" s="159">
        <f t="shared" si="40"/>
        <v>20.016971561294469</v>
      </c>
      <c r="BQ11" s="159">
        <f t="shared" si="41"/>
        <v>1.7834107004469308</v>
      </c>
      <c r="BR11" s="159">
        <f t="shared" si="42"/>
        <v>2.8287676957550247</v>
      </c>
      <c r="BS11" s="159">
        <f t="shared" si="43"/>
        <v>2.4303497104374157</v>
      </c>
      <c r="BT11" s="159">
        <f t="shared" si="44"/>
        <v>6.0517045829878056</v>
      </c>
      <c r="BU11" s="159">
        <f t="shared" si="45"/>
        <v>17.253658193297774</v>
      </c>
      <c r="BV11" s="159">
        <f t="shared" si="46"/>
        <v>1.5984644055857675</v>
      </c>
      <c r="BW11" s="159">
        <f t="shared" si="47"/>
        <v>2.8287676957550247</v>
      </c>
      <c r="BX11" s="159">
        <f t="shared" si="48"/>
        <v>2.4303497104374157</v>
      </c>
      <c r="BY11" s="159">
        <f t="shared" si="49"/>
        <v>8.3925837183852874</v>
      </c>
      <c r="BZ11" s="159">
        <f t="shared" si="50"/>
        <v>13.949242421481506</v>
      </c>
      <c r="CA11" s="159">
        <f t="shared" si="51"/>
        <v>1.9551465456751536</v>
      </c>
      <c r="CB11" s="159">
        <f t="shared" si="52"/>
        <v>5.3999825509737347</v>
      </c>
      <c r="CC11" s="159">
        <f t="shared" si="53"/>
        <v>7.7644452293970767</v>
      </c>
      <c r="CD11" s="159">
        <f t="shared" si="54"/>
        <v>11.986201286690697</v>
      </c>
      <c r="CE11" s="159">
        <f t="shared" si="68"/>
        <v>7.7644452293970767</v>
      </c>
      <c r="CF11" s="159">
        <f t="shared" si="55"/>
        <v>7.4810717879884301</v>
      </c>
      <c r="CG11" s="159">
        <f t="shared" si="56"/>
        <v>13.130105547495173</v>
      </c>
      <c r="CH11" s="159">
        <f t="shared" si="69"/>
        <v>7.4810717879884301</v>
      </c>
      <c r="CI11" s="159">
        <f t="shared" si="70"/>
        <v>3.325112408235058</v>
      </c>
    </row>
    <row r="12" spans="1:87" x14ac:dyDescent="0.25">
      <c r="A12" t="str">
        <f>PLANTILLA!D14</f>
        <v>S. Zobbe</v>
      </c>
      <c r="B12" t="s">
        <v>1018</v>
      </c>
      <c r="C12" s="666">
        <f>PLANTILLA!E14</f>
        <v>27</v>
      </c>
      <c r="D12" s="666">
        <f ca="1">PLANTILLA!F14</f>
        <v>49</v>
      </c>
      <c r="E12" s="666" t="str">
        <f>PLANTILLA!G14</f>
        <v>CAB</v>
      </c>
      <c r="F12" s="317">
        <v>41911</v>
      </c>
      <c r="G12" s="530">
        <v>1.5</v>
      </c>
      <c r="H12" s="531">
        <f>PLANTILLA!I14</f>
        <v>8.6999999999999993</v>
      </c>
      <c r="I12" s="371"/>
      <c r="J12" s="163">
        <f>PLANTILLA!X14</f>
        <v>0</v>
      </c>
      <c r="K12" s="163">
        <f>PLANTILLA!Y14</f>
        <v>8.1199999999999992</v>
      </c>
      <c r="L12" s="163">
        <f>PLANTILLA!Z14</f>
        <v>12.058412698412699</v>
      </c>
      <c r="M12" s="163">
        <f>PLANTILLA!AA14</f>
        <v>12.25</v>
      </c>
      <c r="N12" s="163">
        <f>PLANTILLA!AB14</f>
        <v>10.24</v>
      </c>
      <c r="O12" s="163">
        <f>PLANTILLA!AC14</f>
        <v>7.4766666666666666</v>
      </c>
      <c r="P12" s="163">
        <f>PLANTILLA!AD14</f>
        <v>15.270000000000001</v>
      </c>
      <c r="Q12" s="163">
        <f t="shared" si="57"/>
        <v>3.95</v>
      </c>
      <c r="R12" s="163">
        <f t="shared" si="58"/>
        <v>19.293216731049526</v>
      </c>
      <c r="S12" s="163">
        <f t="shared" si="59"/>
        <v>0.8319333333333333</v>
      </c>
      <c r="T12" s="163">
        <f t="shared" si="60"/>
        <v>0.78290000000000004</v>
      </c>
      <c r="U12" s="163">
        <f t="shared" ca="1" si="0"/>
        <v>17.522692336824829</v>
      </c>
      <c r="V12" s="159">
        <f t="shared" si="1"/>
        <v>4.6442204100480717</v>
      </c>
      <c r="W12" s="159">
        <f t="shared" si="2"/>
        <v>7.0047258068408471</v>
      </c>
      <c r="X12" s="159">
        <f t="shared" si="61"/>
        <v>4.6442204100480717</v>
      </c>
      <c r="Y12" s="159">
        <f t="shared" si="3"/>
        <v>5.6103092458016084</v>
      </c>
      <c r="Z12" s="159">
        <f t="shared" si="4"/>
        <v>10.872692336824823</v>
      </c>
      <c r="AA12" s="159">
        <f t="shared" si="62"/>
        <v>2.8051546229008042</v>
      </c>
      <c r="AB12" s="159">
        <f t="shared" si="5"/>
        <v>3.5250429983865308</v>
      </c>
      <c r="AC12" s="159">
        <f t="shared" si="6"/>
        <v>4.1098777033197829</v>
      </c>
      <c r="AD12" s="159">
        <f t="shared" si="7"/>
        <v>7.8609565595243467</v>
      </c>
      <c r="AE12" s="159">
        <f t="shared" si="63"/>
        <v>2.0549388516598914</v>
      </c>
      <c r="AF12" s="159">
        <f t="shared" si="8"/>
        <v>5.7022754385664474</v>
      </c>
      <c r="AG12" s="387">
        <f t="shared" si="9"/>
        <v>10.002876949878837</v>
      </c>
      <c r="AH12" s="159">
        <f t="shared" si="10"/>
        <v>4.5012946274454766</v>
      </c>
      <c r="AI12" s="159">
        <f t="shared" si="11"/>
        <v>2.4734545408846667</v>
      </c>
      <c r="AJ12" s="387">
        <f t="shared" si="12"/>
        <v>8.8215830940529969</v>
      </c>
      <c r="AK12" s="159">
        <f t="shared" si="13"/>
        <v>8.1980100219659171</v>
      </c>
      <c r="AL12" s="159">
        <f t="shared" si="14"/>
        <v>7.6978661744719741</v>
      </c>
      <c r="AM12" s="159">
        <f t="shared" si="15"/>
        <v>3.0097896202497467</v>
      </c>
      <c r="AN12" s="159">
        <f t="shared" si="16"/>
        <v>1.9303753930055494</v>
      </c>
      <c r="AO12" s="159">
        <f t="shared" si="17"/>
        <v>2.9356269309427026</v>
      </c>
      <c r="AP12" s="159">
        <f t="shared" si="18"/>
        <v>6.4583792480739444</v>
      </c>
      <c r="AQ12" s="159">
        <f t="shared" si="64"/>
        <v>1.4678134654713513</v>
      </c>
      <c r="AR12" s="159">
        <f t="shared" si="19"/>
        <v>13.981683153264223</v>
      </c>
      <c r="AS12" s="159">
        <f t="shared" si="20"/>
        <v>1.6890500037872271</v>
      </c>
      <c r="AT12" s="159">
        <f t="shared" si="21"/>
        <v>3.3288021880230065</v>
      </c>
      <c r="AU12" s="159">
        <f t="shared" si="65"/>
        <v>0.84452500189361357</v>
      </c>
      <c r="AV12" s="159">
        <f t="shared" si="22"/>
        <v>2.0549388516598914</v>
      </c>
      <c r="AW12" s="159">
        <f t="shared" si="23"/>
        <v>4.3490769347299292</v>
      </c>
      <c r="AX12" s="159">
        <f t="shared" si="66"/>
        <v>1.0274694258299457</v>
      </c>
      <c r="AY12" s="159">
        <f t="shared" si="24"/>
        <v>14.811105035237524</v>
      </c>
      <c r="AZ12" s="159">
        <f t="shared" si="25"/>
        <v>3.2871511612166806</v>
      </c>
      <c r="BA12" s="159">
        <f t="shared" si="26"/>
        <v>6.5786734775904785</v>
      </c>
      <c r="BB12" s="159">
        <f t="shared" si="67"/>
        <v>1.6435755806083403</v>
      </c>
      <c r="BC12" s="159">
        <f t="shared" si="27"/>
        <v>3.1639534700160232</v>
      </c>
      <c r="BD12" s="159">
        <f t="shared" si="28"/>
        <v>3.7836969332150381</v>
      </c>
      <c r="BE12" s="159">
        <f t="shared" si="29"/>
        <v>13.048583536044259</v>
      </c>
      <c r="BF12" s="159">
        <f t="shared" si="30"/>
        <v>12.704243487437269</v>
      </c>
      <c r="BG12" s="159">
        <f t="shared" si="31"/>
        <v>3.1312388531747826</v>
      </c>
      <c r="BH12" s="159">
        <f t="shared" si="32"/>
        <v>5.2732557833600389</v>
      </c>
      <c r="BI12" s="159">
        <f t="shared" si="33"/>
        <v>2.8703907769217536</v>
      </c>
      <c r="BJ12" s="159">
        <f t="shared" si="34"/>
        <v>5.6430310184254973</v>
      </c>
      <c r="BK12" s="159">
        <f t="shared" si="35"/>
        <v>12.708343102384898</v>
      </c>
      <c r="BL12" s="159">
        <f t="shared" si="36"/>
        <v>0.67562000151489077</v>
      </c>
      <c r="BM12" s="159">
        <f t="shared" si="37"/>
        <v>1.957084620628468</v>
      </c>
      <c r="BN12" s="159">
        <f t="shared" si="38"/>
        <v>0.73934307890408801</v>
      </c>
      <c r="BO12" s="159">
        <f t="shared" si="39"/>
        <v>4.5173870357474453</v>
      </c>
      <c r="BP12" s="159">
        <f t="shared" si="40"/>
        <v>18.718602345156725</v>
      </c>
      <c r="BQ12" s="159">
        <f t="shared" si="41"/>
        <v>1.7540134654713513</v>
      </c>
      <c r="BR12" s="159">
        <f t="shared" si="42"/>
        <v>3.0878446236582495</v>
      </c>
      <c r="BS12" s="159">
        <f t="shared" si="43"/>
        <v>2.6529369301852568</v>
      </c>
      <c r="BT12" s="159">
        <f t="shared" si="44"/>
        <v>6.7390527910330738</v>
      </c>
      <c r="BU12" s="159">
        <f t="shared" si="45"/>
        <v>16.132543109201908</v>
      </c>
      <c r="BV12" s="159">
        <f t="shared" si="46"/>
        <v>1.5721157727558037</v>
      </c>
      <c r="BW12" s="159">
        <f t="shared" si="47"/>
        <v>3.0878446236582495</v>
      </c>
      <c r="BX12" s="159">
        <f t="shared" si="48"/>
        <v>2.6529369301852568</v>
      </c>
      <c r="BY12" s="159">
        <f t="shared" si="49"/>
        <v>9.3458072772348775</v>
      </c>
      <c r="BZ12" s="159">
        <f t="shared" si="50"/>
        <v>13.039479641458218</v>
      </c>
      <c r="CA12" s="159">
        <f t="shared" si="51"/>
        <v>1.9229184658500738</v>
      </c>
      <c r="CB12" s="159">
        <f t="shared" si="52"/>
        <v>6.0133086443064352</v>
      </c>
      <c r="CC12" s="159">
        <f t="shared" si="53"/>
        <v>6.7076893741524</v>
      </c>
      <c r="CD12" s="159">
        <f t="shared" si="54"/>
        <v>13.018748237931419</v>
      </c>
      <c r="CE12" s="159">
        <f t="shared" si="68"/>
        <v>6.7076893741524</v>
      </c>
      <c r="CF12" s="159">
        <f t="shared" si="55"/>
        <v>7.6901906591751992</v>
      </c>
      <c r="CG12" s="159">
        <f t="shared" si="56"/>
        <v>15.023662475779851</v>
      </c>
      <c r="CH12" s="159">
        <f t="shared" si="69"/>
        <v>7.6901906591751992</v>
      </c>
      <c r="CI12" s="159">
        <f t="shared" si="70"/>
        <v>3.7027762588093811</v>
      </c>
    </row>
    <row r="13" spans="1:87" x14ac:dyDescent="0.25">
      <c r="A13" t="str">
        <f>PLANTILLA!D15</f>
        <v>S. Buschelman</v>
      </c>
      <c r="B13" t="s">
        <v>1018</v>
      </c>
      <c r="C13" s="666">
        <f>PLANTILLA!E15</f>
        <v>29</v>
      </c>
      <c r="D13" s="666">
        <f ca="1">PLANTILLA!F15</f>
        <v>46</v>
      </c>
      <c r="E13" s="666" t="str">
        <f>PLANTILLA!G15</f>
        <v>TEC</v>
      </c>
      <c r="F13" s="317">
        <v>41747</v>
      </c>
      <c r="G13" s="530">
        <v>1.5</v>
      </c>
      <c r="H13" s="531">
        <f>PLANTILLA!I15</f>
        <v>10.4</v>
      </c>
      <c r="I13" s="371"/>
      <c r="J13" s="163">
        <f>PLANTILLA!X15</f>
        <v>0</v>
      </c>
      <c r="K13" s="163">
        <f>PLANTILLA!Y15</f>
        <v>9.1936666666666653</v>
      </c>
      <c r="L13" s="163">
        <f>PLANTILLA!Z15</f>
        <v>13.679999999999998</v>
      </c>
      <c r="M13" s="163">
        <f>PLANTILLA!AA15</f>
        <v>12.835000000000001</v>
      </c>
      <c r="N13" s="163">
        <f>PLANTILLA!AB15</f>
        <v>9.6733333333333356</v>
      </c>
      <c r="O13" s="163">
        <f>PLANTILLA!AC15</f>
        <v>5.0296666666666656</v>
      </c>
      <c r="P13" s="163">
        <f>PLANTILLA!AD15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3.9355785796708123</v>
      </c>
      <c r="AC13" s="159">
        <f t="shared" si="6"/>
        <v>4.5547908030065845</v>
      </c>
      <c r="AD13" s="159">
        <f t="shared" si="7"/>
        <v>8.7119411390840238</v>
      </c>
      <c r="AE13" s="159">
        <f t="shared" si="63"/>
        <v>2.2773954015032922</v>
      </c>
      <c r="AF13" s="159">
        <f t="shared" si="8"/>
        <v>6.3663771141733729</v>
      </c>
      <c r="AG13" s="387">
        <f t="shared" si="9"/>
        <v>11.085734229539836</v>
      </c>
      <c r="AH13" s="159">
        <f t="shared" si="10"/>
        <v>4.988580403292926</v>
      </c>
      <c r="AI13" s="159">
        <f t="shared" si="11"/>
        <v>2.7615194235505283</v>
      </c>
      <c r="AJ13" s="387">
        <f t="shared" si="12"/>
        <v>9.2263341380102428</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15.610025963064063</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16.536044452398372</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14.568255162562965</v>
      </c>
      <c r="BF13" s="159">
        <f t="shared" si="30"/>
        <v>12.953413518182156</v>
      </c>
      <c r="BG13" s="159">
        <f t="shared" si="31"/>
        <v>3.0195800463613418</v>
      </c>
      <c r="BH13" s="159">
        <f t="shared" si="32"/>
        <v>5.8441098927465438</v>
      </c>
      <c r="BI13" s="159">
        <f t="shared" si="33"/>
        <v>3.1811237354331703</v>
      </c>
      <c r="BJ13" s="159">
        <f t="shared" si="34"/>
        <v>6.3002329363637797</v>
      </c>
      <c r="BK13" s="159">
        <f t="shared" si="35"/>
        <v>13.07847785139618</v>
      </c>
      <c r="BL13" s="159">
        <f t="shared" si="36"/>
        <v>0.65152764485804882</v>
      </c>
      <c r="BM13" s="159">
        <f t="shared" si="37"/>
        <v>2.1689480014317071</v>
      </c>
      <c r="BN13" s="159">
        <f t="shared" si="38"/>
        <v>0.81938035609642268</v>
      </c>
      <c r="BO13" s="159">
        <f t="shared" si="39"/>
        <v>5.0434935579815035</v>
      </c>
      <c r="BP13" s="159">
        <f t="shared" si="40"/>
        <v>19.274446499117644</v>
      </c>
      <c r="BQ13" s="159">
        <f t="shared" si="41"/>
        <v>1.6914660010737808</v>
      </c>
      <c r="BR13" s="159">
        <f t="shared" si="42"/>
        <v>3.4221179578144709</v>
      </c>
      <c r="BS13" s="159">
        <f t="shared" si="43"/>
        <v>2.9401295130518696</v>
      </c>
      <c r="BT13" s="159">
        <f t="shared" si="44"/>
        <v>7.5239002258412597</v>
      </c>
      <c r="BU13" s="159">
        <f t="shared" si="45"/>
        <v>16.614230586590732</v>
      </c>
      <c r="BV13" s="159">
        <f t="shared" si="46"/>
        <v>1.5160547120735368</v>
      </c>
      <c r="BW13" s="159">
        <f t="shared" si="47"/>
        <v>3.4221179578144709</v>
      </c>
      <c r="BX13" s="159">
        <f t="shared" si="48"/>
        <v>2.9401295130518696</v>
      </c>
      <c r="BY13" s="159">
        <f t="shared" si="49"/>
        <v>10.434244049463372</v>
      </c>
      <c r="BZ13" s="159">
        <f t="shared" si="50"/>
        <v>13.433283118229879</v>
      </c>
      <c r="CA13" s="159">
        <f t="shared" si="51"/>
        <v>1.8543479122882929</v>
      </c>
      <c r="CB13" s="159">
        <f t="shared" si="52"/>
        <v>6.7136340476737395</v>
      </c>
      <c r="CC13" s="159">
        <f t="shared" si="53"/>
        <v>7.4146603825580897</v>
      </c>
      <c r="CD13" s="159">
        <f t="shared" si="54"/>
        <v>11.400821720067237</v>
      </c>
      <c r="CE13" s="159">
        <f t="shared" si="68"/>
        <v>7.4146603825580897</v>
      </c>
      <c r="CF13" s="159">
        <f t="shared" si="55"/>
        <v>7.1671773605108537</v>
      </c>
      <c r="CG13" s="159">
        <f t="shared" si="56"/>
        <v>12.509051522000039</v>
      </c>
      <c r="CH13" s="159">
        <f t="shared" si="69"/>
        <v>7.1671773605108537</v>
      </c>
      <c r="CI13" s="159">
        <f t="shared" si="70"/>
        <v>4.1340111130995929</v>
      </c>
    </row>
    <row r="14" spans="1:87" x14ac:dyDescent="0.25">
      <c r="A14" t="str">
        <f>PLANTILLA!D16</f>
        <v>C. Rojas</v>
      </c>
      <c r="B14" t="s">
        <v>1018</v>
      </c>
      <c r="C14" s="666">
        <f>PLANTILLA!E16</f>
        <v>31</v>
      </c>
      <c r="D14" s="666">
        <f ca="1">PLANTILLA!F16</f>
        <v>80</v>
      </c>
      <c r="E14" s="666" t="str">
        <f>PLANTILLA!G16</f>
        <v>TEC</v>
      </c>
      <c r="F14" s="317">
        <v>41653</v>
      </c>
      <c r="G14" s="530">
        <v>1.5</v>
      </c>
      <c r="H14" s="531">
        <f>PLANTILLA!I16</f>
        <v>11</v>
      </c>
      <c r="I14" s="371"/>
      <c r="J14" s="163">
        <f>PLANTILLA!X16</f>
        <v>0</v>
      </c>
      <c r="K14" s="163">
        <f>PLANTILLA!Y16</f>
        <v>8.6075555555555585</v>
      </c>
      <c r="L14" s="163">
        <f>PLANTILLA!Z16</f>
        <v>14.190398412698405</v>
      </c>
      <c r="M14" s="163">
        <f>PLANTILLA!AA16</f>
        <v>9.99</v>
      </c>
      <c r="N14" s="163">
        <f>PLANTILLA!AB16</f>
        <v>10.09</v>
      </c>
      <c r="O14" s="163">
        <f>PLANTILLA!AC16</f>
        <v>4.3999999999999995</v>
      </c>
      <c r="P14" s="163">
        <f>PLANTILLA!AD16</f>
        <v>16.544444444444441</v>
      </c>
      <c r="Q14" s="163">
        <f t="shared" si="57"/>
        <v>3.9734444444444446</v>
      </c>
      <c r="R14" s="163">
        <f t="shared" si="58"/>
        <v>15.187081556710682</v>
      </c>
      <c r="S14" s="163">
        <f t="shared" si="59"/>
        <v>0.71633333333333327</v>
      </c>
      <c r="T14" s="163">
        <f t="shared" si="60"/>
        <v>0.84063555555555569</v>
      </c>
      <c r="U14" s="163">
        <f t="shared" ca="1" si="0"/>
        <v>18.932968024655409</v>
      </c>
      <c r="V14" s="159">
        <f t="shared" si="1"/>
        <v>4.8973664188575086</v>
      </c>
      <c r="W14" s="159">
        <f t="shared" si="2"/>
        <v>7.38729505316347</v>
      </c>
      <c r="X14" s="159">
        <f t="shared" si="61"/>
        <v>4.8973664188575086</v>
      </c>
      <c r="Y14" s="159">
        <f t="shared" si="3"/>
        <v>5.9319768340555274</v>
      </c>
      <c r="Z14" s="159">
        <f t="shared" si="4"/>
        <v>11.496079135766525</v>
      </c>
      <c r="AA14" s="159">
        <f t="shared" si="62"/>
        <v>2.9659884170277637</v>
      </c>
      <c r="AB14" s="159">
        <f t="shared" si="5"/>
        <v>4.0647834343124307</v>
      </c>
      <c r="AC14" s="159">
        <f t="shared" si="6"/>
        <v>4.3455179133197461</v>
      </c>
      <c r="AD14" s="159">
        <f t="shared" si="7"/>
        <v>8.3116652151591968</v>
      </c>
      <c r="AE14" s="159">
        <f t="shared" si="63"/>
        <v>2.1727589566598731</v>
      </c>
      <c r="AF14" s="159">
        <f t="shared" si="8"/>
        <v>6.5753849672701081</v>
      </c>
      <c r="AG14" s="387">
        <f t="shared" si="9"/>
        <v>10.576392804905204</v>
      </c>
      <c r="AH14" s="159">
        <f t="shared" si="10"/>
        <v>4.7593767622073413</v>
      </c>
      <c r="AI14" s="159">
        <f t="shared" si="11"/>
        <v>2.8521799728158652</v>
      </c>
      <c r="AJ14" s="387">
        <f t="shared" si="12"/>
        <v>7.5725718651640479</v>
      </c>
      <c r="AK14" s="159">
        <f t="shared" si="13"/>
        <v>8.6680436683679591</v>
      </c>
      <c r="AL14" s="159">
        <f t="shared" si="14"/>
        <v>8.1392240281226993</v>
      </c>
      <c r="AM14" s="159">
        <f t="shared" si="15"/>
        <v>3.2453056601174537</v>
      </c>
      <c r="AN14" s="159">
        <f t="shared" si="16"/>
        <v>1.9762467911007582</v>
      </c>
      <c r="AO14" s="159">
        <f t="shared" si="17"/>
        <v>3.103941366656962</v>
      </c>
      <c r="AP14" s="159">
        <f t="shared" si="18"/>
        <v>6.8286710066453153</v>
      </c>
      <c r="AQ14" s="159">
        <f t="shared" si="64"/>
        <v>1.551970683328481</v>
      </c>
      <c r="AR14" s="159">
        <f t="shared" si="19"/>
        <v>16.122502361306445</v>
      </c>
      <c r="AS14" s="159">
        <f t="shared" si="20"/>
        <v>1.6872080654274257</v>
      </c>
      <c r="AT14" s="159">
        <f t="shared" si="21"/>
        <v>2.818337409001813</v>
      </c>
      <c r="AU14" s="159">
        <f t="shared" si="65"/>
        <v>0.84360403271371287</v>
      </c>
      <c r="AV14" s="159">
        <f t="shared" si="22"/>
        <v>2.1727589566598731</v>
      </c>
      <c r="AW14" s="159">
        <f t="shared" si="23"/>
        <v>4.5984316543066104</v>
      </c>
      <c r="AX14" s="159">
        <f t="shared" si="66"/>
        <v>1.0863794783299365</v>
      </c>
      <c r="AY14" s="159">
        <f t="shared" si="24"/>
        <v>17.078921992909372</v>
      </c>
      <c r="AZ14" s="159">
        <f t="shared" si="25"/>
        <v>3.2835664657933745</v>
      </c>
      <c r="BA14" s="159">
        <f t="shared" si="26"/>
        <v>5.9562664926962432</v>
      </c>
      <c r="BB14" s="159">
        <f t="shared" si="67"/>
        <v>1.6417832328966873</v>
      </c>
      <c r="BC14" s="159">
        <f t="shared" si="27"/>
        <v>3.3453590285080588</v>
      </c>
      <c r="BD14" s="159">
        <f t="shared" si="28"/>
        <v>4.0006355392467503</v>
      </c>
      <c r="BE14" s="159">
        <f t="shared" si="29"/>
        <v>15.046530275753156</v>
      </c>
      <c r="BF14" s="159">
        <f t="shared" si="30"/>
        <v>11.480507462807548</v>
      </c>
      <c r="BG14" s="159">
        <f t="shared" si="31"/>
        <v>3.1278241828308428</v>
      </c>
      <c r="BH14" s="159">
        <f t="shared" si="32"/>
        <v>5.5755983808467642</v>
      </c>
      <c r="BI14" s="159">
        <f t="shared" si="33"/>
        <v>3.0349648918423626</v>
      </c>
      <c r="BJ14" s="159">
        <f t="shared" si="34"/>
        <v>6.507069279298471</v>
      </c>
      <c r="BK14" s="159">
        <f t="shared" si="35"/>
        <v>11.275929609104386</v>
      </c>
      <c r="BL14" s="159">
        <f t="shared" si="36"/>
        <v>0.67488322617097019</v>
      </c>
      <c r="BM14" s="159">
        <f t="shared" si="37"/>
        <v>2.0692942444379745</v>
      </c>
      <c r="BN14" s="159">
        <f t="shared" si="38"/>
        <v>0.78173338123212377</v>
      </c>
      <c r="BO14" s="159">
        <f t="shared" si="39"/>
        <v>5.2090712078373587</v>
      </c>
      <c r="BP14" s="159">
        <f t="shared" si="40"/>
        <v>16.590381324151302</v>
      </c>
      <c r="BQ14" s="159">
        <f t="shared" si="41"/>
        <v>1.7521006833284807</v>
      </c>
      <c r="BR14" s="159">
        <f t="shared" si="42"/>
        <v>3.2648864745576929</v>
      </c>
      <c r="BS14" s="159">
        <f t="shared" si="43"/>
        <v>2.8050433091270319</v>
      </c>
      <c r="BT14" s="159">
        <f t="shared" si="44"/>
        <v>7.7709095067737648</v>
      </c>
      <c r="BU14" s="159">
        <f t="shared" si="45"/>
        <v>14.293804126873752</v>
      </c>
      <c r="BV14" s="159">
        <f t="shared" si="46"/>
        <v>1.570401353205527</v>
      </c>
      <c r="BW14" s="159">
        <f t="shared" si="47"/>
        <v>3.2648864745576929</v>
      </c>
      <c r="BX14" s="159">
        <f t="shared" si="48"/>
        <v>2.8050433091270319</v>
      </c>
      <c r="BY14" s="159">
        <f t="shared" si="49"/>
        <v>10.776799777525813</v>
      </c>
      <c r="BZ14" s="159">
        <f t="shared" si="50"/>
        <v>11.545578604288814</v>
      </c>
      <c r="CA14" s="159">
        <f t="shared" si="51"/>
        <v>1.920821489871223</v>
      </c>
      <c r="CB14" s="159">
        <f t="shared" si="52"/>
        <v>6.9340423291212057</v>
      </c>
      <c r="CC14" s="159">
        <f t="shared" si="53"/>
        <v>7.0624626717067915</v>
      </c>
      <c r="CD14" s="159">
        <f t="shared" si="54"/>
        <v>11.296547551317548</v>
      </c>
      <c r="CE14" s="159">
        <f t="shared" si="68"/>
        <v>7.0624626717067915</v>
      </c>
      <c r="CF14" s="159">
        <f t="shared" si="55"/>
        <v>6.454120190471432</v>
      </c>
      <c r="CG14" s="159">
        <f t="shared" si="56"/>
        <v>12.077598781308811</v>
      </c>
      <c r="CH14" s="159">
        <f t="shared" si="69"/>
        <v>6.454120190471432</v>
      </c>
      <c r="CI14" s="159">
        <f t="shared" si="70"/>
        <v>4.269730498227343</v>
      </c>
    </row>
    <row r="15" spans="1:87" x14ac:dyDescent="0.25">
      <c r="A15" t="str">
        <f>PLANTILLA!D17</f>
        <v>E. Gross</v>
      </c>
      <c r="B15" t="s">
        <v>1018</v>
      </c>
      <c r="C15" s="666">
        <f>PLANTILLA!E17</f>
        <v>30</v>
      </c>
      <c r="D15" s="666">
        <f ca="1">PLANTILLA!F17</f>
        <v>74</v>
      </c>
      <c r="E15" s="666"/>
      <c r="F15" s="317">
        <v>41552</v>
      </c>
      <c r="G15" s="530">
        <v>1.5</v>
      </c>
      <c r="H15" s="531">
        <f>PLANTILLA!I17</f>
        <v>9.1</v>
      </c>
      <c r="I15" s="371"/>
      <c r="J15" s="163">
        <f>PLANTILLA!X17</f>
        <v>0</v>
      </c>
      <c r="K15" s="163">
        <f>PLANTILLA!Y17</f>
        <v>10.349999999999996</v>
      </c>
      <c r="L15" s="163">
        <f>PLANTILLA!Z17</f>
        <v>12.859777777777778</v>
      </c>
      <c r="M15" s="163">
        <f>PLANTILLA!AA17</f>
        <v>5.1299999999999981</v>
      </c>
      <c r="N15" s="163">
        <f>PLANTILLA!AB17</f>
        <v>9.24</v>
      </c>
      <c r="O15" s="163">
        <f>PLANTILLA!AC17</f>
        <v>2.98</v>
      </c>
      <c r="P15" s="163">
        <f>PLANTILLA!AD17</f>
        <v>16.959999999999997</v>
      </c>
      <c r="Q15" s="163">
        <f t="shared" si="57"/>
        <v>3.9787499999999998</v>
      </c>
      <c r="R15" s="163">
        <f t="shared" si="58"/>
        <v>12.815775302706152</v>
      </c>
      <c r="S15" s="163">
        <f t="shared" si="59"/>
        <v>0.65779999999999994</v>
      </c>
      <c r="T15" s="163">
        <f t="shared" si="60"/>
        <v>0.92279999999999984</v>
      </c>
      <c r="U15" s="163">
        <f t="shared" ca="1" si="0"/>
        <v>19.238721856428121</v>
      </c>
      <c r="V15" s="159">
        <f t="shared" si="1"/>
        <v>5.282424180661752</v>
      </c>
      <c r="W15" s="159">
        <f t="shared" si="2"/>
        <v>7.9860799166487073</v>
      </c>
      <c r="X15" s="159">
        <f t="shared" si="61"/>
        <v>5.282424180661752</v>
      </c>
      <c r="Y15" s="159">
        <f t="shared" si="3"/>
        <v>6.7744204779169097</v>
      </c>
      <c r="Z15" s="159">
        <f t="shared" si="4"/>
        <v>13.12872185642812</v>
      </c>
      <c r="AA15" s="159">
        <f t="shared" si="62"/>
        <v>3.3872102389584549</v>
      </c>
      <c r="AB15" s="159">
        <f t="shared" si="5"/>
        <v>3.7219629129410046</v>
      </c>
      <c r="AC15" s="159">
        <f t="shared" si="6"/>
        <v>4.9626568617298297</v>
      </c>
      <c r="AD15" s="159">
        <f t="shared" si="7"/>
        <v>9.4920659021975311</v>
      </c>
      <c r="AE15" s="159">
        <f t="shared" si="63"/>
        <v>2.4813284308649148</v>
      </c>
      <c r="AF15" s="159">
        <f t="shared" si="8"/>
        <v>6.020822359169272</v>
      </c>
      <c r="AG15" s="387">
        <f t="shared" si="9"/>
        <v>12.078424107913872</v>
      </c>
      <c r="AH15" s="159">
        <f t="shared" si="10"/>
        <v>5.435290848561241</v>
      </c>
      <c r="AI15" s="159">
        <f t="shared" si="11"/>
        <v>2.6116294389123857</v>
      </c>
      <c r="AJ15" s="387">
        <f t="shared" si="12"/>
        <v>4.6503284515797363</v>
      </c>
      <c r="AK15" s="159">
        <f t="shared" si="13"/>
        <v>9.8990562797468034</v>
      </c>
      <c r="AL15" s="159">
        <f t="shared" si="14"/>
        <v>9.2951350743511085</v>
      </c>
      <c r="AM15" s="159">
        <f t="shared" si="15"/>
        <v>3.2963665500234964</v>
      </c>
      <c r="AN15" s="159">
        <f t="shared" si="16"/>
        <v>1.9461518946512997</v>
      </c>
      <c r="AO15" s="159">
        <f t="shared" si="17"/>
        <v>3.5447549012355926</v>
      </c>
      <c r="AP15" s="159">
        <f t="shared" si="18"/>
        <v>7.798460782718303</v>
      </c>
      <c r="AQ15" s="159">
        <f t="shared" si="64"/>
        <v>1.7723774506177963</v>
      </c>
      <c r="AR15" s="159">
        <f t="shared" si="19"/>
        <v>14.76274365469037</v>
      </c>
      <c r="AS15" s="159">
        <f t="shared" si="20"/>
        <v>1.5624338413356562</v>
      </c>
      <c r="AT15" s="159">
        <f t="shared" si="21"/>
        <v>2.4385055039334405</v>
      </c>
      <c r="AU15" s="159">
        <f t="shared" si="65"/>
        <v>0.78121692066782811</v>
      </c>
      <c r="AV15" s="159">
        <f t="shared" si="22"/>
        <v>2.4813284308649148</v>
      </c>
      <c r="AW15" s="159">
        <f t="shared" si="23"/>
        <v>5.2514887425712482</v>
      </c>
      <c r="AX15" s="159">
        <f t="shared" si="66"/>
        <v>1.2406642154324574</v>
      </c>
      <c r="AY15" s="159">
        <f t="shared" si="24"/>
        <v>15.638499634205902</v>
      </c>
      <c r="AZ15" s="159">
        <f t="shared" si="25"/>
        <v>3.0407366296763154</v>
      </c>
      <c r="BA15" s="159">
        <f t="shared" si="26"/>
        <v>5.3077157428918973</v>
      </c>
      <c r="BB15" s="159">
        <f t="shared" si="67"/>
        <v>1.5203683148381577</v>
      </c>
      <c r="BC15" s="159">
        <f t="shared" si="27"/>
        <v>3.8204580602205827</v>
      </c>
      <c r="BD15" s="159">
        <f t="shared" si="28"/>
        <v>4.5687952060369854</v>
      </c>
      <c r="BE15" s="159">
        <f t="shared" si="29"/>
        <v>13.777518177735399</v>
      </c>
      <c r="BF15" s="159">
        <f t="shared" si="30"/>
        <v>8.325503730364602</v>
      </c>
      <c r="BG15" s="159">
        <f t="shared" si="31"/>
        <v>2.8965119673991779</v>
      </c>
      <c r="BH15" s="159">
        <f t="shared" si="32"/>
        <v>6.3674301003676383</v>
      </c>
      <c r="BI15" s="159">
        <f t="shared" si="33"/>
        <v>3.4659825700970237</v>
      </c>
      <c r="BJ15" s="159">
        <f t="shared" si="34"/>
        <v>5.9582683606324487</v>
      </c>
      <c r="BK15" s="159">
        <f t="shared" si="35"/>
        <v>7.73833290251818</v>
      </c>
      <c r="BL15" s="159">
        <f t="shared" si="36"/>
        <v>0.62497353653426246</v>
      </c>
      <c r="BM15" s="159">
        <f t="shared" si="37"/>
        <v>2.3631699341570616</v>
      </c>
      <c r="BN15" s="159">
        <f t="shared" si="38"/>
        <v>0.89275308623711225</v>
      </c>
      <c r="BO15" s="159">
        <f t="shared" si="39"/>
        <v>4.7697423884327996</v>
      </c>
      <c r="BP15" s="159">
        <f t="shared" si="40"/>
        <v>11.346076307366566</v>
      </c>
      <c r="BQ15" s="159">
        <f t="shared" si="41"/>
        <v>1.6225274506177969</v>
      </c>
      <c r="BR15" s="159">
        <f t="shared" si="42"/>
        <v>3.7285570072255858</v>
      </c>
      <c r="BS15" s="159">
        <f t="shared" si="43"/>
        <v>3.2034081329684612</v>
      </c>
      <c r="BT15" s="159">
        <f t="shared" si="44"/>
        <v>7.1155173335636857</v>
      </c>
      <c r="BU15" s="159">
        <f t="shared" si="45"/>
        <v>9.7657038169223611</v>
      </c>
      <c r="BV15" s="159">
        <f t="shared" si="46"/>
        <v>1.4542653446278029</v>
      </c>
      <c r="BW15" s="159">
        <f t="shared" si="47"/>
        <v>3.7285570072255858</v>
      </c>
      <c r="BX15" s="159">
        <f t="shared" si="48"/>
        <v>3.2034081329684612</v>
      </c>
      <c r="BY15" s="159">
        <f t="shared" si="49"/>
        <v>9.8678932691839236</v>
      </c>
      <c r="BZ15" s="159">
        <f t="shared" si="50"/>
        <v>7.8715360615031704</v>
      </c>
      <c r="CA15" s="159">
        <f t="shared" si="51"/>
        <v>1.7787708347513622</v>
      </c>
      <c r="CB15" s="159">
        <f t="shared" si="52"/>
        <v>6.3492308514875964</v>
      </c>
      <c r="CC15" s="159">
        <f t="shared" si="53"/>
        <v>4.8748940871990527</v>
      </c>
      <c r="CD15" s="159">
        <f t="shared" si="54"/>
        <v>9.8835008103380684</v>
      </c>
      <c r="CE15" s="159">
        <f t="shared" si="68"/>
        <v>4.8748940871990527</v>
      </c>
      <c r="CF15" s="159">
        <f t="shared" si="55"/>
        <v>4.8217537165547206</v>
      </c>
      <c r="CG15" s="159">
        <f t="shared" si="56"/>
        <v>10.193630221450103</v>
      </c>
      <c r="CH15" s="159">
        <f t="shared" si="69"/>
        <v>4.8217537165547206</v>
      </c>
      <c r="CI15" s="159">
        <f t="shared" si="70"/>
        <v>3.9096249085514754</v>
      </c>
    </row>
    <row r="16" spans="1:87" x14ac:dyDescent="0.25">
      <c r="A16" t="str">
        <f>PLANTILLA!D18</f>
        <v>L. Bauman</v>
      </c>
      <c r="B16" t="s">
        <v>1018</v>
      </c>
      <c r="C16" s="666">
        <f>PLANTILLA!E18</f>
        <v>30</v>
      </c>
      <c r="D16" s="666">
        <f ca="1">PLANTILLA!F18</f>
        <v>49</v>
      </c>
      <c r="E16" s="666"/>
      <c r="F16" s="317">
        <v>41686</v>
      </c>
      <c r="G16" s="530">
        <v>1.5</v>
      </c>
      <c r="H16" s="531">
        <f>PLANTILLA!I18</f>
        <v>8.1</v>
      </c>
      <c r="I16" s="371"/>
      <c r="J16" s="163">
        <f>PLANTILLA!X18</f>
        <v>0</v>
      </c>
      <c r="K16" s="163">
        <f>PLANTILLA!Y18</f>
        <v>5.2811111111111115</v>
      </c>
      <c r="L16" s="163">
        <f>PLANTILLA!Z18</f>
        <v>14.283789947089938</v>
      </c>
      <c r="M16" s="163">
        <f>PLANTILLA!AA18</f>
        <v>3.5124999999999993</v>
      </c>
      <c r="N16" s="163">
        <f>PLANTILLA!AB18</f>
        <v>9.1400000000000041</v>
      </c>
      <c r="O16" s="163">
        <f>PLANTILLA!AC18</f>
        <v>7.4318888888888894</v>
      </c>
      <c r="P16" s="163">
        <f>PLANTILLA!AD18</f>
        <v>16.07</v>
      </c>
      <c r="Q16" s="163">
        <f t="shared" si="57"/>
        <v>3.3201388888888901</v>
      </c>
      <c r="R16" s="163">
        <f t="shared" si="58"/>
        <v>19.567438077851307</v>
      </c>
      <c r="S16" s="163">
        <f t="shared" si="59"/>
        <v>0.85369444444444442</v>
      </c>
      <c r="T16" s="163">
        <f t="shared" si="60"/>
        <v>0.69334444444444443</v>
      </c>
      <c r="U16" s="163">
        <f t="shared" ca="1" si="0"/>
        <v>18.281313358504867</v>
      </c>
      <c r="V16" s="159">
        <f t="shared" si="1"/>
        <v>3.8245632286414155</v>
      </c>
      <c r="W16" s="159">
        <f t="shared" si="2"/>
        <v>5.7447777680520051</v>
      </c>
      <c r="X16" s="159">
        <f t="shared" si="61"/>
        <v>3.8245632286414155</v>
      </c>
      <c r="Y16" s="159">
        <f t="shared" si="3"/>
        <v>4.1240910263218451</v>
      </c>
      <c r="Z16" s="159">
        <f t="shared" si="4"/>
        <v>7.9924244696159779</v>
      </c>
      <c r="AA16" s="159">
        <f t="shared" si="62"/>
        <v>2.0620455131609225</v>
      </c>
      <c r="AB16" s="159">
        <f t="shared" si="5"/>
        <v>4.0448345867315627</v>
      </c>
      <c r="AC16" s="159">
        <f t="shared" si="6"/>
        <v>3.0211364495148398</v>
      </c>
      <c r="AD16" s="159">
        <f t="shared" si="7"/>
        <v>5.7785228915323517</v>
      </c>
      <c r="AE16" s="159">
        <f t="shared" si="63"/>
        <v>1.5105682247574199</v>
      </c>
      <c r="AF16" s="159">
        <f t="shared" si="8"/>
        <v>6.5431147726539995</v>
      </c>
      <c r="AG16" s="387">
        <f t="shared" si="9"/>
        <v>7.3530305120466997</v>
      </c>
      <c r="AH16" s="159">
        <f t="shared" si="10"/>
        <v>3.3088637304210144</v>
      </c>
      <c r="AI16" s="159">
        <f t="shared" si="11"/>
        <v>2.8381822520343323</v>
      </c>
      <c r="AJ16" s="387">
        <f t="shared" si="12"/>
        <v>3.6596022548008609</v>
      </c>
      <c r="AK16" s="159">
        <f t="shared" si="13"/>
        <v>6.0262880500904474</v>
      </c>
      <c r="AL16" s="159">
        <f t="shared" si="14"/>
        <v>5.6586365244881121</v>
      </c>
      <c r="AM16" s="159">
        <f t="shared" si="15"/>
        <v>3.1364793308703129</v>
      </c>
      <c r="AN16" s="159">
        <f t="shared" si="16"/>
        <v>1.7370582472494016</v>
      </c>
      <c r="AO16" s="159">
        <f t="shared" si="17"/>
        <v>2.1579546067963142</v>
      </c>
      <c r="AP16" s="159">
        <f t="shared" si="18"/>
        <v>4.747500134951891</v>
      </c>
      <c r="AQ16" s="159">
        <f t="shared" si="64"/>
        <v>1.0789773033981571</v>
      </c>
      <c r="AR16" s="159">
        <f t="shared" si="19"/>
        <v>16.043377520481492</v>
      </c>
      <c r="AS16" s="159">
        <f t="shared" si="20"/>
        <v>1.5406707366056334</v>
      </c>
      <c r="AT16" s="159">
        <f t="shared" si="21"/>
        <v>3.1769315918197041</v>
      </c>
      <c r="AU16" s="159">
        <f t="shared" si="65"/>
        <v>0.77033536830281668</v>
      </c>
      <c r="AV16" s="159">
        <f t="shared" si="22"/>
        <v>1.5105682247574199</v>
      </c>
      <c r="AW16" s="159">
        <f t="shared" si="23"/>
        <v>3.1969697878463914</v>
      </c>
      <c r="AX16" s="159">
        <f t="shared" si="66"/>
        <v>0.75528411237870996</v>
      </c>
      <c r="AY16" s="159">
        <f t="shared" si="24"/>
        <v>16.995103305594803</v>
      </c>
      <c r="AZ16" s="159">
        <f t="shared" si="25"/>
        <v>2.9983822797017323</v>
      </c>
      <c r="BA16" s="159">
        <f t="shared" si="26"/>
        <v>6.1713703272028502</v>
      </c>
      <c r="BB16" s="159">
        <f t="shared" si="67"/>
        <v>1.4991911398508662</v>
      </c>
      <c r="BC16" s="159">
        <f t="shared" si="27"/>
        <v>2.3257955206582492</v>
      </c>
      <c r="BD16" s="159">
        <f t="shared" si="28"/>
        <v>2.7813637154263602</v>
      </c>
      <c r="BE16" s="159">
        <f t="shared" si="29"/>
        <v>14.972686012229021</v>
      </c>
      <c r="BF16" s="159">
        <f t="shared" si="30"/>
        <v>7.3056325757108267</v>
      </c>
      <c r="BG16" s="159">
        <f t="shared" si="31"/>
        <v>2.8561665193996739</v>
      </c>
      <c r="BH16" s="159">
        <f t="shared" si="32"/>
        <v>3.8763258677637493</v>
      </c>
      <c r="BI16" s="159">
        <f t="shared" si="33"/>
        <v>2.1100000599786184</v>
      </c>
      <c r="BJ16" s="159">
        <f t="shared" si="34"/>
        <v>6.4751343594316202</v>
      </c>
      <c r="BK16" s="159">
        <f t="shared" si="35"/>
        <v>6.5707403753332549</v>
      </c>
      <c r="BL16" s="159">
        <f t="shared" si="36"/>
        <v>0.6162682946422533</v>
      </c>
      <c r="BM16" s="159">
        <f t="shared" si="37"/>
        <v>1.4386364045308759</v>
      </c>
      <c r="BN16" s="159">
        <f t="shared" si="38"/>
        <v>0.54348486393388651</v>
      </c>
      <c r="BO16" s="159">
        <f t="shared" si="39"/>
        <v>5.1835065082064151</v>
      </c>
      <c r="BP16" s="159">
        <f t="shared" si="40"/>
        <v>9.6132889790372591</v>
      </c>
      <c r="BQ16" s="159">
        <f t="shared" si="41"/>
        <v>1.5999273033981578</v>
      </c>
      <c r="BR16" s="159">
        <f t="shared" si="42"/>
        <v>2.2698485493709377</v>
      </c>
      <c r="BS16" s="159">
        <f t="shared" si="43"/>
        <v>1.9501515705862986</v>
      </c>
      <c r="BT16" s="159">
        <f t="shared" si="44"/>
        <v>7.7327720040456356</v>
      </c>
      <c r="BU16" s="159">
        <f t="shared" si="45"/>
        <v>8.2690952012233918</v>
      </c>
      <c r="BV16" s="159">
        <f t="shared" si="46"/>
        <v>1.4340089163790894</v>
      </c>
      <c r="BW16" s="159">
        <f t="shared" si="47"/>
        <v>2.2698485493709377</v>
      </c>
      <c r="BX16" s="159">
        <f t="shared" si="48"/>
        <v>1.9501515705862986</v>
      </c>
      <c r="BY16" s="159">
        <f t="shared" si="49"/>
        <v>10.72391018583032</v>
      </c>
      <c r="BZ16" s="159">
        <f t="shared" si="50"/>
        <v>6.6564204558618556</v>
      </c>
      <c r="CA16" s="159">
        <f t="shared" si="51"/>
        <v>1.753994377058721</v>
      </c>
      <c r="CB16" s="159">
        <f t="shared" si="52"/>
        <v>6.9000119420714903</v>
      </c>
      <c r="CC16" s="159">
        <f t="shared" si="53"/>
        <v>5.147244148669925</v>
      </c>
      <c r="CD16" s="159">
        <f t="shared" si="54"/>
        <v>12.348750063898706</v>
      </c>
      <c r="CE16" s="159">
        <f t="shared" si="68"/>
        <v>5.147244148669925</v>
      </c>
      <c r="CF16" s="159">
        <f t="shared" si="55"/>
        <v>5.5655818334596434</v>
      </c>
      <c r="CG16" s="159">
        <f t="shared" si="56"/>
        <v>14.516336876682054</v>
      </c>
      <c r="CH16" s="159">
        <f t="shared" si="69"/>
        <v>5.5655818334596434</v>
      </c>
      <c r="CI16" s="159">
        <f t="shared" si="70"/>
        <v>4.2487758263987008</v>
      </c>
    </row>
    <row r="17" spans="1:87" x14ac:dyDescent="0.25">
      <c r="A17" t="str">
        <f>PLANTILLA!D19</f>
        <v>W. Gelifini</v>
      </c>
      <c r="B17" t="s">
        <v>1018</v>
      </c>
      <c r="C17" s="666">
        <f>PLANTILLA!E19</f>
        <v>28</v>
      </c>
      <c r="D17" s="666">
        <f ca="1">PLANTILLA!F19</f>
        <v>111</v>
      </c>
      <c r="E17" s="666"/>
      <c r="F17" s="317">
        <v>41737</v>
      </c>
      <c r="G17" s="530">
        <v>1.5</v>
      </c>
      <c r="H17" s="531">
        <f>PLANTILLA!I19</f>
        <v>4</v>
      </c>
      <c r="I17" s="371"/>
      <c r="J17" s="163">
        <f>PLANTILLA!X19</f>
        <v>0</v>
      </c>
      <c r="K17" s="163">
        <f>PLANTILLA!Y19</f>
        <v>5.6315555555555523</v>
      </c>
      <c r="L17" s="163">
        <f>PLANTILLA!Z19</f>
        <v>9.8523388888888874</v>
      </c>
      <c r="M17" s="163">
        <f>PLANTILLA!AA19</f>
        <v>7.0726666666666667</v>
      </c>
      <c r="N17" s="163">
        <f>PLANTILLA!AB19</f>
        <v>9.2666666666666639</v>
      </c>
      <c r="O17" s="163">
        <f>PLANTILLA!AC19</f>
        <v>3.5417777777777766</v>
      </c>
      <c r="P17" s="163">
        <f>PLANTILLA!AD19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2.8929103594702954</v>
      </c>
      <c r="AC17" s="159">
        <f t="shared" si="6"/>
        <v>2.9991662356292919</v>
      </c>
      <c r="AD17" s="159">
        <f t="shared" si="7"/>
        <v>5.7365004983068202</v>
      </c>
      <c r="AE17" s="159">
        <f t="shared" si="63"/>
        <v>1.4995831178146459</v>
      </c>
      <c r="AF17" s="159">
        <f t="shared" si="8"/>
        <v>4.6797079344372428</v>
      </c>
      <c r="AG17" s="387">
        <f t="shared" si="9"/>
        <v>7.2995580338067425</v>
      </c>
      <c r="AH17" s="159">
        <f t="shared" si="10"/>
        <v>3.2848011152130336</v>
      </c>
      <c r="AI17" s="159">
        <f t="shared" si="11"/>
        <v>2.0298992858468039</v>
      </c>
      <c r="AJ17" s="387">
        <f t="shared" si="12"/>
        <v>5.5127430332011222</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11.474400753529238</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12.155085543992838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10.70863036425769</v>
      </c>
      <c r="BF17" s="159">
        <f t="shared" si="30"/>
        <v>9.0258524430540774</v>
      </c>
      <c r="BG17" s="159">
        <f t="shared" si="31"/>
        <v>2.7882286105467182</v>
      </c>
      <c r="BH17" s="159">
        <f t="shared" si="32"/>
        <v>3.8481365721698584</v>
      </c>
      <c r="BI17" s="159">
        <f t="shared" si="33"/>
        <v>2.0946557836141086</v>
      </c>
      <c r="BJ17" s="159">
        <f t="shared" si="34"/>
        <v>4.6310875922612711</v>
      </c>
      <c r="BK17" s="159">
        <f t="shared" si="35"/>
        <v>8.6351052432275193</v>
      </c>
      <c r="BL17" s="159">
        <f t="shared" si="36"/>
        <v>0.60160949273207198</v>
      </c>
      <c r="BM17" s="159">
        <f t="shared" si="37"/>
        <v>1.4281743979187103</v>
      </c>
      <c r="BN17" s="159">
        <f t="shared" si="38"/>
        <v>0.53953255032484615</v>
      </c>
      <c r="BO17" s="159">
        <f t="shared" si="39"/>
        <v>3.7073010909178157</v>
      </c>
      <c r="BP17" s="159">
        <f t="shared" si="40"/>
        <v>12.684265531797013</v>
      </c>
      <c r="BQ17" s="159">
        <f t="shared" si="41"/>
        <v>1.561870798439033</v>
      </c>
      <c r="BR17" s="159">
        <f t="shared" si="42"/>
        <v>2.2533418278272985</v>
      </c>
      <c r="BS17" s="159">
        <f t="shared" si="43"/>
        <v>1.9359697394009185</v>
      </c>
      <c r="BT17" s="159">
        <f t="shared" si="44"/>
        <v>5.5305639225167411</v>
      </c>
      <c r="BU17" s="159">
        <f t="shared" si="45"/>
        <v>10.923293960521843</v>
      </c>
      <c r="BV17" s="159">
        <f t="shared" si="46"/>
        <v>1.3998990119342443</v>
      </c>
      <c r="BW17" s="159">
        <f t="shared" si="47"/>
        <v>2.2533418278272985</v>
      </c>
      <c r="BX17" s="159">
        <f t="shared" si="48"/>
        <v>1.9359697394009185</v>
      </c>
      <c r="BY17" s="159">
        <f t="shared" si="49"/>
        <v>7.669858978259481</v>
      </c>
      <c r="BZ17" s="159">
        <f t="shared" si="50"/>
        <v>8.8144369229847008</v>
      </c>
      <c r="CA17" s="159">
        <f t="shared" si="51"/>
        <v>1.7122731716220509</v>
      </c>
      <c r="CB17" s="159">
        <f t="shared" si="52"/>
        <v>4.9349647308610924</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3.0387713859982095</v>
      </c>
    </row>
    <row r="18" spans="1:87" x14ac:dyDescent="0.25">
      <c r="A18" t="str">
        <f>PLANTILLA!D20</f>
        <v>M. Amico</v>
      </c>
      <c r="B18" t="s">
        <v>1018</v>
      </c>
      <c r="C18" s="666">
        <f>PLANTILLA!E20</f>
        <v>29</v>
      </c>
      <c r="D18" s="666">
        <f ca="1">PLANTILLA!F20</f>
        <v>6</v>
      </c>
      <c r="E18" s="666" t="str">
        <f>PLANTILLA!G20</f>
        <v>IMP</v>
      </c>
      <c r="F18" s="317">
        <v>41730</v>
      </c>
      <c r="G18" s="530">
        <v>1.5</v>
      </c>
      <c r="H18" s="531">
        <f>PLANTILLA!I20</f>
        <v>1.2</v>
      </c>
      <c r="I18" s="371"/>
      <c r="J18" s="163">
        <f>PLANTILLA!X20</f>
        <v>0</v>
      </c>
      <c r="K18" s="163">
        <f>PLANTILLA!Y20</f>
        <v>2.47611111111111</v>
      </c>
      <c r="L18" s="163">
        <f>PLANTILLA!Z20</f>
        <v>7.3199999999999976</v>
      </c>
      <c r="M18" s="163">
        <f>PLANTILLA!AA20</f>
        <v>4.17</v>
      </c>
      <c r="N18" s="163">
        <f>PLANTILLA!AB20</f>
        <v>7.2649999999999988</v>
      </c>
      <c r="O18" s="163">
        <f>PLANTILLA!AC20</f>
        <v>4.3299999999999983</v>
      </c>
      <c r="P18" s="163">
        <f>PLANTILLA!AD20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2.1242868487457787</v>
      </c>
      <c r="AC18" s="159">
        <f t="shared" si="6"/>
        <v>1.5428773480080025</v>
      </c>
      <c r="AD18" s="159">
        <f t="shared" si="7"/>
        <v>2.9510590545232427</v>
      </c>
      <c r="AE18" s="159">
        <f t="shared" si="63"/>
        <v>0.77143867400400123</v>
      </c>
      <c r="AF18" s="159">
        <f t="shared" si="8"/>
        <v>3.4363463729711126</v>
      </c>
      <c r="AG18" s="387">
        <f t="shared" si="9"/>
        <v>3.7551512173739745</v>
      </c>
      <c r="AH18" s="159">
        <f t="shared" si="10"/>
        <v>1.6898180478182885</v>
      </c>
      <c r="AI18" s="159">
        <f t="shared" si="11"/>
        <v>1.4905710241199372</v>
      </c>
      <c r="AJ18" s="387">
        <f t="shared" si="12"/>
        <v>3.3960380969013375</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8.4257427950252737</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8.9255749947301624</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7.8634315703572728</v>
      </c>
      <c r="BF18" s="159">
        <f t="shared" si="30"/>
        <v>6.1094111703151164</v>
      </c>
      <c r="BG18" s="159">
        <f t="shared" si="31"/>
        <v>2.1378085737299695</v>
      </c>
      <c r="BH18" s="159">
        <f t="shared" si="32"/>
        <v>1.979617761333019</v>
      </c>
      <c r="BI18" s="159">
        <f t="shared" si="33"/>
        <v>1.0775651319420971</v>
      </c>
      <c r="BJ18" s="159">
        <f t="shared" si="34"/>
        <v>3.4006440729921921</v>
      </c>
      <c r="BK18" s="159">
        <f t="shared" si="35"/>
        <v>5.669947545394165</v>
      </c>
      <c r="BL18" s="159">
        <f t="shared" si="36"/>
        <v>0.46126989972596855</v>
      </c>
      <c r="BM18" s="159">
        <f t="shared" si="37"/>
        <v>0.73470349905142973</v>
      </c>
      <c r="BN18" s="159">
        <f t="shared" si="38"/>
        <v>0.27755465519720685</v>
      </c>
      <c r="BO18" s="159">
        <f t="shared" si="39"/>
        <v>2.7223003733926996</v>
      </c>
      <c r="BP18" s="159">
        <f t="shared" si="40"/>
        <v>8.3125594432229928</v>
      </c>
      <c r="BQ18" s="159">
        <f t="shared" si="41"/>
        <v>1.1975276242885722</v>
      </c>
      <c r="BR18" s="159">
        <f t="shared" si="42"/>
        <v>1.1591988540589224</v>
      </c>
      <c r="BS18" s="159">
        <f t="shared" si="43"/>
        <v>0.99593140982527151</v>
      </c>
      <c r="BT18" s="159">
        <f t="shared" si="44"/>
        <v>4.0611366226022243</v>
      </c>
      <c r="BU18" s="159">
        <f t="shared" si="45"/>
        <v>7.1545170941610232</v>
      </c>
      <c r="BV18" s="159">
        <f t="shared" si="46"/>
        <v>1.0733395743623499</v>
      </c>
      <c r="BW18" s="159">
        <f t="shared" si="47"/>
        <v>1.1591988540589224</v>
      </c>
      <c r="BX18" s="159">
        <f t="shared" si="48"/>
        <v>0.99593140982527151</v>
      </c>
      <c r="BY18" s="159">
        <f t="shared" si="49"/>
        <v>5.6320378216747322</v>
      </c>
      <c r="BZ18" s="159">
        <f t="shared" si="50"/>
        <v>5.766474620283498</v>
      </c>
      <c r="CA18" s="159">
        <f t="shared" si="51"/>
        <v>1.3128450992200642</v>
      </c>
      <c r="CB18" s="159">
        <f t="shared" si="52"/>
        <v>3.623783447860446</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2.2313937486825406</v>
      </c>
    </row>
    <row r="19" spans="1:87" x14ac:dyDescent="0.25">
      <c r="A19" t="str">
        <f>PLANTILLA!D21</f>
        <v>G. Kerschl</v>
      </c>
      <c r="B19" t="s">
        <v>1018</v>
      </c>
      <c r="C19" s="702">
        <f>PLANTILLA!E21</f>
        <v>28</v>
      </c>
      <c r="D19" s="702">
        <f ca="1">PLANTILLA!F21</f>
        <v>76</v>
      </c>
      <c r="E19" s="702" t="str">
        <f>PLANTILLA!G21</f>
        <v>CAB</v>
      </c>
      <c r="F19" s="317">
        <v>43060</v>
      </c>
      <c r="G19" s="530">
        <v>2.5</v>
      </c>
      <c r="H19" s="531">
        <f>PLANTILLA!I21</f>
        <v>8.6</v>
      </c>
      <c r="I19" s="371"/>
      <c r="J19" s="163">
        <f>PLANTILLA!X21</f>
        <v>0</v>
      </c>
      <c r="K19" s="163">
        <f>PLANTILLA!Y21</f>
        <v>2</v>
      </c>
      <c r="L19" s="163">
        <f>PLANTILLA!Z21</f>
        <v>14.55</v>
      </c>
      <c r="M19" s="163">
        <f>PLANTILLA!AA21</f>
        <v>12.01</v>
      </c>
      <c r="N19" s="163">
        <f>PLANTILLA!AB21</f>
        <v>12</v>
      </c>
      <c r="O19" s="163">
        <f>PLANTILLA!AC21</f>
        <v>8</v>
      </c>
      <c r="P19" s="163">
        <f>PLANTILLA!AD21</f>
        <v>2</v>
      </c>
      <c r="Q19" s="163">
        <f t="shared" ref="Q19" si="71">((2*(N19+1))+(K19+1))/8</f>
        <v>3.625</v>
      </c>
      <c r="R19" s="163">
        <f t="shared" ref="R19" si="72">1.66*(O19+(LOG(H19)*4/3)+G19)+0.55*(P19+(LOG(H19)*4/3)+G19)-7.6</f>
        <v>15.058655436331046</v>
      </c>
      <c r="S19" s="163">
        <f t="shared" ref="S19" si="73">(0.5*O19+ 0.3*P19)/10</f>
        <v>0.45999999999999996</v>
      </c>
      <c r="T19" s="163">
        <f t="shared" ref="T19" si="74">(0.4*K19+0.3*P19)/10</f>
        <v>0.13999999999999999</v>
      </c>
      <c r="U19" s="163">
        <f t="shared" ref="U19" ca="1" si="75">IF(TODAY()-F19&gt;335,(P19+1+(LOG(H19)*4/3)),(P19+((TODAY()-F19)^0.5)/(336^0.5)+(LOG(H19)*4/3)))</f>
        <v>3.4899729532285573</v>
      </c>
      <c r="V19" s="159">
        <f t="shared" ref="V19" si="76">((J19+G19+(LOG(H19)*4/3))*0.597)+((K19+G19+(LOG(H19)*4/3))*0.276)</f>
        <v>3.8222561972475129</v>
      </c>
      <c r="W19" s="159">
        <f t="shared" ref="W19" si="77">((J19+G19+(LOG(H19)*4/3))*0.866)+((K19+G19+(LOG(H19)*4/3))*0.425)</f>
        <v>5.6860833340739276</v>
      </c>
      <c r="X19" s="159">
        <f t="shared" ref="X19" si="78">V19</f>
        <v>3.8222561972475129</v>
      </c>
      <c r="Y19" s="159">
        <f t="shared" ref="Y19" si="79">((K19+G19+(LOG(H19)*4/3))*0.516)</f>
        <v>2.9649349344555747</v>
      </c>
      <c r="Z19" s="159">
        <f t="shared" ref="Z19" si="80">(K19+G19+(LOG(H19)*4/3))*1</f>
        <v>5.7459979349914239</v>
      </c>
      <c r="AA19" s="159">
        <f t="shared" ref="AA19" si="81">Y19/2</f>
        <v>1.4824674672277873</v>
      </c>
      <c r="AB19" s="159">
        <f t="shared" ref="AB19" si="82">(L19+G19+(LOG(H19)*4/3))*0.238</f>
        <v>4.3544475085279588</v>
      </c>
      <c r="AC19" s="159">
        <f t="shared" ref="AC19" si="83">((K19+G19+(LOG(H19)*4/3))*0.378)</f>
        <v>2.1719872194267582</v>
      </c>
      <c r="AD19" s="159">
        <f t="shared" ref="AD19" si="84">(K19+G19+(LOG(H19)*4/3))*0.723</f>
        <v>4.1543565069987993</v>
      </c>
      <c r="AE19" s="159">
        <f t="shared" ref="AE19" si="85">AC19/2</f>
        <v>1.0859936097133791</v>
      </c>
      <c r="AF19" s="159">
        <f t="shared" ref="AF19" si="86">(L19+G19+(LOG(H19)*4/3))*0.385</f>
        <v>7.0439592049716984</v>
      </c>
      <c r="AG19" s="387">
        <f t="shared" ref="AG19" si="87">((K19+G19+(LOG(H19)*4/3))*0.92)</f>
        <v>5.2863181001921102</v>
      </c>
      <c r="AH19" s="159">
        <f t="shared" ref="AH19" si="88">(K19+G19+(LOG(H19)*4/3))*0.414</f>
        <v>2.3788431450864493</v>
      </c>
      <c r="AI19" s="159">
        <f t="shared" ref="AI19" si="89">((L19+G19+(LOG(H19)*4/3))*0.167)</f>
        <v>3.0554316551435678</v>
      </c>
      <c r="AJ19" s="387">
        <f t="shared" ref="AJ19" si="90">(M19+G19+(LOG(H19)*4/3))*0.588</f>
        <v>9.2645267857749563</v>
      </c>
      <c r="AK19" s="159">
        <f t="shared" ref="AK19" si="91">((K19+G19+(LOG(H19)*4/3))*0.754)</f>
        <v>4.332482442983534</v>
      </c>
      <c r="AL19" s="159">
        <f t="shared" ref="AL19" si="92">((K19+G19+(LOG(H19)*4/3))*0.708)</f>
        <v>4.0681665379739282</v>
      </c>
      <c r="AM19" s="159">
        <f t="shared" ref="AM19" si="93">((P19+G19+(LOG(H19)*4/3))*0.167)</f>
        <v>0.95958165514356786</v>
      </c>
      <c r="AN19" s="159">
        <f t="shared" ref="AN19" si="94">((Q19+G19+(LOG(H19)*4/3))*0.288)</f>
        <v>2.1228474052775299</v>
      </c>
      <c r="AO19" s="159">
        <f t="shared" ref="AO19" si="95">((K19+G19+(LOG(H19)*4/3))*0.27)</f>
        <v>1.5514194424476846</v>
      </c>
      <c r="AP19" s="159">
        <f t="shared" ref="AP19" si="96">((K19+G19+(LOG(H19)*4/3))*0.594)</f>
        <v>3.4131227733849054</v>
      </c>
      <c r="AQ19" s="159">
        <f t="shared" ref="AQ19" si="97">AO19/2</f>
        <v>0.7757097212238423</v>
      </c>
      <c r="AR19" s="159">
        <f t="shared" ref="AR19" si="98">((L19+G19+(LOG(H19)*4/3))*0.944)</f>
        <v>17.271422050631902</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1.0859936097133791</v>
      </c>
      <c r="AW19" s="159">
        <f t="shared" ref="AW19" si="103">((K19+G19+(LOG(H19)*4/3))*0.4)</f>
        <v>2.2983991739965695</v>
      </c>
      <c r="AX19" s="159">
        <f t="shared" ref="AX19" si="104">AV19/2</f>
        <v>0.54299680485668955</v>
      </c>
      <c r="AY19" s="159">
        <f t="shared" ref="AY19" si="105">((L19+G19+(LOG(H19)*4/3))*1)</f>
        <v>18.295997934991423</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1.6720853990825042</v>
      </c>
      <c r="BD19" s="159">
        <f t="shared" ref="BD19" si="110">((K19+G19+(LOG(H19)*4/3))*0.348)</f>
        <v>1.9996072813770154</v>
      </c>
      <c r="BE19" s="159">
        <f t="shared" ref="BE19" si="111">((L19+G19+(LOG(H19)*4/3))*0.881)</f>
        <v>16.118774180727442</v>
      </c>
      <c r="BF19" s="159">
        <f t="shared" ref="BF19" si="112">((M19+G19+(LOG(H19)*4/3))*0.574)+((N19+G19+(LOG(H19)*4/3))*0.315)</f>
        <v>14.003932164207374</v>
      </c>
      <c r="BG19" s="159">
        <f t="shared" ref="BG19" si="113">((N19+G19+(LOG(H19)*4/3))*0.241)</f>
        <v>3.7947855023329331</v>
      </c>
      <c r="BH19" s="159">
        <f t="shared" ref="BH19" si="114">((K19+G19+(LOG(H19)*4/3))*0.485)</f>
        <v>2.7868089984708404</v>
      </c>
      <c r="BI19" s="159">
        <f t="shared" ref="BI19" si="115">((K19+G19+(LOG(H19)*4/3))*0.264)</f>
        <v>1.5169434548377361</v>
      </c>
      <c r="BJ19" s="159">
        <f t="shared" ref="BJ19" si="116">((L19+G19+(LOG(H19)*4/3))*0.381)</f>
        <v>6.9707752132317324</v>
      </c>
      <c r="BK19" s="159">
        <f t="shared" ref="BK19" si="117">((M19+G19+(LOG(H19)*4/3))*0.673)+((N19+G19+(LOG(H19)*4/3))*0.201)</f>
        <v>13.768732195182505</v>
      </c>
      <c r="BL19" s="159">
        <f t="shared" ref="BL19" si="118">((N19+G19+(LOG(H19)*4/3))*0.052)</f>
        <v>0.81879189261955398</v>
      </c>
      <c r="BM19" s="159">
        <f t="shared" ref="BM19" si="119">((K19+G19+(LOG(H19)*4/3))*0.18)</f>
        <v>1.0342796282984563</v>
      </c>
      <c r="BN19" s="159">
        <f t="shared" ref="BN19" si="120">(K19+G19+(LOG(H19)*4/3))*0.068</f>
        <v>0.39072785957941686</v>
      </c>
      <c r="BO19" s="159">
        <f t="shared" ref="BO19" si="121">((L19+G19+(LOG(H19)*4/3))*0.305)</f>
        <v>5.5802793701723834</v>
      </c>
      <c r="BP19" s="159">
        <f t="shared" ref="BP19" si="122">((M19+G19+(LOG(H19)*4/3))*1)+((N19+G19+(LOG(H19)*4/3))*0.286)</f>
        <v>20.259353344398971</v>
      </c>
      <c r="BQ19" s="159">
        <f t="shared" ref="BQ19" si="123">((N19+G19+(LOG(H19)*4/3))*0.135)</f>
        <v>2.1257097212238425</v>
      </c>
      <c r="BR19" s="159">
        <f t="shared" ref="BR19" si="124">((K19+G19+(LOG(H19)*4/3))*0.284)</f>
        <v>1.6318634135375643</v>
      </c>
      <c r="BS19" s="159">
        <f t="shared" ref="BS19" si="125">(K19+G19+(LOG(H19)*4/3))*0.244</f>
        <v>1.4020234961379074</v>
      </c>
      <c r="BT19" s="159">
        <f t="shared" ref="BT19" si="126">((L19+G19+(LOG(H19)*4/3))*0.455)</f>
        <v>8.3246790604210972</v>
      </c>
      <c r="BU19" s="159">
        <f t="shared" ref="BU19" si="127">((M19+G19+(LOG(H19)*4/3))*0.864)+((N19+G19+(LOG(H19)*4/3))*0.244)</f>
        <v>17.455205711970496</v>
      </c>
      <c r="BV19" s="159">
        <f t="shared" ref="BV19" si="128">((N19+G19+(LOG(H19)*4/3))*0.121)</f>
        <v>1.9052657501339623</v>
      </c>
      <c r="BW19" s="159">
        <f t="shared" ref="BW19" si="129">((K19+G19+(LOG(H19)*4/3))*0.284)</f>
        <v>1.6318634135375643</v>
      </c>
      <c r="BX19" s="159">
        <f t="shared" ref="BX19" si="130">((K19+G19+(LOG(H19)*4/3))*0.244)</f>
        <v>1.4020234961379074</v>
      </c>
      <c r="BY19" s="159">
        <f t="shared" ref="BY19" si="131">((L19+G19+(LOG(H19)*4/3))*0.631)</f>
        <v>11.544774696979587</v>
      </c>
      <c r="BZ19" s="159">
        <f t="shared" ref="BZ19" si="132">((M19+G19+(LOG(H19)*4/3))*0.702)+((N19+G19+(LOG(H19)*4/3))*0.193)</f>
        <v>14.099688151817324</v>
      </c>
      <c r="CA19" s="159">
        <f t="shared" ref="CA19" si="133">((N19+G19+(LOG(H19)*4/3))*0.148)</f>
        <v>2.3304076943787306</v>
      </c>
      <c r="CB19" s="159">
        <f t="shared" ref="CB19" si="134">((L19+G19+(LOG(H19)*4/3))*0.406)</f>
        <v>7.4281751616065179</v>
      </c>
      <c r="CC19" s="159">
        <f t="shared" ref="CC19" si="135">IF(E19="TEC",((M19+G19+(LOG(H19)*4/3))*0.15)+((N19+G19+(LOG(H19)*4/3))*0.324)+((O19+G19+(LOG(H19)*4/3))*0.127),(((M19+G19+(LOG(H19)*4/3))*0.144)+((N19+G19+(LOG(H19)*4/3))*0.25)+((O19+G19+(LOG(H19)*4/3))*0.127)))</f>
        <v>7.6971049241305316</v>
      </c>
      <c r="CD19" s="159">
        <f t="shared" ref="CD19" si="136">((N19+G19+(LOG(H19)*4/3))*0.543)+((O19+G19+(LOG(H19)*4/3))*0.583)</f>
        <v>15.397993674800343</v>
      </c>
      <c r="CE19" s="159">
        <f t="shared" ref="CE19" si="137">CC19</f>
        <v>7.6971049241305316</v>
      </c>
      <c r="CF19" s="159">
        <f t="shared" ref="CF19" si="138">((O19+1+(LOG(H19)*4/3))*0.26)+((M19+G19+(LOG(H19)*4/3))*0.221)+((N19+G19+(LOG(H19)*4/3))*0.142)</f>
        <v>8.3819667134996578</v>
      </c>
      <c r="CG19" s="159">
        <f t="shared" ref="CG19" si="139">((O19+G19+(LOG(H19)*4/3))*1)+((N19+G19+(LOG(H19)*4/3))*0.369)</f>
        <v>17.55627117300326</v>
      </c>
      <c r="CH19" s="159">
        <f t="shared" ref="CH19" si="140">CF19</f>
        <v>8.3819667134996578</v>
      </c>
      <c r="CI19" s="159">
        <f t="shared" ref="CI19" si="141">((L19+G19+(LOG(H19)*4/3))*0.25)</f>
        <v>4.5739994837478557</v>
      </c>
    </row>
    <row r="20" spans="1:87" x14ac:dyDescent="0.25">
      <c r="A20" t="str">
        <f>PLANTILLA!D22</f>
        <v>J. Limon</v>
      </c>
      <c r="B20" t="s">
        <v>1018</v>
      </c>
      <c r="C20" s="666">
        <f>PLANTILLA!E22</f>
        <v>29</v>
      </c>
      <c r="D20" s="666">
        <f ca="1">PLANTILLA!F22</f>
        <v>86</v>
      </c>
      <c r="E20" s="666" t="str">
        <f>PLANTILLA!G22</f>
        <v>RAP</v>
      </c>
      <c r="F20" s="317">
        <v>41664</v>
      </c>
      <c r="G20" s="530">
        <v>1.5</v>
      </c>
      <c r="H20" s="531">
        <f>PLANTILLA!I22</f>
        <v>10</v>
      </c>
      <c r="I20" s="371"/>
      <c r="J20" s="163">
        <f>PLANTILLA!X22</f>
        <v>0</v>
      </c>
      <c r="K20" s="163">
        <f>PLANTILLA!Y22</f>
        <v>6.8176190476190497</v>
      </c>
      <c r="L20" s="163">
        <f>PLANTILLA!Z22</f>
        <v>8.5</v>
      </c>
      <c r="M20" s="163">
        <f>PLANTILLA!AA22</f>
        <v>8.7299999999999969</v>
      </c>
      <c r="N20" s="163">
        <f>PLANTILLA!AB22</f>
        <v>9.6900000000000013</v>
      </c>
      <c r="O20" s="163">
        <f>PLANTILLA!AC22</f>
        <v>8.5625000000000018</v>
      </c>
      <c r="P20" s="163">
        <f>PLANTILLA!AD22</f>
        <v>18.639999999999993</v>
      </c>
      <c r="Q20" s="163">
        <f t="shared" si="57"/>
        <v>3.6497023809523816</v>
      </c>
      <c r="R20" s="163">
        <f t="shared" si="58"/>
        <v>23.127416666666669</v>
      </c>
      <c r="S20" s="163">
        <f t="shared" si="59"/>
        <v>0.9873249999999999</v>
      </c>
      <c r="T20" s="163">
        <f t="shared" si="60"/>
        <v>0.83190476190476181</v>
      </c>
      <c r="U20" s="163">
        <f t="shared" ca="1" si="0"/>
        <v>20.973333333333326</v>
      </c>
      <c r="V20" s="159">
        <f t="shared" si="1"/>
        <v>4.355162857142858</v>
      </c>
      <c r="W20" s="159">
        <f t="shared" si="2"/>
        <v>6.5553214285714301</v>
      </c>
      <c r="X20" s="159">
        <f t="shared" si="61"/>
        <v>4.355162857142858</v>
      </c>
      <c r="Y20" s="159">
        <f t="shared" si="3"/>
        <v>4.9798914285714302</v>
      </c>
      <c r="Z20" s="159">
        <f t="shared" si="4"/>
        <v>9.6509523809523845</v>
      </c>
      <c r="AA20" s="159">
        <f t="shared" si="62"/>
        <v>2.4899457142857151</v>
      </c>
      <c r="AB20" s="159">
        <f t="shared" si="5"/>
        <v>2.6973333333333334</v>
      </c>
      <c r="AC20" s="159">
        <f t="shared" si="6"/>
        <v>3.6480600000000014</v>
      </c>
      <c r="AD20" s="159">
        <f t="shared" si="7"/>
        <v>6.9776385714285736</v>
      </c>
      <c r="AE20" s="159">
        <f t="shared" si="63"/>
        <v>1.8240300000000007</v>
      </c>
      <c r="AF20" s="159">
        <f t="shared" si="8"/>
        <v>4.3633333333333333</v>
      </c>
      <c r="AG20" s="387">
        <f t="shared" si="9"/>
        <v>8.8788761904761948</v>
      </c>
      <c r="AH20" s="159">
        <f t="shared" si="10"/>
        <v>3.9954942857142868</v>
      </c>
      <c r="AI20" s="159">
        <f t="shared" si="11"/>
        <v>1.8926666666666669</v>
      </c>
      <c r="AJ20" s="387">
        <f t="shared" si="12"/>
        <v>6.7992399999999984</v>
      </c>
      <c r="AK20" s="159">
        <f t="shared" si="13"/>
        <v>7.2768180952380979</v>
      </c>
      <c r="AL20" s="159">
        <f t="shared" si="14"/>
        <v>6.8328742857142881</v>
      </c>
      <c r="AM20" s="159">
        <f t="shared" si="15"/>
        <v>3.5860466666666655</v>
      </c>
      <c r="AN20" s="159">
        <f t="shared" si="16"/>
        <v>1.8671142857142857</v>
      </c>
      <c r="AO20" s="159">
        <f t="shared" si="17"/>
        <v>2.605757142857144</v>
      </c>
      <c r="AP20" s="159">
        <f t="shared" si="18"/>
        <v>5.7326657142857158</v>
      </c>
      <c r="AQ20" s="159">
        <f t="shared" si="64"/>
        <v>1.302878571428572</v>
      </c>
      <c r="AR20" s="159">
        <f t="shared" si="19"/>
        <v>10.698666666666666</v>
      </c>
      <c r="AS20" s="159">
        <f t="shared" si="20"/>
        <v>1.6280333333333337</v>
      </c>
      <c r="AT20" s="159">
        <f t="shared" si="21"/>
        <v>3.4742791666666673</v>
      </c>
      <c r="AU20" s="159">
        <f t="shared" si="65"/>
        <v>0.81401666666666683</v>
      </c>
      <c r="AV20" s="387">
        <f t="shared" si="22"/>
        <v>1.8240300000000007</v>
      </c>
      <c r="AW20" s="387">
        <f t="shared" si="23"/>
        <v>3.8603809523809538</v>
      </c>
      <c r="AX20" s="387">
        <f t="shared" si="66"/>
        <v>0.91201500000000035</v>
      </c>
      <c r="AY20" s="387">
        <f t="shared" si="24"/>
        <v>11.333333333333334</v>
      </c>
      <c r="AZ20" s="387">
        <f t="shared" si="25"/>
        <v>3.1684033333333339</v>
      </c>
      <c r="BA20" s="387">
        <f t="shared" si="26"/>
        <v>6.6635816666666683</v>
      </c>
      <c r="BB20" s="387">
        <f t="shared" si="67"/>
        <v>1.584201666666667</v>
      </c>
      <c r="BC20" s="387">
        <f t="shared" si="27"/>
        <v>2.8084271428571439</v>
      </c>
      <c r="BD20" s="387">
        <f t="shared" si="28"/>
        <v>3.3585314285714296</v>
      </c>
      <c r="BE20" s="387">
        <f t="shared" si="29"/>
        <v>9.9846666666666675</v>
      </c>
      <c r="BF20" s="387">
        <f t="shared" si="30"/>
        <v>10.582203333333332</v>
      </c>
      <c r="BG20" s="387">
        <f t="shared" si="31"/>
        <v>3.0181233333333335</v>
      </c>
      <c r="BH20" s="387">
        <f t="shared" si="32"/>
        <v>4.6807119047619068</v>
      </c>
      <c r="BI20" s="387">
        <f t="shared" si="33"/>
        <v>2.5478514285714295</v>
      </c>
      <c r="BJ20" s="387">
        <f t="shared" si="34"/>
        <v>4.3180000000000005</v>
      </c>
      <c r="BK20" s="387">
        <f t="shared" si="35"/>
        <v>10.299313333333332</v>
      </c>
      <c r="BL20" s="387">
        <f t="shared" si="36"/>
        <v>0.65121333333333342</v>
      </c>
      <c r="BM20" s="387">
        <f t="shared" si="37"/>
        <v>1.7371714285714293</v>
      </c>
      <c r="BN20" s="387">
        <f t="shared" si="38"/>
        <v>0.65626476190476224</v>
      </c>
      <c r="BO20" s="387">
        <f t="shared" si="39"/>
        <v>3.4566666666666666</v>
      </c>
      <c r="BP20" s="387">
        <f t="shared" si="40"/>
        <v>15.145006666666664</v>
      </c>
      <c r="BQ20" s="387">
        <f t="shared" si="41"/>
        <v>1.6906500000000004</v>
      </c>
      <c r="BR20" s="387">
        <f t="shared" si="42"/>
        <v>2.740870476190477</v>
      </c>
      <c r="BS20" s="387">
        <f t="shared" si="43"/>
        <v>2.3548323809523817</v>
      </c>
      <c r="BT20" s="387">
        <f t="shared" si="44"/>
        <v>5.1566666666666672</v>
      </c>
      <c r="BU20" s="387">
        <f t="shared" si="45"/>
        <v>13.046413333333332</v>
      </c>
      <c r="BV20" s="387">
        <f t="shared" si="46"/>
        <v>1.5153233333333336</v>
      </c>
      <c r="BW20" s="387">
        <f t="shared" si="47"/>
        <v>2.740870476190477</v>
      </c>
      <c r="BX20" s="387">
        <f t="shared" si="48"/>
        <v>2.3548323809523817</v>
      </c>
      <c r="BY20" s="387">
        <f t="shared" si="49"/>
        <v>7.1513333333333335</v>
      </c>
      <c r="BZ20" s="387">
        <f t="shared" si="50"/>
        <v>10.534463333333331</v>
      </c>
      <c r="CA20" s="387">
        <f t="shared" si="51"/>
        <v>1.8534533333333336</v>
      </c>
      <c r="CB20" s="387">
        <f t="shared" si="52"/>
        <v>4.6013333333333337</v>
      </c>
      <c r="CC20" s="387">
        <f t="shared" si="53"/>
        <v>6.2432241666666668</v>
      </c>
      <c r="CD20" s="387">
        <f t="shared" si="54"/>
        <v>13.443940833333336</v>
      </c>
      <c r="CE20" s="387">
        <f t="shared" si="68"/>
        <v>6.2432241666666668</v>
      </c>
      <c r="CF20" s="387">
        <f t="shared" si="55"/>
        <v>7.1667266666666665</v>
      </c>
      <c r="CG20" s="387">
        <f t="shared" si="56"/>
        <v>16.016943333333337</v>
      </c>
      <c r="CH20" s="387">
        <f t="shared" si="69"/>
        <v>7.1667266666666665</v>
      </c>
      <c r="CI20" s="387">
        <f t="shared" si="70"/>
        <v>2.8333333333333335</v>
      </c>
    </row>
    <row r="21" spans="1:87" x14ac:dyDescent="0.25">
      <c r="A21" t="str">
        <f>PLANTILLA!D23</f>
        <v>L. Calosso</v>
      </c>
      <c r="C21" s="666">
        <f>PLANTILLA!E23</f>
        <v>30</v>
      </c>
      <c r="D21" s="666">
        <f ca="1">PLANTILLA!F23</f>
        <v>43</v>
      </c>
      <c r="E21" s="666" t="str">
        <f>PLANTILLA!G23</f>
        <v>TEC</v>
      </c>
      <c r="F21" s="317">
        <v>41890</v>
      </c>
      <c r="G21" s="530">
        <v>1</v>
      </c>
      <c r="H21" s="531">
        <f>PLANTILLA!I23</f>
        <v>10.199999999999999</v>
      </c>
      <c r="I21" s="371"/>
      <c r="J21" s="163">
        <f>PLANTILLA!X23</f>
        <v>0</v>
      </c>
      <c r="K21" s="163">
        <f>PLANTILLA!Y23</f>
        <v>2</v>
      </c>
      <c r="L21" s="163">
        <f>PLANTILLA!Z23</f>
        <v>14.127609523809523</v>
      </c>
      <c r="M21" s="163">
        <f>PLANTILLA!AA23</f>
        <v>3.02</v>
      </c>
      <c r="N21" s="163">
        <f>PLANTILLA!AB23</f>
        <v>15.02</v>
      </c>
      <c r="O21" s="163">
        <f>PLANTILLA!AC23</f>
        <v>10</v>
      </c>
      <c r="P21" s="163">
        <f>PLANTILLA!AD23</f>
        <v>9.3000000000000007</v>
      </c>
      <c r="Q21" s="163">
        <f t="shared" si="57"/>
        <v>4.38</v>
      </c>
      <c r="R21" s="163">
        <f t="shared" si="58"/>
        <v>19.297008506125117</v>
      </c>
      <c r="S21" s="163">
        <f t="shared" si="59"/>
        <v>0.77900000000000003</v>
      </c>
      <c r="T21" s="163">
        <f t="shared" si="60"/>
        <v>0.35899999999999999</v>
      </c>
      <c r="U21" s="163">
        <f t="shared" ca="1" si="0"/>
        <v>11.644800229015891</v>
      </c>
      <c r="V21" s="159">
        <f t="shared" si="1"/>
        <v>2.5990105999308719</v>
      </c>
      <c r="W21" s="159">
        <f t="shared" si="2"/>
        <v>3.8771370956595135</v>
      </c>
      <c r="X21" s="159">
        <f t="shared" si="61"/>
        <v>2.5990105999308719</v>
      </c>
      <c r="Y21" s="159">
        <f t="shared" si="3"/>
        <v>2.2419169181721994</v>
      </c>
      <c r="Z21" s="159">
        <f t="shared" si="4"/>
        <v>4.34480022901589</v>
      </c>
      <c r="AA21" s="159">
        <f t="shared" si="62"/>
        <v>1.1209584590860997</v>
      </c>
      <c r="AB21" s="159">
        <f t="shared" si="5"/>
        <v>3.9204335211724484</v>
      </c>
      <c r="AC21" s="159">
        <f t="shared" si="6"/>
        <v>1.6423344865680065</v>
      </c>
      <c r="AD21" s="159">
        <f t="shared" si="7"/>
        <v>3.1412905655784882</v>
      </c>
      <c r="AE21" s="159">
        <f t="shared" si="63"/>
        <v>0.82116724328400326</v>
      </c>
      <c r="AF21" s="159">
        <f t="shared" si="8"/>
        <v>6.3418777548377845</v>
      </c>
      <c r="AG21" s="387">
        <f t="shared" si="9"/>
        <v>3.997216210694619</v>
      </c>
      <c r="AH21" s="159">
        <f t="shared" si="10"/>
        <v>1.7987472948125784</v>
      </c>
      <c r="AI21" s="159">
        <f t="shared" si="11"/>
        <v>2.7508924287218441</v>
      </c>
      <c r="AJ21" s="387">
        <f t="shared" si="12"/>
        <v>3.1545025346613431</v>
      </c>
      <c r="AK21" s="159">
        <f t="shared" si="13"/>
        <v>3.2759793726779809</v>
      </c>
      <c r="AL21" s="159">
        <f t="shared" si="14"/>
        <v>3.0761185621432499</v>
      </c>
      <c r="AM21" s="159">
        <f t="shared" si="15"/>
        <v>1.9446816382456538</v>
      </c>
      <c r="AN21" s="159">
        <f t="shared" si="16"/>
        <v>1.9367424659565762</v>
      </c>
      <c r="AO21" s="159">
        <f t="shared" si="17"/>
        <v>1.1730960618342905</v>
      </c>
      <c r="AP21" s="159">
        <f t="shared" si="18"/>
        <v>2.5808113360354388</v>
      </c>
      <c r="AQ21" s="159">
        <f t="shared" si="64"/>
        <v>0.58654803091714525</v>
      </c>
      <c r="AR21" s="159">
        <f t="shared" si="19"/>
        <v>15.54995480666719</v>
      </c>
      <c r="AS21" s="159">
        <f t="shared" si="20"/>
        <v>2.257424029772066</v>
      </c>
      <c r="AT21" s="159">
        <f t="shared" si="21"/>
        <v>4.2194264671016555</v>
      </c>
      <c r="AU21" s="159">
        <f t="shared" si="65"/>
        <v>1.128712014886033</v>
      </c>
      <c r="AV21" s="387">
        <f t="shared" si="22"/>
        <v>0.82116724328400326</v>
      </c>
      <c r="AW21" s="387">
        <f t="shared" si="23"/>
        <v>1.7379200916063562</v>
      </c>
      <c r="AX21" s="387">
        <f t="shared" si="66"/>
        <v>0.41058362164200163</v>
      </c>
      <c r="AY21" s="387">
        <f t="shared" si="24"/>
        <v>16.472409752825413</v>
      </c>
      <c r="AZ21" s="387">
        <f t="shared" si="25"/>
        <v>4.3932944579410202</v>
      </c>
      <c r="BA21" s="387">
        <f t="shared" si="26"/>
        <v>8.5138049261877562</v>
      </c>
      <c r="BB21" s="387">
        <f t="shared" si="67"/>
        <v>2.1966472289705101</v>
      </c>
      <c r="BC21" s="387">
        <f t="shared" si="27"/>
        <v>1.2643368666436239</v>
      </c>
      <c r="BD21" s="387">
        <f t="shared" si="28"/>
        <v>1.5119904796975296</v>
      </c>
      <c r="BE21" s="387">
        <f t="shared" si="29"/>
        <v>14.512192992239189</v>
      </c>
      <c r="BF21" s="387">
        <f t="shared" si="30"/>
        <v>8.549307403595126</v>
      </c>
      <c r="BG21" s="387">
        <f t="shared" si="31"/>
        <v>4.1849168551928297</v>
      </c>
      <c r="BH21" s="387">
        <f t="shared" si="32"/>
        <v>2.1072281110727067</v>
      </c>
      <c r="BI21" s="387">
        <f t="shared" si="33"/>
        <v>1.147027260460195</v>
      </c>
      <c r="BJ21" s="387">
        <f t="shared" si="34"/>
        <v>6.2759881158264825</v>
      </c>
      <c r="BK21" s="387">
        <f t="shared" si="35"/>
        <v>7.1008354001598883</v>
      </c>
      <c r="BL21" s="387">
        <f t="shared" si="36"/>
        <v>0.9029696119088263</v>
      </c>
      <c r="BM21" s="387">
        <f t="shared" si="37"/>
        <v>0.78206404122286022</v>
      </c>
      <c r="BN21" s="387">
        <f t="shared" si="38"/>
        <v>0.29544641557308055</v>
      </c>
      <c r="BO21" s="387">
        <f t="shared" si="39"/>
        <v>5.0240849746117506</v>
      </c>
      <c r="BP21" s="387">
        <f t="shared" si="40"/>
        <v>10.331133094514435</v>
      </c>
      <c r="BQ21" s="387">
        <f t="shared" si="41"/>
        <v>2.3442480309171456</v>
      </c>
      <c r="BR21" s="387">
        <f t="shared" si="42"/>
        <v>1.2339232650405128</v>
      </c>
      <c r="BS21" s="387">
        <f t="shared" si="43"/>
        <v>1.0601312558798772</v>
      </c>
      <c r="BT21" s="387">
        <f t="shared" si="44"/>
        <v>7.494946437535563</v>
      </c>
      <c r="BU21" s="387">
        <f t="shared" si="45"/>
        <v>8.8721986537496065</v>
      </c>
      <c r="BV21" s="387">
        <f t="shared" si="46"/>
        <v>2.1011408277109229</v>
      </c>
      <c r="BW21" s="387">
        <f t="shared" si="47"/>
        <v>1.2339232650405128</v>
      </c>
      <c r="BX21" s="387">
        <f t="shared" si="48"/>
        <v>1.0601312558798772</v>
      </c>
      <c r="BY21" s="387">
        <f t="shared" si="49"/>
        <v>10.394090554032836</v>
      </c>
      <c r="BZ21" s="387">
        <f t="shared" si="50"/>
        <v>7.1174962049692212</v>
      </c>
      <c r="CA21" s="387">
        <f t="shared" si="51"/>
        <v>2.5699904338943518</v>
      </c>
      <c r="CB21" s="387">
        <f t="shared" si="52"/>
        <v>6.6877983596471182</v>
      </c>
      <c r="CC21" s="387">
        <f t="shared" si="53"/>
        <v>7.9987049376385508</v>
      </c>
      <c r="CD21" s="387">
        <f t="shared" si="54"/>
        <v>16.626105057871893</v>
      </c>
      <c r="CE21" s="387">
        <f t="shared" si="68"/>
        <v>7.9987049376385508</v>
      </c>
      <c r="CF21" s="387">
        <f t="shared" si="55"/>
        <v>6.8610705426768996</v>
      </c>
      <c r="CG21" s="387">
        <f t="shared" si="56"/>
        <v>18.752411513522752</v>
      </c>
      <c r="CH21" s="387">
        <f t="shared" si="69"/>
        <v>6.8610705426768996</v>
      </c>
      <c r="CI21" s="387">
        <f t="shared" si="70"/>
        <v>4.1181024382063534</v>
      </c>
    </row>
    <row r="22" spans="1:87" x14ac:dyDescent="0.25">
      <c r="A22" t="str">
        <f>PLANTILLA!D24</f>
        <v>P .Trivadi</v>
      </c>
      <c r="B22" t="s">
        <v>1018</v>
      </c>
      <c r="C22" s="666">
        <f>PLANTILLA!E24</f>
        <v>27</v>
      </c>
      <c r="D22" s="666">
        <f ca="1">PLANTILLA!F24</f>
        <v>5</v>
      </c>
      <c r="E22" s="666"/>
      <c r="F22" s="317">
        <v>41973</v>
      </c>
      <c r="G22" s="530">
        <v>1.5</v>
      </c>
      <c r="H22" s="531">
        <f>PLANTILLA!I24</f>
        <v>5.3</v>
      </c>
      <c r="I22" s="371"/>
      <c r="J22" s="163">
        <f>PLANTILLA!X24</f>
        <v>0</v>
      </c>
      <c r="K22" s="163">
        <f>PLANTILLA!Y24</f>
        <v>4</v>
      </c>
      <c r="L22" s="163">
        <f>PLANTILLA!Z24</f>
        <v>5.5438722222222205</v>
      </c>
      <c r="M22" s="163">
        <f>PLANTILLA!AA24</f>
        <v>5.4899999999999993</v>
      </c>
      <c r="N22" s="163">
        <f>PLANTILLA!AB24</f>
        <v>10.799999999999999</v>
      </c>
      <c r="O22" s="163">
        <f>PLANTILLA!AC24</f>
        <v>8.384500000000001</v>
      </c>
      <c r="P22" s="163">
        <f>PLANTILLA!AD24</f>
        <v>13.566666666666668</v>
      </c>
      <c r="Q22" s="163">
        <f t="shared" si="57"/>
        <v>3.5749999999999997</v>
      </c>
      <c r="R22" s="163">
        <f t="shared" si="58"/>
        <v>19.229136229090329</v>
      </c>
      <c r="S22" s="163">
        <f t="shared" si="59"/>
        <v>0.82622500000000021</v>
      </c>
      <c r="T22" s="163">
        <f t="shared" si="60"/>
        <v>0.56699999999999995</v>
      </c>
      <c r="U22" s="163">
        <f t="shared" ca="1" si="0"/>
        <v>15.532367826134386</v>
      </c>
      <c r="V22" s="159">
        <f t="shared" si="1"/>
        <v>3.2565571122153183</v>
      </c>
      <c r="W22" s="159">
        <f t="shared" si="2"/>
        <v>4.8832201968728244</v>
      </c>
      <c r="X22" s="159">
        <f t="shared" si="61"/>
        <v>3.2565571122153183</v>
      </c>
      <c r="Y22" s="159">
        <f t="shared" si="3"/>
        <v>3.3363017982853429</v>
      </c>
      <c r="Z22" s="159">
        <f t="shared" si="4"/>
        <v>6.4657011594677183</v>
      </c>
      <c r="AA22" s="159">
        <f t="shared" si="62"/>
        <v>1.6681508991426715</v>
      </c>
      <c r="AB22" s="159">
        <f t="shared" si="5"/>
        <v>1.9062784648422055</v>
      </c>
      <c r="AC22" s="159">
        <f t="shared" si="6"/>
        <v>2.4440350382787974</v>
      </c>
      <c r="AD22" s="159">
        <f t="shared" si="7"/>
        <v>4.6747019382951605</v>
      </c>
      <c r="AE22" s="159">
        <f t="shared" si="63"/>
        <v>1.2220175191393987</v>
      </c>
      <c r="AF22" s="159">
        <f t="shared" si="8"/>
        <v>3.0836857519506267</v>
      </c>
      <c r="AG22" s="387">
        <f t="shared" si="9"/>
        <v>5.9484450667103008</v>
      </c>
      <c r="AH22" s="159">
        <f t="shared" si="10"/>
        <v>2.6768002800196351</v>
      </c>
      <c r="AI22" s="159">
        <f t="shared" si="11"/>
        <v>1.3375987547422199</v>
      </c>
      <c r="AJ22" s="387">
        <f t="shared" si="12"/>
        <v>4.6779522817670181</v>
      </c>
      <c r="AK22" s="159">
        <f t="shared" si="13"/>
        <v>4.8751386742386593</v>
      </c>
      <c r="AL22" s="159">
        <f t="shared" si="14"/>
        <v>4.577716420903144</v>
      </c>
      <c r="AM22" s="159">
        <f t="shared" si="15"/>
        <v>2.6774054269644427</v>
      </c>
      <c r="AN22" s="159">
        <f t="shared" si="16"/>
        <v>1.7397219339267025</v>
      </c>
      <c r="AO22" s="159">
        <f t="shared" si="17"/>
        <v>1.7457393130562842</v>
      </c>
      <c r="AP22" s="159">
        <f t="shared" si="18"/>
        <v>3.8406264887238244</v>
      </c>
      <c r="AQ22" s="159">
        <f t="shared" si="64"/>
        <v>0.87286965652814208</v>
      </c>
      <c r="AR22" s="159">
        <f t="shared" si="19"/>
        <v>7.5610372723153025</v>
      </c>
      <c r="AS22" s="159">
        <f t="shared" si="20"/>
        <v>1.7245411507308033</v>
      </c>
      <c r="AT22" s="159">
        <f t="shared" si="21"/>
        <v>3.4689689397240411</v>
      </c>
      <c r="AU22" s="159">
        <f t="shared" si="65"/>
        <v>0.86227057536540164</v>
      </c>
      <c r="AV22" s="387">
        <f t="shared" si="22"/>
        <v>1.2220175191393987</v>
      </c>
      <c r="AW22" s="387">
        <f t="shared" si="23"/>
        <v>2.5862804637870873</v>
      </c>
      <c r="AX22" s="387">
        <f t="shared" si="66"/>
        <v>0.61100875956969936</v>
      </c>
      <c r="AY22" s="387">
        <f t="shared" si="24"/>
        <v>8.0095733816899397</v>
      </c>
      <c r="AZ22" s="387">
        <f t="shared" si="25"/>
        <v>3.3562223933453326</v>
      </c>
      <c r="BA22" s="387">
        <f t="shared" si="26"/>
        <v>6.8021463388667129</v>
      </c>
      <c r="BB22" s="387">
        <f t="shared" si="67"/>
        <v>1.6781111966726663</v>
      </c>
      <c r="BC22" s="387">
        <f t="shared" si="27"/>
        <v>1.8815190374051058</v>
      </c>
      <c r="BD22" s="387">
        <f t="shared" si="28"/>
        <v>2.2500640034947659</v>
      </c>
      <c r="BE22" s="387">
        <f t="shared" si="29"/>
        <v>7.0564341492688367</v>
      </c>
      <c r="BF22" s="387">
        <f t="shared" si="30"/>
        <v>8.7452683307668018</v>
      </c>
      <c r="BG22" s="387">
        <f t="shared" si="31"/>
        <v>3.19703397943172</v>
      </c>
      <c r="BH22" s="387">
        <f t="shared" si="32"/>
        <v>3.1358650623418431</v>
      </c>
      <c r="BI22" s="387">
        <f t="shared" si="33"/>
        <v>1.7069451060994778</v>
      </c>
      <c r="BJ22" s="387">
        <f t="shared" si="34"/>
        <v>3.0516474584238669</v>
      </c>
      <c r="BK22" s="387">
        <f t="shared" si="35"/>
        <v>8.0205928133747868</v>
      </c>
      <c r="BL22" s="387">
        <f t="shared" si="36"/>
        <v>0.68981646029232124</v>
      </c>
      <c r="BM22" s="387">
        <f t="shared" si="37"/>
        <v>1.1638262087041893</v>
      </c>
      <c r="BN22" s="387">
        <f t="shared" si="38"/>
        <v>0.43966767884380487</v>
      </c>
      <c r="BO22" s="387">
        <f t="shared" si="39"/>
        <v>2.4429198814154316</v>
      </c>
      <c r="BP22" s="387">
        <f t="shared" si="40"/>
        <v>11.749691691075485</v>
      </c>
      <c r="BQ22" s="387">
        <f t="shared" si="41"/>
        <v>1.7908696565281419</v>
      </c>
      <c r="BR22" s="387">
        <f t="shared" si="42"/>
        <v>1.8362591292888317</v>
      </c>
      <c r="BS22" s="387">
        <f t="shared" si="43"/>
        <v>1.5776310829101232</v>
      </c>
      <c r="BT22" s="387">
        <f t="shared" si="44"/>
        <v>3.6443558886689229</v>
      </c>
      <c r="BU22" s="387">
        <f t="shared" si="45"/>
        <v>10.110556884690231</v>
      </c>
      <c r="BV22" s="387">
        <f t="shared" si="46"/>
        <v>1.6051498402955937</v>
      </c>
      <c r="BW22" s="387">
        <f t="shared" si="47"/>
        <v>1.8362591292888317</v>
      </c>
      <c r="BX22" s="387">
        <f t="shared" si="48"/>
        <v>1.5776310829101232</v>
      </c>
      <c r="BY22" s="387">
        <f t="shared" si="49"/>
        <v>5.0540408038463518</v>
      </c>
      <c r="BZ22" s="387">
        <f t="shared" si="50"/>
        <v>8.145182537723608</v>
      </c>
      <c r="CA22" s="387">
        <f t="shared" si="51"/>
        <v>1.963323771601222</v>
      </c>
      <c r="CB22" s="387">
        <f t="shared" si="52"/>
        <v>3.2518867929661157</v>
      </c>
      <c r="CC22" s="387">
        <f t="shared" si="53"/>
        <v>5.8400218040826815</v>
      </c>
      <c r="CD22" s="387">
        <f t="shared" si="54"/>
        <v>13.528943005560652</v>
      </c>
      <c r="CE22" s="387">
        <f t="shared" si="68"/>
        <v>5.8400218040826815</v>
      </c>
      <c r="CF22" s="387">
        <f t="shared" si="55"/>
        <v>6.3329918223483883</v>
      </c>
      <c r="CG22" s="387">
        <f t="shared" si="56"/>
        <v>15.745244887311307</v>
      </c>
      <c r="CH22" s="387">
        <f t="shared" si="69"/>
        <v>6.3329918223483883</v>
      </c>
      <c r="CI22" s="387">
        <f t="shared" si="70"/>
        <v>2.0023933454224849</v>
      </c>
    </row>
    <row r="23" spans="1:87" x14ac:dyDescent="0.25">
      <c r="I23" s="166"/>
      <c r="Q23" s="163"/>
      <c r="R23" s="163"/>
      <c r="S23" s="163"/>
      <c r="T23" s="163"/>
      <c r="U23" s="163"/>
      <c r="V23" s="159"/>
      <c r="W23" s="159"/>
      <c r="X23" s="159"/>
      <c r="Y23" s="159"/>
      <c r="Z23" s="159"/>
      <c r="AA23" s="159"/>
      <c r="AB23" s="159"/>
      <c r="AC23" s="159"/>
      <c r="AD23" s="159"/>
      <c r="AE23" s="159"/>
      <c r="AF23" s="159"/>
      <c r="AG23" s="387"/>
      <c r="AH23" s="159"/>
      <c r="AI23" s="159"/>
      <c r="AJ23" s="38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317">
        <v>42857</v>
      </c>
      <c r="G24" s="530"/>
      <c r="H24" s="531"/>
      <c r="I24" s="37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87" t="e">
        <f t="shared" ref="AG24:AG34" si="158">((K24+G24+(LOG(H24)*4/3))*0.92)</f>
        <v>#NUM!</v>
      </c>
      <c r="AH24" s="159" t="e">
        <f t="shared" ref="AH24:AH34" si="159">(K24+G24+(LOG(H24)*4/3))*0.414</f>
        <v>#NUM!</v>
      </c>
      <c r="AI24" s="159" t="e">
        <f t="shared" ref="AI24:AI34" si="160">((L24+G24+(LOG(H24)*4/3))*0.167)</f>
        <v>#NUM!</v>
      </c>
      <c r="AJ24" s="38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317">
        <v>42857</v>
      </c>
      <c r="G25" s="530"/>
      <c r="H25" s="531"/>
      <c r="I25" s="37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87" t="e">
        <f t="shared" si="158"/>
        <v>#NUM!</v>
      </c>
      <c r="AH25" s="159" t="e">
        <f t="shared" si="159"/>
        <v>#NUM!</v>
      </c>
      <c r="AI25" s="159" t="e">
        <f t="shared" si="160"/>
        <v>#NUM!</v>
      </c>
      <c r="AJ25" s="38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317">
        <v>42857</v>
      </c>
      <c r="G26" s="530"/>
      <c r="H26" s="531"/>
      <c r="I26" s="37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87" t="e">
        <f t="shared" si="158"/>
        <v>#NUM!</v>
      </c>
      <c r="AH26" s="159" t="e">
        <f t="shared" si="159"/>
        <v>#NUM!</v>
      </c>
      <c r="AI26" s="159" t="e">
        <f t="shared" si="160"/>
        <v>#NUM!</v>
      </c>
      <c r="AJ26" s="38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317">
        <v>42857</v>
      </c>
      <c r="G27" s="530"/>
      <c r="H27" s="531"/>
      <c r="I27" s="37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87" t="e">
        <f t="shared" si="158"/>
        <v>#NUM!</v>
      </c>
      <c r="AH27" s="159" t="e">
        <f t="shared" si="159"/>
        <v>#NUM!</v>
      </c>
      <c r="AI27" s="159" t="e">
        <f t="shared" si="160"/>
        <v>#NUM!</v>
      </c>
      <c r="AJ27" s="38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317">
        <v>42857</v>
      </c>
      <c r="G28" s="530"/>
      <c r="H28" s="531"/>
      <c r="I28" s="37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87" t="e">
        <f t="shared" si="158"/>
        <v>#NUM!</v>
      </c>
      <c r="AH28" s="159" t="e">
        <f t="shared" si="159"/>
        <v>#NUM!</v>
      </c>
      <c r="AI28" s="159" t="e">
        <f t="shared" si="160"/>
        <v>#NUM!</v>
      </c>
      <c r="AJ28" s="38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317">
        <v>42857</v>
      </c>
      <c r="G29" s="530"/>
      <c r="H29" s="531"/>
      <c r="I29" s="37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87" t="e">
        <f t="shared" si="158"/>
        <v>#NUM!</v>
      </c>
      <c r="AH29" s="159" t="e">
        <f t="shared" si="159"/>
        <v>#NUM!</v>
      </c>
      <c r="AI29" s="159" t="e">
        <f t="shared" si="160"/>
        <v>#NUM!</v>
      </c>
      <c r="AJ29" s="38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317">
        <v>42857</v>
      </c>
      <c r="G30" s="530"/>
      <c r="H30" s="531"/>
      <c r="I30" s="37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87" t="e">
        <f t="shared" si="158"/>
        <v>#NUM!</v>
      </c>
      <c r="AH30" s="159" t="e">
        <f t="shared" si="159"/>
        <v>#NUM!</v>
      </c>
      <c r="AI30" s="159" t="e">
        <f t="shared" si="160"/>
        <v>#NUM!</v>
      </c>
      <c r="AJ30" s="38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317">
        <v>42857</v>
      </c>
      <c r="G31" s="530"/>
      <c r="H31" s="531"/>
      <c r="I31" s="37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87" t="e">
        <f t="shared" si="158"/>
        <v>#NUM!</v>
      </c>
      <c r="AH31" s="159" t="e">
        <f t="shared" si="159"/>
        <v>#NUM!</v>
      </c>
      <c r="AI31" s="159" t="e">
        <f t="shared" si="160"/>
        <v>#NUM!</v>
      </c>
      <c r="AJ31" s="38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317">
        <v>42857</v>
      </c>
      <c r="G32" s="530"/>
      <c r="H32" s="531"/>
      <c r="I32" s="37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87" t="e">
        <f t="shared" si="158"/>
        <v>#NUM!</v>
      </c>
      <c r="AH32" s="159" t="e">
        <f t="shared" si="159"/>
        <v>#NUM!</v>
      </c>
      <c r="AI32" s="159" t="e">
        <f t="shared" si="160"/>
        <v>#NUM!</v>
      </c>
      <c r="AJ32" s="38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317">
        <v>42857</v>
      </c>
      <c r="G33" s="530"/>
      <c r="H33" s="531"/>
      <c r="I33" s="37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87" t="e">
        <f t="shared" si="158"/>
        <v>#NUM!</v>
      </c>
      <c r="AH33" s="159" t="e">
        <f t="shared" si="159"/>
        <v>#NUM!</v>
      </c>
      <c r="AI33" s="159" t="e">
        <f t="shared" si="160"/>
        <v>#NUM!</v>
      </c>
      <c r="AJ33" s="38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317">
        <v>42857</v>
      </c>
      <c r="G34" s="530"/>
      <c r="H34" s="531"/>
      <c r="I34" s="37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87" t="e">
        <f t="shared" si="158"/>
        <v>#NUM!</v>
      </c>
      <c r="AH34" s="159" t="e">
        <f t="shared" si="159"/>
        <v>#NUM!</v>
      </c>
      <c r="AI34" s="159" t="e">
        <f t="shared" si="160"/>
        <v>#NUM!</v>
      </c>
      <c r="AJ34" s="38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51</vt:i4>
      </vt:variant>
    </vt:vector>
  </HeadingPairs>
  <TitlesOfParts>
    <vt:vector size="51"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2017-12-11T16:59:16Z</dcterms:modified>
</cp:coreProperties>
</file>