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FCF2FBF1-4564-41DF-8934-4ADEFF278595}" xr6:coauthVersionLast="33" xr6:coauthVersionMax="33" xr10:uidLastSave="{00000000-0000-0000-0000-000000000000}"/>
  <bookViews>
    <workbookView xWindow="1680" yWindow="300" windowWidth="14880" windowHeight="7815" activeTab="4" xr2:uid="{00000000-000D-0000-FFFF-FFFF00000000}"/>
  </bookViews>
  <sheets>
    <sheet name="Plantilla" sheetId="32" r:id="rId1"/>
    <sheet name="AcademiaJedi" sheetId="116" r:id="rId2"/>
    <sheet name="Planning" sheetId="115" r:id="rId3"/>
    <sheet name="Evaluacion" sheetId="94" r:id="rId4"/>
    <sheet name="Economia" sheetId="117" r:id="rId5"/>
    <sheet name="Calculadora_Tactica" sheetId="83" r:id="rId6"/>
    <sheet name="Capitan" sheetId="76" r:id="rId7"/>
    <sheet name="Entrenador" sheetId="85" r:id="rId8"/>
    <sheet name="ENTRENAMIENTO_Rendimiento" sheetId="86" r:id="rId9"/>
    <sheet name="Resumen_Rend" sheetId="96" r:id="rId10"/>
    <sheet name="352" sheetId="105" r:id="rId11"/>
    <sheet name="541" sheetId="106" r:id="rId12"/>
    <sheet name="DEF" sheetId="108" r:id="rId13"/>
    <sheet name="JUG" sheetId="107" r:id="rId14"/>
    <sheet name="PAS" sheetId="110" r:id="rId15"/>
    <sheet name="LAT" sheetId="111" r:id="rId16"/>
    <sheet name="Hall_of_Fame" sheetId="49" r:id="rId17"/>
    <sheet name="El Desierto de Tattoine" sheetId="3" r:id="rId18"/>
  </sheets>
  <definedNames>
    <definedName name="_xlnm._FilterDatabase" localSheetId="0" hidden="1">Plantilla!$A$3:$AN$29</definedName>
  </definedNames>
  <calcPr calcId="179017"/>
</workbook>
</file>

<file path=xl/calcChain.xml><?xml version="1.0" encoding="utf-8"?>
<calcChain xmlns="http://schemas.openxmlformats.org/spreadsheetml/2006/main">
  <c r="G12" i="3" l="1"/>
  <c r="G11" i="3"/>
  <c r="G10" i="3"/>
  <c r="G9" i="3"/>
  <c r="AB38" i="117" l="1"/>
  <c r="AC38" i="117"/>
  <c r="AD38" i="117"/>
  <c r="H7" i="117"/>
  <c r="H5" i="117" s="1"/>
  <c r="H13" i="117"/>
  <c r="H14" i="117"/>
  <c r="D13" i="117"/>
  <c r="D27" i="117" s="1"/>
  <c r="D12" i="117"/>
  <c r="D26" i="117" s="1"/>
  <c r="E18" i="117"/>
  <c r="E19" i="117"/>
  <c r="E17" i="117"/>
  <c r="E7" i="117"/>
  <c r="G13" i="3"/>
  <c r="A7" i="117"/>
  <c r="A8" i="117"/>
  <c r="A9" i="117"/>
  <c r="A10" i="117"/>
  <c r="A11" i="117"/>
  <c r="A12" i="117"/>
  <c r="A13" i="117"/>
  <c r="A6" i="117"/>
  <c r="M5" i="117"/>
  <c r="N5" i="117" s="1"/>
  <c r="E25" i="117" s="1"/>
  <c r="N9" i="117"/>
  <c r="N8" i="117"/>
  <c r="M8" i="117" s="1"/>
  <c r="N20" i="117"/>
  <c r="P20" i="117" s="1"/>
  <c r="Q20" i="117" s="1"/>
  <c r="R20" i="117" s="1"/>
  <c r="S20" i="117" s="1"/>
  <c r="T20" i="117" s="1"/>
  <c r="U20" i="117" s="1"/>
  <c r="V20" i="117" s="1"/>
  <c r="W20" i="117" s="1"/>
  <c r="X20" i="117" s="1"/>
  <c r="Y20" i="117" s="1"/>
  <c r="Z20" i="117" s="1"/>
  <c r="AA20" i="117" s="1"/>
  <c r="AB20" i="117" s="1"/>
  <c r="AC20" i="117" s="1"/>
  <c r="AD20" i="117" s="1"/>
  <c r="P3" i="117"/>
  <c r="N3" i="117"/>
  <c r="O13" i="117"/>
  <c r="P13" i="117" s="1"/>
  <c r="Q13" i="117" s="1"/>
  <c r="R13" i="117" s="1"/>
  <c r="S13" i="117" s="1"/>
  <c r="T13" i="117" s="1"/>
  <c r="U13" i="117" s="1"/>
  <c r="V13" i="117" s="1"/>
  <c r="W13" i="117" s="1"/>
  <c r="X13" i="117" s="1"/>
  <c r="Y13" i="117" s="1"/>
  <c r="Z13" i="117" s="1"/>
  <c r="AA13" i="117" s="1"/>
  <c r="AB13" i="117" s="1"/>
  <c r="AC13" i="117" s="1"/>
  <c r="AD13" i="117" s="1"/>
  <c r="P10" i="117"/>
  <c r="Q10" i="117" s="1"/>
  <c r="R10" i="117" s="1"/>
  <c r="S10" i="117" s="1"/>
  <c r="T10" i="117" s="1"/>
  <c r="U10" i="117" s="1"/>
  <c r="V10" i="117" s="1"/>
  <c r="W10" i="117" s="1"/>
  <c r="X10" i="117" s="1"/>
  <c r="Y10" i="117" s="1"/>
  <c r="Z10" i="117" s="1"/>
  <c r="AA10" i="117" s="1"/>
  <c r="AB10" i="117" s="1"/>
  <c r="AC10" i="117" s="1"/>
  <c r="AD10" i="117" s="1"/>
  <c r="P7" i="117"/>
  <c r="O6" i="117"/>
  <c r="M6" i="117" s="1"/>
  <c r="E32" i="117" s="1"/>
  <c r="O23" i="117"/>
  <c r="P23" i="117" s="1"/>
  <c r="Q23" i="117" s="1"/>
  <c r="R23" i="117" s="1"/>
  <c r="S23" i="117" s="1"/>
  <c r="T23" i="117" s="1"/>
  <c r="U23" i="117" s="1"/>
  <c r="V23" i="117" s="1"/>
  <c r="W23" i="117" s="1"/>
  <c r="X23" i="117" s="1"/>
  <c r="Y23" i="117" s="1"/>
  <c r="Z23" i="117" s="1"/>
  <c r="AA23" i="117" s="1"/>
  <c r="AB23" i="117" s="1"/>
  <c r="AC23" i="117" s="1"/>
  <c r="AD23" i="117" s="1"/>
  <c r="O22" i="117"/>
  <c r="P22" i="117" s="1"/>
  <c r="Q22" i="117" s="1"/>
  <c r="R22" i="117" s="1"/>
  <c r="S22" i="117" s="1"/>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O15" i="117"/>
  <c r="P15" i="117" s="1"/>
  <c r="Q15" i="117" s="1"/>
  <c r="R15" i="117" s="1"/>
  <c r="S15" i="117" s="1"/>
  <c r="T15" i="117" s="1"/>
  <c r="U15" i="117" s="1"/>
  <c r="V15" i="117" s="1"/>
  <c r="W15" i="117" s="1"/>
  <c r="X15" i="117" s="1"/>
  <c r="Y15" i="117" s="1"/>
  <c r="Z15" i="117" s="1"/>
  <c r="AA15" i="117" s="1"/>
  <c r="AB15" i="117" s="1"/>
  <c r="AC15" i="117" s="1"/>
  <c r="AD15" i="117" s="1"/>
  <c r="M4" i="117"/>
  <c r="N4" i="117" s="1"/>
  <c r="N27" i="117"/>
  <c r="O27" i="117" s="1"/>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C6" i="116" s="1"/>
  <c r="E38" i="94"/>
  <c r="E39" i="94"/>
  <c r="E40" i="94"/>
  <c r="E41" i="94"/>
  <c r="E42" i="94"/>
  <c r="E43" i="94"/>
  <c r="E44" i="94"/>
  <c r="E45" i="94"/>
  <c r="E56" i="94"/>
  <c r="E57" i="94"/>
  <c r="E58" i="94"/>
  <c r="E59" i="94"/>
  <c r="E60" i="94"/>
  <c r="M1" i="83"/>
  <c r="O1" i="83"/>
  <c r="P1" i="83"/>
  <c r="Q1" i="83"/>
  <c r="R1" i="83"/>
  <c r="S1" i="83"/>
  <c r="T1" i="83"/>
  <c r="M2" i="83"/>
  <c r="N2" i="83"/>
  <c r="O2" i="83"/>
  <c r="P2" i="83"/>
  <c r="X2" i="83"/>
  <c r="Y2" i="83"/>
  <c r="Z2" i="83"/>
  <c r="M3" i="83"/>
  <c r="N3" i="83"/>
  <c r="O3" i="83"/>
  <c r="P3" i="83"/>
  <c r="Q3" i="83"/>
  <c r="R3" i="83"/>
  <c r="S3" i="83"/>
  <c r="T3" i="83"/>
  <c r="X3" i="83"/>
  <c r="Y3" i="83"/>
  <c r="Z3" i="83"/>
  <c r="M4" i="83"/>
  <c r="W2" i="83" s="1"/>
  <c r="N4" i="83"/>
  <c r="O4" i="83"/>
  <c r="P4" i="83"/>
  <c r="Q4" i="83"/>
  <c r="R4" i="83"/>
  <c r="S4" i="83"/>
  <c r="T4" i="83"/>
  <c r="X4" i="83"/>
  <c r="Y4" i="83"/>
  <c r="Z4" i="83"/>
  <c r="M5" i="83"/>
  <c r="W3" i="83" s="1"/>
  <c r="N5" i="83"/>
  <c r="O5" i="83"/>
  <c r="P5" i="83"/>
  <c r="Q5" i="83"/>
  <c r="R5" i="83"/>
  <c r="S5" i="83"/>
  <c r="T5" i="83"/>
  <c r="X5" i="83"/>
  <c r="Y5" i="83"/>
  <c r="Z5" i="83"/>
  <c r="M6" i="83"/>
  <c r="W4" i="83" s="1"/>
  <c r="N6" i="83"/>
  <c r="O6" i="83"/>
  <c r="P6" i="83"/>
  <c r="Q6" i="83"/>
  <c r="R6" i="83"/>
  <c r="S6" i="83"/>
  <c r="T6" i="83"/>
  <c r="W6" i="83"/>
  <c r="X6" i="83"/>
  <c r="Y6" i="83"/>
  <c r="Z6" i="83"/>
  <c r="M7" i="83"/>
  <c r="N7" i="83"/>
  <c r="O7" i="83"/>
  <c r="P7" i="83"/>
  <c r="Z7" i="83" s="1"/>
  <c r="Q7" i="83"/>
  <c r="R7" i="83"/>
  <c r="S7" i="83"/>
  <c r="T7" i="83"/>
  <c r="X7" i="83"/>
  <c r="Y7" i="83"/>
  <c r="M8" i="83"/>
  <c r="N8" i="83"/>
  <c r="O8" i="83"/>
  <c r="P8" i="83"/>
  <c r="Q8" i="83"/>
  <c r="R8" i="83"/>
  <c r="S8" i="83"/>
  <c r="T8" i="83"/>
  <c r="W8" i="83"/>
  <c r="X8" i="83"/>
  <c r="Y8" i="83"/>
  <c r="Z8" i="83"/>
  <c r="M9" i="83"/>
  <c r="N9" i="83"/>
  <c r="O9" i="83"/>
  <c r="P9" i="83"/>
  <c r="Z10" i="83" s="1"/>
  <c r="Q9" i="83"/>
  <c r="R9" i="83"/>
  <c r="S9" i="83"/>
  <c r="T9" i="83"/>
  <c r="X9" i="83"/>
  <c r="Y9" i="83"/>
  <c r="M10" i="83"/>
  <c r="W10" i="83" s="1"/>
  <c r="N10" i="83"/>
  <c r="X11" i="83" s="1"/>
  <c r="O10" i="83"/>
  <c r="P10" i="83"/>
  <c r="Q10" i="83"/>
  <c r="R10" i="83"/>
  <c r="S10" i="83"/>
  <c r="T10" i="83"/>
  <c r="X10" i="83"/>
  <c r="Y10" i="83"/>
  <c r="M11" i="83"/>
  <c r="N11" i="83"/>
  <c r="O11" i="83"/>
  <c r="P11" i="83"/>
  <c r="W11" i="83"/>
  <c r="Y11" i="83"/>
  <c r="Z11" i="83"/>
  <c r="M12" i="83"/>
  <c r="W7" i="83" s="1"/>
  <c r="N12" i="83"/>
  <c r="O12" i="83"/>
  <c r="P12" i="83"/>
  <c r="Y12" i="83"/>
  <c r="M13" i="83"/>
  <c r="W5" i="83" s="1"/>
  <c r="N13" i="83"/>
  <c r="O13" i="83"/>
  <c r="P13" i="83"/>
  <c r="M14" i="83"/>
  <c r="W9" i="83" s="1"/>
  <c r="N14" i="83"/>
  <c r="O14" i="83"/>
  <c r="P14" i="83"/>
  <c r="M15" i="83"/>
  <c r="N15" i="83"/>
  <c r="O15" i="83"/>
  <c r="P15" i="83"/>
  <c r="M16" i="83"/>
  <c r="N16" i="83"/>
  <c r="O16" i="83"/>
  <c r="P16" i="83"/>
  <c r="M17" i="83"/>
  <c r="N17" i="83"/>
  <c r="O17" i="83"/>
  <c r="P17" i="83"/>
  <c r="M18" i="83"/>
  <c r="N18" i="83"/>
  <c r="O18" i="83"/>
  <c r="P18" i="83"/>
  <c r="M19" i="83"/>
  <c r="N19" i="83"/>
  <c r="O19" i="83"/>
  <c r="P19" i="83"/>
  <c r="M20" i="83"/>
  <c r="N20" i="83"/>
  <c r="O20" i="83"/>
  <c r="P20" i="83"/>
  <c r="M21" i="83"/>
  <c r="N21" i="83"/>
  <c r="O21" i="83"/>
  <c r="P21" i="83"/>
  <c r="Q21" i="83"/>
  <c r="R21" i="83"/>
  <c r="S21" i="83"/>
  <c r="T21" i="83"/>
  <c r="M22" i="83"/>
  <c r="N22" i="83"/>
  <c r="O22" i="83"/>
  <c r="P22" i="83"/>
  <c r="Q22" i="83"/>
  <c r="R22" i="83"/>
  <c r="S22" i="83"/>
  <c r="T22" i="83"/>
  <c r="M23" i="83"/>
  <c r="N23" i="83"/>
  <c r="O23" i="83"/>
  <c r="P23" i="83"/>
  <c r="Q23" i="83"/>
  <c r="R23" i="83"/>
  <c r="S23" i="83"/>
  <c r="T23" i="83"/>
  <c r="M24" i="83"/>
  <c r="N24" i="83"/>
  <c r="O24" i="83"/>
  <c r="P24" i="83"/>
  <c r="Q24" i="83"/>
  <c r="R24" i="83"/>
  <c r="S24" i="83"/>
  <c r="T24" i="83"/>
  <c r="M25" i="83"/>
  <c r="N25" i="83"/>
  <c r="O25" i="83"/>
  <c r="P25" i="83"/>
  <c r="Q25" i="83"/>
  <c r="R25" i="83"/>
  <c r="S25" i="83"/>
  <c r="T25" i="83"/>
  <c r="O4" i="117" l="1"/>
  <c r="P4" i="117" s="1"/>
  <c r="Q4" i="117" s="1"/>
  <c r="R4" i="117" s="1"/>
  <c r="S4" i="117" s="1"/>
  <c r="T4" i="117" s="1"/>
  <c r="U4" i="117" s="1"/>
  <c r="V4" i="117" s="1"/>
  <c r="W4" i="117" s="1"/>
  <c r="X4" i="117" s="1"/>
  <c r="Y4" i="117" s="1"/>
  <c r="Z4" i="117" s="1"/>
  <c r="AA4" i="117" s="1"/>
  <c r="AB4" i="117" s="1"/>
  <c r="AC4" i="117" s="1"/>
  <c r="AD4" i="117" s="1"/>
  <c r="E11" i="117"/>
  <c r="R18" i="117"/>
  <c r="Q7" i="117"/>
  <c r="O14" i="117"/>
  <c r="E15" i="117"/>
  <c r="N14" i="117"/>
  <c r="M13" i="117"/>
  <c r="M10" i="117"/>
  <c r="E34" i="117" s="1"/>
  <c r="P11" i="117"/>
  <c r="Q11" i="117" s="1"/>
  <c r="R11" i="117" s="1"/>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N25" i="117"/>
  <c r="E31" i="117"/>
  <c r="E28" i="116"/>
  <c r="E27" i="116"/>
  <c r="E26" i="116"/>
  <c r="E25" i="116"/>
  <c r="E21" i="116"/>
  <c r="E24" i="116"/>
  <c r="E23" i="116"/>
  <c r="E20" i="116"/>
  <c r="E22" i="116"/>
  <c r="E19" i="116"/>
  <c r="E11" i="116"/>
  <c r="E13" i="116"/>
  <c r="E12" i="116"/>
  <c r="E14" i="116"/>
  <c r="E10" i="116"/>
  <c r="E6" i="116"/>
  <c r="C28" i="116"/>
  <c r="C27" i="116"/>
  <c r="C26" i="116"/>
  <c r="C25" i="116"/>
  <c r="C24" i="116"/>
  <c r="C23" i="116"/>
  <c r="C22" i="116"/>
  <c r="C21" i="116"/>
  <c r="C20" i="116"/>
  <c r="C19" i="116"/>
  <c r="C14" i="116"/>
  <c r="C13" i="116"/>
  <c r="C12" i="116"/>
  <c r="C11" i="116"/>
  <c r="C10" i="116"/>
  <c r="Z9" i="83"/>
  <c r="Z12" i="83" s="1"/>
  <c r="AA12" i="83" s="1"/>
  <c r="P25" i="117" l="1"/>
  <c r="Q25" i="117"/>
  <c r="E13" i="117"/>
  <c r="E10" i="117" s="1"/>
  <c r="E27" i="117"/>
  <c r="E12" i="117"/>
  <c r="E26" i="117"/>
  <c r="O25" i="117"/>
  <c r="Q14" i="117"/>
  <c r="R7" i="117"/>
  <c r="S18" i="117"/>
  <c r="R25" i="117"/>
  <c r="P14" i="117"/>
  <c r="Q3" i="117"/>
  <c r="R3" i="117" s="1"/>
  <c r="S3" i="117" s="1"/>
  <c r="T3" i="117" s="1"/>
  <c r="U3" i="117" s="1"/>
  <c r="V3" i="117" s="1"/>
  <c r="W3" i="117" s="1"/>
  <c r="X3" i="117" s="1"/>
  <c r="Y3" i="117" s="1"/>
  <c r="Z3" i="117" s="1"/>
  <c r="AA3" i="117" s="1"/>
  <c r="AB3" i="117" s="1"/>
  <c r="AC3" i="117" s="1"/>
  <c r="AD3" i="117" s="1"/>
  <c r="M11" i="117"/>
  <c r="E30" i="117" s="1"/>
  <c r="M16" i="117"/>
  <c r="H28" i="117" s="1"/>
  <c r="M19" i="117"/>
  <c r="H19" i="117"/>
  <c r="H18" i="117" s="1"/>
  <c r="M24" i="117"/>
  <c r="M21" i="117"/>
  <c r="N26" i="117"/>
  <c r="O5" i="117" s="1"/>
  <c r="E24" i="117" l="1"/>
  <c r="T18" i="117"/>
  <c r="S25" i="117"/>
  <c r="S7" i="117"/>
  <c r="R14" i="117"/>
  <c r="O26" i="117"/>
  <c r="P5" i="117" s="1"/>
  <c r="P26" i="117" s="1"/>
  <c r="Q5" i="117" s="1"/>
  <c r="H24" i="117"/>
  <c r="H30" i="117"/>
  <c r="H32" i="117"/>
  <c r="T7" i="117" l="1"/>
  <c r="S14" i="117"/>
  <c r="U18" i="117"/>
  <c r="T25" i="117"/>
  <c r="Q26" i="117"/>
  <c r="R5" i="117" s="1"/>
  <c r="H22" i="117"/>
  <c r="E5" i="117"/>
  <c r="V18" i="117" l="1"/>
  <c r="U25" i="117"/>
  <c r="U7" i="117"/>
  <c r="T14" i="117"/>
  <c r="R26" i="117"/>
  <c r="S5" i="117" s="1"/>
  <c r="V7" i="117" l="1"/>
  <c r="U14" i="117"/>
  <c r="W18" i="117"/>
  <c r="V25" i="117"/>
  <c r="S26" i="117"/>
  <c r="T5" i="117" s="1"/>
  <c r="W7" i="117" l="1"/>
  <c r="V14" i="117"/>
  <c r="X18" i="117"/>
  <c r="W25" i="117"/>
  <c r="T26" i="117"/>
  <c r="U5" i="117" s="1"/>
  <c r="X7" i="117" l="1"/>
  <c r="W14" i="117"/>
  <c r="Y18" i="117"/>
  <c r="X25" i="117"/>
  <c r="U26" i="117"/>
  <c r="V5" i="117" s="1"/>
  <c r="Z18" i="117" l="1"/>
  <c r="Y25" i="117"/>
  <c r="Y7" i="117"/>
  <c r="X14" i="117"/>
  <c r="V26" i="117"/>
  <c r="W5" i="117" s="1"/>
  <c r="AA18" i="117" l="1"/>
  <c r="Z25" i="117"/>
  <c r="Z7" i="117"/>
  <c r="Y14" i="117"/>
  <c r="W26" i="117"/>
  <c r="X5" i="117" s="1"/>
  <c r="AA7" i="117" l="1"/>
  <c r="Z14" i="117"/>
  <c r="AB18" i="117"/>
  <c r="AA25" i="117"/>
  <c r="X26" i="117"/>
  <c r="Y5" i="117" s="1"/>
  <c r="AC18" i="117" l="1"/>
  <c r="AB25" i="117"/>
  <c r="AB7" i="117"/>
  <c r="AA14" i="117"/>
  <c r="Y26" i="117"/>
  <c r="Z5" i="117" s="1"/>
  <c r="AC7" i="117" l="1"/>
  <c r="AB14" i="117"/>
  <c r="AD18" i="117"/>
  <c r="AC25" i="117"/>
  <c r="Z26" i="117"/>
  <c r="AA5" i="117" s="1"/>
  <c r="AD25" i="117" l="1"/>
  <c r="M18" i="117"/>
  <c r="H29" i="117" s="1"/>
  <c r="AD7" i="117"/>
  <c r="AD14" i="117" s="1"/>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Z13" i="32"/>
  <c r="AS17" i="32"/>
  <c r="Z17" i="32"/>
  <c r="Z15" i="32"/>
  <c r="Z18" i="32"/>
  <c r="Z16" i="32"/>
  <c r="AS21" i="32"/>
  <c r="Z21" i="32"/>
  <c r="Z20" i="32"/>
  <c r="AS19" i="32" l="1"/>
  <c r="Z19" i="32"/>
  <c r="Z22" i="32"/>
  <c r="O7" i="76" l="1"/>
  <c r="P7" i="76"/>
  <c r="Q7" i="76"/>
  <c r="R7" i="76"/>
  <c r="S7" i="76"/>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J28" i="115"/>
  <c r="Y28" i="115" s="1"/>
  <c r="L28" i="115"/>
  <c r="I29" i="115"/>
  <c r="X29" i="115" s="1"/>
  <c r="L29" i="115"/>
  <c r="I30" i="115"/>
  <c r="X30" i="115" s="1"/>
  <c r="L30" i="115"/>
  <c r="I31" i="115"/>
  <c r="X31" i="115" s="1"/>
  <c r="L31" i="115"/>
  <c r="M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S14" i="86"/>
  <c r="Z14" i="86" s="1"/>
  <c r="Y24" i="86"/>
  <c r="V12" i="86"/>
  <c r="A6" i="86"/>
  <c r="C6" i="86"/>
  <c r="D6" i="86"/>
  <c r="P6" i="86" s="1"/>
  <c r="G6" i="86"/>
  <c r="H6" i="86"/>
  <c r="R6" i="86" s="1"/>
  <c r="I6" i="86"/>
  <c r="S6" i="86" s="1"/>
  <c r="J6" i="86"/>
  <c r="K6" i="86"/>
  <c r="L6" i="86"/>
  <c r="M6" i="86"/>
  <c r="N6" i="86"/>
  <c r="A7" i="86"/>
  <c r="C7" i="86"/>
  <c r="D7" i="86"/>
  <c r="P7" i="86" s="1"/>
  <c r="F7" i="86"/>
  <c r="G7" i="86"/>
  <c r="H7" i="86"/>
  <c r="I7" i="86"/>
  <c r="J7" i="86"/>
  <c r="T7" i="86" s="1"/>
  <c r="K7" i="86"/>
  <c r="L7" i="86"/>
  <c r="V7" i="86" s="1"/>
  <c r="M7" i="86"/>
  <c r="W7" i="86" s="1"/>
  <c r="AD7" i="86" s="1"/>
  <c r="N7" i="86"/>
  <c r="O7" i="86"/>
  <c r="Y7" i="86" s="1"/>
  <c r="R7" i="86"/>
  <c r="A8" i="86"/>
  <c r="C8" i="86"/>
  <c r="D8" i="86"/>
  <c r="P8" i="86" s="1"/>
  <c r="G8" i="86"/>
  <c r="H8" i="86"/>
  <c r="R8" i="86" s="1"/>
  <c r="I8" i="86"/>
  <c r="S8" i="86" s="1"/>
  <c r="N8" i="86"/>
  <c r="X8" i="86" s="1"/>
  <c r="AE8" i="86" s="1"/>
  <c r="A9" i="86"/>
  <c r="C9" i="86"/>
  <c r="D9" i="86"/>
  <c r="P9" i="86" s="1"/>
  <c r="F9" i="86"/>
  <c r="G9" i="86"/>
  <c r="H9" i="86"/>
  <c r="I9" i="86"/>
  <c r="S9" i="86" s="1"/>
  <c r="Z9" i="86" s="1"/>
  <c r="J9" i="86"/>
  <c r="L9" i="86"/>
  <c r="V9" i="86" s="1"/>
  <c r="M9" i="86"/>
  <c r="N9" i="86"/>
  <c r="X9" i="86" s="1"/>
  <c r="R9" i="86"/>
  <c r="A10" i="86"/>
  <c r="C10" i="86"/>
  <c r="D10" i="86"/>
  <c r="P10" i="86" s="1"/>
  <c r="G10" i="86"/>
  <c r="H10" i="86"/>
  <c r="R10" i="86" s="1"/>
  <c r="I10" i="86"/>
  <c r="S10" i="86" s="1"/>
  <c r="K10" i="86"/>
  <c r="M10" i="86"/>
  <c r="W10" i="86" s="1"/>
  <c r="N10" i="86"/>
  <c r="X10" i="86" s="1"/>
  <c r="O10" i="86"/>
  <c r="Y10" i="86" s="1"/>
  <c r="AF10" i="86" s="1"/>
  <c r="A11" i="86"/>
  <c r="C11" i="86"/>
  <c r="D11" i="86"/>
  <c r="P11" i="86" s="1"/>
  <c r="G11" i="86"/>
  <c r="H11" i="86"/>
  <c r="I11" i="86"/>
  <c r="S11" i="86" s="1"/>
  <c r="K11" i="86"/>
  <c r="U11" i="86" s="1"/>
  <c r="L11" i="86"/>
  <c r="V11" i="86" s="1"/>
  <c r="M11" i="86"/>
  <c r="N11" i="86"/>
  <c r="X11" i="86" s="1"/>
  <c r="O11" i="86"/>
  <c r="Y11" i="86" s="1"/>
  <c r="R11" i="86"/>
  <c r="A12" i="86"/>
  <c r="C12" i="86"/>
  <c r="D12" i="86"/>
  <c r="P12" i="86" s="1"/>
  <c r="F12" i="86"/>
  <c r="G12" i="86"/>
  <c r="H12" i="86"/>
  <c r="R12" i="86" s="1"/>
  <c r="I12" i="86"/>
  <c r="S12" i="86" s="1"/>
  <c r="K12" i="86"/>
  <c r="U12" i="86" s="1"/>
  <c r="L12" i="86"/>
  <c r="N12" i="86"/>
  <c r="X12" i="86" s="1"/>
  <c r="A13" i="86"/>
  <c r="C13" i="86"/>
  <c r="D13" i="86"/>
  <c r="P13" i="86" s="1"/>
  <c r="G13" i="86"/>
  <c r="H13" i="86"/>
  <c r="R13" i="86" s="1"/>
  <c r="I13" i="86"/>
  <c r="S13" i="86" s="1"/>
  <c r="Z13" i="86" s="1"/>
  <c r="J13" i="86"/>
  <c r="T13" i="86" s="1"/>
  <c r="L13" i="86"/>
  <c r="M13" i="86"/>
  <c r="W13" i="86" s="1"/>
  <c r="N13" i="86"/>
  <c r="X13" i="86" s="1"/>
  <c r="O13" i="86"/>
  <c r="Y13" i="86" s="1"/>
  <c r="A14" i="86"/>
  <c r="C14" i="86"/>
  <c r="D14" i="86"/>
  <c r="P14" i="86" s="1"/>
  <c r="F14" i="86"/>
  <c r="G14" i="86"/>
  <c r="H14" i="86"/>
  <c r="I14" i="86"/>
  <c r="J14" i="86"/>
  <c r="T14" i="86" s="1"/>
  <c r="K14" i="86"/>
  <c r="U14" i="86" s="1"/>
  <c r="L14" i="86"/>
  <c r="M14" i="86"/>
  <c r="W14" i="86" s="1"/>
  <c r="N14" i="86"/>
  <c r="X14" i="86" s="1"/>
  <c r="O14" i="86"/>
  <c r="Y14" i="86" s="1"/>
  <c r="R14" i="86"/>
  <c r="A15" i="86"/>
  <c r="C15" i="86"/>
  <c r="D15" i="86"/>
  <c r="G15" i="86"/>
  <c r="H15" i="86"/>
  <c r="R15" i="86" s="1"/>
  <c r="I15" i="86"/>
  <c r="S15" i="86" s="1"/>
  <c r="Z15" i="86" s="1"/>
  <c r="J15" i="86"/>
  <c r="T15" i="86" s="1"/>
  <c r="AA15" i="86" s="1"/>
  <c r="K15" i="86"/>
  <c r="U15" i="86" s="1"/>
  <c r="L15" i="86"/>
  <c r="M15" i="86"/>
  <c r="N15" i="86"/>
  <c r="X15" i="86" s="1"/>
  <c r="O15" i="86"/>
  <c r="Y15" i="86" s="1"/>
  <c r="P15" i="86"/>
  <c r="A16" i="86"/>
  <c r="C16" i="86"/>
  <c r="D16" i="86"/>
  <c r="P16" i="86" s="1"/>
  <c r="F16" i="86"/>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D18" i="86"/>
  <c r="P18" i="86" s="1"/>
  <c r="F18" i="86"/>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F20" i="86"/>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F22" i="86"/>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F24" i="86"/>
  <c r="G24" i="86"/>
  <c r="H24" i="86"/>
  <c r="I24" i="86"/>
  <c r="L24" i="86"/>
  <c r="V24" i="86" s="1"/>
  <c r="N24" i="86"/>
  <c r="X24" i="86" s="1"/>
  <c r="AE24" i="86" s="1"/>
  <c r="O24" i="86"/>
  <c r="R24" i="86"/>
  <c r="A25" i="86"/>
  <c r="C25" i="86"/>
  <c r="D25" i="86"/>
  <c r="P25" i="86" s="1"/>
  <c r="G25" i="86"/>
  <c r="H25" i="86"/>
  <c r="R25" i="86" s="1"/>
  <c r="I25" i="86"/>
  <c r="J25" i="86"/>
  <c r="K25" i="86"/>
  <c r="L25" i="86"/>
  <c r="V25" i="86" s="1"/>
  <c r="M25" i="86"/>
  <c r="W25" i="86" s="1"/>
  <c r="N25" i="86"/>
  <c r="X25" i="86" s="1"/>
  <c r="AE25" i="86" s="1"/>
  <c r="O25" i="86"/>
  <c r="Y25" i="86" s="1"/>
  <c r="A26" i="86"/>
  <c r="C26" i="86"/>
  <c r="D26" i="86"/>
  <c r="P26" i="86" s="1"/>
  <c r="F26" i="86"/>
  <c r="G26" i="86"/>
  <c r="H26" i="86"/>
  <c r="R26" i="86" s="1"/>
  <c r="I26" i="86"/>
  <c r="S26" i="86" s="1"/>
  <c r="Z26" i="86" s="1"/>
  <c r="K26" i="86"/>
  <c r="M26" i="86"/>
  <c r="W26" i="86" s="1"/>
  <c r="N26" i="86"/>
  <c r="X26" i="86" s="1"/>
  <c r="A27" i="86"/>
  <c r="C27" i="86"/>
  <c r="D27" i="86"/>
  <c r="P27" i="86" s="1"/>
  <c r="G27" i="86"/>
  <c r="H27" i="86"/>
  <c r="I27" i="86"/>
  <c r="S27" i="86" s="1"/>
  <c r="K27" i="86"/>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A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S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O49" i="94" s="1"/>
  <c r="P15" i="94"/>
  <c r="M49" i="94" s="1"/>
  <c r="Q49" i="94" s="1"/>
  <c r="Q15" i="94"/>
  <c r="N49" i="94" s="1"/>
  <c r="U15" i="94"/>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R51" i="94" s="1"/>
  <c r="N17" i="94"/>
  <c r="K51" i="94" s="1"/>
  <c r="O17" i="94"/>
  <c r="L51" i="94" s="1"/>
  <c r="P17" i="94"/>
  <c r="M51" i="94" s="1"/>
  <c r="Q17" i="94"/>
  <c r="N51" i="94" s="1"/>
  <c r="S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Q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S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T23" i="94"/>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BD56" i="94" l="1"/>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BK39" i="94"/>
  <c r="X39" i="94"/>
  <c r="AJ39"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A40" i="94"/>
  <c r="CC40" i="94" s="1"/>
  <c r="T39" i="94"/>
  <c r="V39" i="94" s="1"/>
  <c r="CD38" i="94"/>
  <c r="CF38" i="94" s="1"/>
  <c r="AY38" i="94"/>
  <c r="CE38" i="94"/>
  <c r="AR38" i="94"/>
  <c r="Q38" i="94"/>
  <c r="AK26" i="94"/>
  <c r="J60" i="94"/>
  <c r="AY59" i="94"/>
  <c r="AR59" i="94"/>
  <c r="CE59" i="94"/>
  <c r="U58" i="94"/>
  <c r="T58" i="94"/>
  <c r="V58" i="94" s="1"/>
  <c r="AK57" i="94"/>
  <c r="S57" i="94"/>
  <c r="R21" i="94"/>
  <c r="L55" i="94"/>
  <c r="O55" i="94" s="1"/>
  <c r="O53" i="94"/>
  <c r="O51" i="94"/>
  <c r="U14" i="94"/>
  <c r="I48" i="94"/>
  <c r="R48" i="94" s="1"/>
  <c r="P43" i="94"/>
  <c r="AR43" i="94"/>
  <c r="CE43" i="94"/>
  <c r="Q43" i="94"/>
  <c r="AY43" i="94"/>
  <c r="BH6" i="94"/>
  <c r="K40" i="94"/>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AY42" i="94"/>
  <c r="CE42"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R39" i="94"/>
  <c r="AY39" i="94"/>
  <c r="CE39" i="94"/>
  <c r="CD39" i="94"/>
  <c r="CF39" i="94" s="1"/>
  <c r="AP38" i="94"/>
  <c r="AW38" i="94"/>
  <c r="BW38" i="94"/>
  <c r="AG38" i="94"/>
  <c r="BC38" i="94"/>
  <c r="BZ38" i="94"/>
  <c r="BR38" i="94"/>
  <c r="AD38" i="94"/>
  <c r="BM38" i="94"/>
  <c r="Z38" i="94"/>
  <c r="CG38" i="94"/>
  <c r="BH38" i="94"/>
  <c r="BR39" i="94"/>
  <c r="AD39" i="94"/>
  <c r="CG39" i="94"/>
  <c r="BZ39" i="94"/>
  <c r="Z39" i="94"/>
  <c r="AP39" i="94"/>
  <c r="AG39" i="94"/>
  <c r="BW39" i="94"/>
  <c r="BH39" i="94"/>
  <c r="AW39" i="94"/>
  <c r="BM39" i="94"/>
  <c r="BC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AQ39" i="94"/>
  <c r="AS39" i="94" s="1"/>
  <c r="AX39" i="94"/>
  <c r="AZ39" i="94" s="1"/>
  <c r="BE39" i="94"/>
  <c r="O39" i="94"/>
  <c r="AL39" i="94" s="1"/>
  <c r="CB39" i="94"/>
  <c r="BJ39" i="94"/>
  <c r="BT39" i="94"/>
  <c r="BY39" i="94"/>
  <c r="BO39" i="94"/>
  <c r="CA39" i="94"/>
  <c r="CC39" i="94" s="1"/>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O58" i="94"/>
  <c r="AL58" i="94" s="1"/>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X39" i="94"/>
  <c r="AH39" i="94"/>
  <c r="BN39" i="94"/>
  <c r="BS39" i="94"/>
  <c r="BD39" i="94"/>
  <c r="BI39" i="94"/>
  <c r="T38" i="94"/>
  <c r="V38" i="94" s="1"/>
  <c r="U38" i="94"/>
  <c r="V14" i="94"/>
  <c r="R12" i="94"/>
  <c r="AI8" i="94"/>
  <c r="T15" i="94"/>
  <c r="T17" i="94"/>
  <c r="BV26" i="94"/>
  <c r="CD26" i="94"/>
  <c r="AF24" i="94"/>
  <c r="V9" i="94"/>
  <c r="W9" i="94" s="1"/>
  <c r="AO6" i="94"/>
  <c r="AB6" i="94"/>
  <c r="AH26" i="94"/>
  <c r="BS10" i="94"/>
  <c r="Y4" i="94"/>
  <c r="H26" i="94"/>
  <c r="H7" i="94"/>
  <c r="R6" i="94"/>
  <c r="W4" i="94"/>
  <c r="V23" i="94"/>
  <c r="CI8" i="94"/>
  <c r="AD11" i="94"/>
  <c r="V17" i="94"/>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V13" i="86"/>
  <c r="AC13" i="86" s="1"/>
  <c r="S23" i="94"/>
  <c r="S7" i="86"/>
  <c r="Z7" i="86" s="1"/>
  <c r="S24" i="94"/>
  <c r="CA26" i="94"/>
  <c r="H24" i="94"/>
  <c r="V14" i="86"/>
  <c r="AC14" i="86" s="1"/>
  <c r="V22" i="94"/>
  <c r="W22" i="94" s="1"/>
  <c r="AO22" i="94"/>
  <c r="CA10" i="94"/>
  <c r="BN10" i="94"/>
  <c r="BC8" i="94"/>
  <c r="CE8" i="94"/>
  <c r="CG8" i="94" s="1"/>
  <c r="J11" i="76"/>
  <c r="I5" i="76"/>
  <c r="CA24" i="94"/>
  <c r="S22" i="94"/>
  <c r="V10" i="94"/>
  <c r="W10" i="94" s="1"/>
  <c r="BE5" i="94"/>
  <c r="J23" i="76"/>
  <c r="BL26" i="94"/>
  <c r="U20" i="94"/>
  <c r="T4" i="94"/>
  <c r="V4" i="94"/>
  <c r="V17" i="86"/>
  <c r="AC17" i="86" s="1"/>
  <c r="W24" i="94"/>
  <c r="AA24" i="94"/>
  <c r="AC24" i="94" s="1"/>
  <c r="BR5" i="94"/>
  <c r="AL5" i="94"/>
  <c r="BB26" i="94"/>
  <c r="BD26" i="94" s="1"/>
  <c r="G25" i="94"/>
  <c r="V24" i="94"/>
  <c r="V16" i="94"/>
  <c r="U27" i="86"/>
  <c r="AB27" i="86" s="1"/>
  <c r="X18" i="86"/>
  <c r="AE18" i="86" s="1"/>
  <c r="AD9" i="86"/>
  <c r="W9" i="86"/>
  <c r="BR4" i="94"/>
  <c r="AE15" i="86"/>
  <c r="AE10" i="86"/>
  <c r="AC9" i="86"/>
  <c r="S19" i="86"/>
  <c r="Z19" i="86" s="1"/>
  <c r="Y16" i="86"/>
  <c r="AF16" i="86" s="1"/>
  <c r="Z27" i="86"/>
  <c r="Z23" i="86"/>
  <c r="AE22" i="86"/>
  <c r="AE16" i="86"/>
  <c r="AE12" i="86"/>
  <c r="AC11" i="86"/>
  <c r="X6" i="86"/>
  <c r="AE6" i="86" s="1"/>
  <c r="V21" i="86"/>
  <c r="AC21" i="86" s="1"/>
  <c r="BH22" i="94"/>
  <c r="T19" i="94"/>
  <c r="V19" i="94"/>
  <c r="W19" i="94" s="1"/>
  <c r="CB10" i="94"/>
  <c r="T6" i="94"/>
  <c r="G4" i="94"/>
  <c r="AA25" i="86"/>
  <c r="W6" i="86"/>
  <c r="AD6" i="86" s="1"/>
  <c r="V18" i="86"/>
  <c r="AC18" i="86" s="1"/>
  <c r="W15" i="86"/>
  <c r="AD15" i="86" s="1"/>
  <c r="CE22" i="94"/>
  <c r="CG22" i="94" s="1"/>
  <c r="U17" i="94"/>
  <c r="AL11" i="94"/>
  <c r="CI10" i="94"/>
  <c r="H10" i="94"/>
  <c r="AP6" i="94"/>
  <c r="AF27" i="86"/>
  <c r="Z25" i="86"/>
  <c r="AF23" i="86"/>
  <c r="T9" i="86"/>
  <c r="AA9" i="86" s="1"/>
  <c r="X7" i="86"/>
  <c r="AE7" i="86" s="1"/>
  <c r="V6" i="86"/>
  <c r="AC6" i="86" s="1"/>
  <c r="V15" i="86"/>
  <c r="AC15" i="86" s="1"/>
  <c r="AT11" i="94"/>
  <c r="AU10" i="94"/>
  <c r="AW10" i="94" s="1"/>
  <c r="BM6" i="94"/>
  <c r="BB5" i="94"/>
  <c r="BD5" i="94" s="1"/>
  <c r="AE27" i="86"/>
  <c r="AE23" i="86"/>
  <c r="Z18" i="86"/>
  <c r="U10" i="86"/>
  <c r="AB10" i="86" s="1"/>
  <c r="U6" i="86"/>
  <c r="AB6" i="86" s="1"/>
  <c r="U25" i="86"/>
  <c r="AB25" i="86" s="1"/>
  <c r="S23" i="86"/>
  <c r="V20" i="94"/>
  <c r="W20" i="94" s="1"/>
  <c r="R17" i="94"/>
  <c r="CH5" i="94"/>
  <c r="CJ5" i="94" s="1"/>
  <c r="AD27" i="86"/>
  <c r="AF25" i="86"/>
  <c r="AF24" i="86"/>
  <c r="AE20" i="86"/>
  <c r="AE13" i="86"/>
  <c r="Z10" i="86"/>
  <c r="T6" i="86"/>
  <c r="AA6" i="86" s="1"/>
  <c r="U26" i="86"/>
  <c r="AB26" i="86" s="1"/>
  <c r="T25" i="86"/>
  <c r="S24" i="86"/>
  <c r="Z24" i="86" s="1"/>
  <c r="W22" i="86"/>
  <c r="AD22" i="86" s="1"/>
  <c r="S20" i="86"/>
  <c r="Z20" i="86" s="1"/>
  <c r="T22" i="86"/>
  <c r="AA22" i="86" s="1"/>
  <c r="BL10" i="94"/>
  <c r="CI6" i="94"/>
  <c r="U6" i="94"/>
  <c r="BE4" i="94"/>
  <c r="AC23" i="86"/>
  <c r="AD20" i="86"/>
  <c r="AD17" i="86"/>
  <c r="AD14" i="86"/>
  <c r="AD13" i="86"/>
  <c r="Z12" i="86"/>
  <c r="AF11" i="86"/>
  <c r="AE9" i="86"/>
  <c r="AA7" i="86"/>
  <c r="Z6" i="86"/>
  <c r="W11" i="86"/>
  <c r="AD11" i="86" s="1"/>
  <c r="U7" i="86"/>
  <c r="AB7" i="86" s="1"/>
  <c r="S25" i="86"/>
  <c r="Y23" i="86"/>
  <c r="V22" i="86"/>
  <c r="AC22" i="86" s="1"/>
  <c r="W19" i="86"/>
  <c r="AD19" i="86" s="1"/>
  <c r="S17" i="86"/>
  <c r="Z17" i="86" s="1"/>
  <c r="Y18" i="86"/>
  <c r="AF18" i="86" s="1"/>
  <c r="AF15" i="86"/>
  <c r="AF17" i="86"/>
  <c r="AF21" i="86"/>
  <c r="AF13" i="86"/>
  <c r="AE17" i="86"/>
  <c r="AE14" i="86"/>
  <c r="AB15" i="86"/>
  <c r="AA20" i="86"/>
  <c r="AA19" i="86"/>
  <c r="AA21" i="86"/>
  <c r="AA18" i="86"/>
  <c r="AA14" i="86"/>
  <c r="AA13" i="86"/>
  <c r="Z21" i="86"/>
  <c r="AF20" i="86"/>
  <c r="Z16" i="86"/>
  <c r="AF14" i="86"/>
  <c r="Z22" i="86"/>
  <c r="AD25" i="86"/>
  <c r="AE21" i="86"/>
  <c r="AC19" i="86"/>
  <c r="AE26" i="86"/>
  <c r="AC25" i="86"/>
  <c r="AC24" i="86"/>
  <c r="AF22" i="86"/>
  <c r="AD21" i="86"/>
  <c r="AD16" i="86"/>
  <c r="AB14" i="86"/>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W6" i="94"/>
  <c r="V6" i="94"/>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K14" i="32"/>
  <c r="L14" i="32"/>
  <c r="BJ60" i="94" l="1"/>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K15" i="32"/>
  <c r="L15" i="32"/>
  <c r="BF13" i="94" l="1"/>
  <c r="F47" i="94"/>
  <c r="I15" i="115"/>
  <c r="K18" i="86"/>
  <c r="M17" i="94"/>
  <c r="J51" i="94" s="1"/>
  <c r="K19" i="86"/>
  <c r="U19" i="86" s="1"/>
  <c r="AB19" i="86" s="1"/>
  <c r="M18" i="94"/>
  <c r="J52" i="94" s="1"/>
  <c r="I10" i="115"/>
  <c r="K13" i="86"/>
  <c r="U13" i="86" s="1"/>
  <c r="AB13"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17" i="32"/>
  <c r="AQ17" i="32"/>
  <c r="W17" i="32"/>
  <c r="R17" i="32"/>
  <c r="S17" i="32"/>
  <c r="P17" i="32"/>
  <c r="N17" i="32"/>
  <c r="J17" i="32"/>
  <c r="K17" i="32"/>
  <c r="L17"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7" i="32"/>
  <c r="AJ17" i="32"/>
  <c r="R15" i="83" s="1"/>
  <c r="AI17" i="32"/>
  <c r="Q15" i="83" s="1"/>
  <c r="AN17" i="32"/>
  <c r="AL17" i="32"/>
  <c r="T15" i="83" s="1"/>
  <c r="AM17" i="32"/>
  <c r="AK17" i="32"/>
  <c r="S15" i="83" s="1"/>
  <c r="AH17" i="32"/>
  <c r="AG17"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K18" i="32"/>
  <c r="L18" i="32"/>
  <c r="U22" i="32"/>
  <c r="AQ22" i="32"/>
  <c r="W22" i="32"/>
  <c r="R22" i="32"/>
  <c r="S22" i="32"/>
  <c r="P22" i="32"/>
  <c r="N22" i="32"/>
  <c r="J22" i="32"/>
  <c r="K22" i="32"/>
  <c r="L22" i="32"/>
  <c r="U21" i="32"/>
  <c r="AQ21" i="32"/>
  <c r="W21" i="32"/>
  <c r="R21" i="32"/>
  <c r="S21" i="32"/>
  <c r="P21" i="32"/>
  <c r="N21" i="32"/>
  <c r="J21" i="32"/>
  <c r="K21" i="32"/>
  <c r="L21" i="32"/>
  <c r="AQ19" i="32"/>
  <c r="AQ20" i="32"/>
  <c r="U20" i="32"/>
  <c r="W20" i="32"/>
  <c r="R20" i="32"/>
  <c r="S20" i="32"/>
  <c r="P20" i="32"/>
  <c r="N20" i="32"/>
  <c r="J20" i="32"/>
  <c r="K20" i="32"/>
  <c r="L20" i="32"/>
  <c r="I17" i="94" l="1"/>
  <c r="I19" i="94"/>
  <c r="I20" i="94"/>
  <c r="I21" i="94"/>
  <c r="B16" i="83"/>
  <c r="C16" i="83"/>
  <c r="C18" i="83"/>
  <c r="B18" i="83"/>
  <c r="C19" i="83"/>
  <c r="B19" i="83"/>
  <c r="B20" i="83"/>
  <c r="C20" i="83"/>
  <c r="AF21"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21" i="32"/>
  <c r="AL21" i="32"/>
  <c r="T19" i="83" s="1"/>
  <c r="AM21" i="32"/>
  <c r="AK21" i="32"/>
  <c r="S19" i="83" s="1"/>
  <c r="AJ21" i="32"/>
  <c r="R19" i="83" s="1"/>
  <c r="AI21" i="32"/>
  <c r="Q19" i="83" s="1"/>
  <c r="AH21" i="32"/>
  <c r="AG21" i="32"/>
  <c r="AN20" i="32"/>
  <c r="AM20" i="32"/>
  <c r="AL20" i="32"/>
  <c r="T18" i="83" s="1"/>
  <c r="AK20" i="32"/>
  <c r="S18" i="83" s="1"/>
  <c r="AI20" i="32"/>
  <c r="Q18" i="83" s="1"/>
  <c r="AJ20" i="32"/>
  <c r="R18" i="83" s="1"/>
  <c r="AH20" i="32"/>
  <c r="AF20" i="32"/>
  <c r="U19" i="32"/>
  <c r="W19" i="32"/>
  <c r="R19" i="32"/>
  <c r="S19" i="32"/>
  <c r="P19" i="32"/>
  <c r="N19" i="32"/>
  <c r="J19" i="32"/>
  <c r="K19" i="32"/>
  <c r="L19" i="32"/>
  <c r="AQ13" i="32"/>
  <c r="W13" i="32"/>
  <c r="U13" i="32"/>
  <c r="R13" i="32"/>
  <c r="S13" i="32"/>
  <c r="P13" i="32"/>
  <c r="N13" i="32"/>
  <c r="J13" i="32"/>
  <c r="K13" i="32"/>
  <c r="L13" i="32"/>
  <c r="X4" i="32"/>
  <c r="G23"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Q34"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T33" i="49"/>
  <c r="T17" i="49"/>
  <c r="AD4" i="32" l="1"/>
  <c r="AD26" i="32" l="1"/>
  <c r="AD12" i="32"/>
  <c r="AD9" i="32"/>
  <c r="AD6" i="32"/>
  <c r="Q8" i="94" l="1"/>
  <c r="N42" i="94" s="1"/>
  <c r="O9" i="86"/>
  <c r="Q5" i="94"/>
  <c r="N39" i="94" s="1"/>
  <c r="O6" i="86"/>
  <c r="Y6" i="86" s="1"/>
  <c r="AF6" i="86" s="1"/>
  <c r="O12" i="86"/>
  <c r="Q11" i="94"/>
  <c r="N45" i="94" s="1"/>
  <c r="O26" i="86"/>
  <c r="Y26" i="86" s="1"/>
  <c r="AF26" i="86" s="1"/>
  <c r="Q25" i="94"/>
  <c r="N59" i="94" s="1"/>
  <c r="AD8" i="32"/>
  <c r="AK39" i="94" l="1"/>
  <c r="S39" i="94"/>
  <c r="R39" i="94"/>
  <c r="P39" i="94"/>
  <c r="Q39" i="94"/>
  <c r="Q45" i="94"/>
  <c r="S45" i="94"/>
  <c r="AK45" i="94"/>
  <c r="P45" i="94"/>
  <c r="S59" i="94"/>
  <c r="AK59" i="94"/>
  <c r="P59" i="94"/>
  <c r="Q59" i="94"/>
  <c r="P42" i="94"/>
  <c r="AK42" i="94"/>
  <c r="S42" i="94"/>
  <c r="R42" i="94"/>
  <c r="Q42" i="94"/>
  <c r="V25" i="94"/>
  <c r="AO25" i="94"/>
  <c r="T25" i="94"/>
  <c r="S25" i="94"/>
  <c r="W25" i="94"/>
  <c r="V5" i="94"/>
  <c r="U5" i="94"/>
  <c r="S5" i="94"/>
  <c r="W5" i="94"/>
  <c r="AO5" i="94"/>
  <c r="T5" i="94"/>
  <c r="AO11" i="94"/>
  <c r="V11" i="94"/>
  <c r="S11" i="94"/>
  <c r="T11" i="94"/>
  <c r="W11" i="94"/>
  <c r="Y9" i="86"/>
  <c r="AF9" i="86" s="1"/>
  <c r="AD2" i="32"/>
  <c r="O8" i="86"/>
  <c r="Q7" i="94"/>
  <c r="N41" i="94" s="1"/>
  <c r="AF12" i="86"/>
  <c r="Y12" i="86"/>
  <c r="V8" i="94"/>
  <c r="W8" i="94" s="1"/>
  <c r="S8" i="94"/>
  <c r="U8" i="94"/>
  <c r="T8" i="94"/>
  <c r="AO8" i="94"/>
  <c r="Z23" i="32"/>
  <c r="Z24" i="32"/>
  <c r="Z9" i="32"/>
  <c r="Z8" i="32"/>
  <c r="Z4" i="32"/>
  <c r="AK41" i="94" l="1"/>
  <c r="S41" i="94"/>
  <c r="Q41" i="94"/>
  <c r="P41" i="94"/>
  <c r="M7" i="94"/>
  <c r="J41" i="94" s="1"/>
  <c r="K8" i="86"/>
  <c r="U8" i="86" s="1"/>
  <c r="AB8" i="86" s="1"/>
  <c r="M8" i="94"/>
  <c r="J42" i="94" s="1"/>
  <c r="K9" i="86"/>
  <c r="U9" i="86" s="1"/>
  <c r="AB9" i="86" s="1"/>
  <c r="M23" i="94"/>
  <c r="J57" i="94" s="1"/>
  <c r="K24" i="86"/>
  <c r="U24" i="86" s="1"/>
  <c r="AB24" i="86" s="1"/>
  <c r="T7" i="94"/>
  <c r="V7" i="94"/>
  <c r="S7" i="94"/>
  <c r="AO7" i="94"/>
  <c r="W7" i="94"/>
  <c r="M22" i="94"/>
  <c r="J56" i="94" s="1"/>
  <c r="K23" i="86"/>
  <c r="U23" i="86" s="1"/>
  <c r="AB23" i="86" s="1"/>
  <c r="Y8" i="86"/>
  <c r="AF8" i="86" s="1"/>
  <c r="AA27" i="32"/>
  <c r="AA26" i="32"/>
  <c r="AA10" i="32"/>
  <c r="AA8" i="32"/>
  <c r="AA4" i="32"/>
  <c r="BZ42" i="94" l="1"/>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N9" i="94"/>
  <c r="K43" i="94" s="1"/>
  <c r="L10" i="86"/>
  <c r="L26" i="86"/>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L9" i="94"/>
  <c r="I43" i="94" s="1"/>
  <c r="J27" i="86"/>
  <c r="L26" i="94"/>
  <c r="I60" i="94" s="1"/>
  <c r="V27" i="86"/>
  <c r="AC27" i="86" s="1"/>
  <c r="V10" i="86"/>
  <c r="AC10" i="86" s="1"/>
  <c r="J26" i="86"/>
  <c r="T26" i="86" s="1"/>
  <c r="AA26" i="86" s="1"/>
  <c r="L25" i="94"/>
  <c r="I59" i="94" s="1"/>
  <c r="CE25" i="94"/>
  <c r="CG25" i="94" s="1"/>
  <c r="BW25" i="94"/>
  <c r="CH25" i="94"/>
  <c r="CJ25" i="94" s="1"/>
  <c r="AL25" i="94"/>
  <c r="BR25" i="94"/>
  <c r="BH25" i="94"/>
  <c r="BM25" i="94"/>
  <c r="CB25" i="94"/>
  <c r="J11" i="86"/>
  <c r="T11" i="86" s="1"/>
  <c r="AA11" i="86" s="1"/>
  <c r="L10" i="94"/>
  <c r="I44" i="94" s="1"/>
  <c r="L7" i="94"/>
  <c r="I41" i="94" s="1"/>
  <c r="J8" i="86"/>
  <c r="T8" i="86" s="1"/>
  <c r="AA8" i="86" s="1"/>
  <c r="V8" i="86"/>
  <c r="AC8" i="86" s="1"/>
  <c r="AL26" i="94"/>
  <c r="CH26" i="94"/>
  <c r="CJ26" i="94" s="1"/>
  <c r="CE26" i="94"/>
  <c r="CG26" i="94" s="1"/>
  <c r="CB26" i="94"/>
  <c r="BR26" i="94"/>
  <c r="BH26" i="94"/>
  <c r="BW26" i="94"/>
  <c r="BM26" i="94"/>
  <c r="AC26" i="86"/>
  <c r="V26" i="86"/>
  <c r="BM9" i="94"/>
  <c r="BH9" i="94"/>
  <c r="AL9" i="94"/>
  <c r="CH9" i="94"/>
  <c r="CJ9" i="94" s="1"/>
  <c r="CE9" i="94"/>
  <c r="CG9" i="94" s="1"/>
  <c r="BR9" i="94"/>
  <c r="CB9" i="94"/>
  <c r="BW9" i="94"/>
  <c r="J24" i="86"/>
  <c r="L23" i="94"/>
  <c r="I57" i="94" s="1"/>
  <c r="Y12" i="32"/>
  <c r="BQ43" i="94" l="1"/>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T10" i="86"/>
  <c r="AA10" i="86" s="1"/>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T27" i="86"/>
  <c r="AA27" i="86" s="1"/>
  <c r="Y2" i="32"/>
  <c r="J12" i="86"/>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T24" i="86"/>
  <c r="AA24" i="86" s="1"/>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T12" i="86"/>
  <c r="AA12" i="86" s="1"/>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AB12" i="32"/>
  <c r="M12" i="86" l="1"/>
  <c r="W12" i="86" s="1"/>
  <c r="AD12" i="86" s="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BY45" i="94" l="1"/>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W24" i="86" s="1"/>
  <c r="AD24" i="86" s="1"/>
  <c r="N16" i="3"/>
  <c r="M20" i="3"/>
  <c r="M18" i="3"/>
  <c r="M19" i="3"/>
  <c r="M21" i="3"/>
  <c r="I23" i="111"/>
  <c r="I23" i="110"/>
  <c r="I23" i="107"/>
  <c r="I10" i="107"/>
  <c r="I10" i="110"/>
  <c r="I6" i="111"/>
  <c r="BN57" i="94" l="1"/>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T8" i="49"/>
  <c r="W16" i="3" l="1"/>
  <c r="V21" i="3"/>
  <c r="V18" i="3"/>
  <c r="V20" i="3"/>
  <c r="V19" i="3"/>
  <c r="X16" i="3" l="1"/>
  <c r="W19" i="3"/>
  <c r="W21" i="3"/>
  <c r="W18" i="3"/>
  <c r="W20" i="3"/>
  <c r="AB8" i="32"/>
  <c r="AB2" i="32" l="1"/>
  <c r="M8" i="86"/>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W8" i="86"/>
  <c r="AD8" i="86" s="1"/>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6" i="83"/>
  <c r="C6" i="83"/>
  <c r="D6" i="83" s="1"/>
  <c r="C9" i="83"/>
  <c r="B9" i="83"/>
  <c r="C21" i="83"/>
  <c r="B21" i="83"/>
  <c r="B7" i="83"/>
  <c r="C7" i="83"/>
  <c r="C5" i="83"/>
  <c r="B5" i="83"/>
  <c r="C8" i="83"/>
  <c r="B8" i="83"/>
  <c r="B22" i="83"/>
  <c r="C22" i="83"/>
  <c r="D22" i="83" s="1"/>
  <c r="C25" i="83"/>
  <c r="B25" i="83"/>
  <c r="C24" i="83"/>
  <c r="B24" i="83"/>
  <c r="B10" i="83"/>
  <c r="C10" i="83"/>
  <c r="B23" i="83"/>
  <c r="C23" i="83"/>
  <c r="D23" i="83" s="1"/>
  <c r="B4" i="83"/>
  <c r="C4" i="83"/>
  <c r="B2" i="83"/>
  <c r="C2" i="83"/>
  <c r="AG12" i="32"/>
  <c r="AH12" i="32"/>
  <c r="AF12" i="32"/>
  <c r="AL12" i="32"/>
  <c r="AH8" i="32"/>
  <c r="AF8" i="32"/>
  <c r="AG8" i="32"/>
  <c r="AL8" i="32"/>
  <c r="AK27" i="32"/>
  <c r="AG27" i="32"/>
  <c r="AL27" i="32"/>
  <c r="AJ27" i="32"/>
  <c r="AI27" i="32"/>
  <c r="AH27" i="32"/>
  <c r="AF27" i="32"/>
  <c r="AK26" i="32"/>
  <c r="AG26" i="32"/>
  <c r="AJ26" i="32"/>
  <c r="AH26" i="32"/>
  <c r="AI26" i="32"/>
  <c r="AL26" i="32"/>
  <c r="AF26" i="32"/>
  <c r="AH10" i="32"/>
  <c r="AF10" i="32"/>
  <c r="AL10" i="32"/>
  <c r="AJ10" i="32"/>
  <c r="AI10" i="32"/>
  <c r="AG10" i="32"/>
  <c r="AK10" i="32"/>
  <c r="AF5" i="32"/>
  <c r="AH5" i="32"/>
  <c r="AG5" i="32"/>
  <c r="AH25" i="32"/>
  <c r="AF25" i="32"/>
  <c r="AK25" i="32"/>
  <c r="AL25" i="32"/>
  <c r="AJ25" i="32"/>
  <c r="AI25" i="32"/>
  <c r="AG25" i="32"/>
  <c r="AI23" i="32"/>
  <c r="AK23" i="32"/>
  <c r="AG23" i="32"/>
  <c r="AJ23" i="32"/>
  <c r="AF23" i="32"/>
  <c r="AL23" i="32"/>
  <c r="AH23" i="32"/>
  <c r="AL24" i="32"/>
  <c r="AK24" i="32"/>
  <c r="AJ24" i="32"/>
  <c r="AH24" i="32"/>
  <c r="AF24" i="32"/>
  <c r="AI24" i="32"/>
  <c r="AG24" i="32"/>
  <c r="AK9" i="32"/>
  <c r="AG9" i="32"/>
  <c r="AF9" i="32"/>
  <c r="AJ9" i="32"/>
  <c r="AH9" i="32"/>
  <c r="AI9" i="32"/>
  <c r="AL9" i="32"/>
  <c r="AL11" i="32"/>
  <c r="AJ11" i="32"/>
  <c r="AI11" i="32"/>
  <c r="AG11" i="32"/>
  <c r="AK11" i="32"/>
  <c r="AH11" i="32"/>
  <c r="AF11" i="32"/>
  <c r="AJ7" i="32"/>
  <c r="AG7" i="32"/>
  <c r="AF7" i="32"/>
  <c r="AK7" i="32"/>
  <c r="AH7" i="32"/>
  <c r="AL7" i="32"/>
  <c r="AI7" i="32"/>
  <c r="AH6" i="32"/>
  <c r="AF6" i="32"/>
  <c r="AI6" i="32"/>
  <c r="AG6" i="32"/>
  <c r="AL6" i="32"/>
  <c r="AK6" i="32"/>
  <c r="AJ6" i="32"/>
  <c r="AF4" i="32"/>
  <c r="AI4" i="32"/>
  <c r="Q2" i="83" s="1"/>
  <c r="AG4" i="32"/>
  <c r="AH4" i="32"/>
  <c r="AL4" i="32"/>
  <c r="T2" i="83" s="1"/>
  <c r="AK4" i="32"/>
  <c r="S2" i="83" s="1"/>
  <c r="AJ4" i="32"/>
  <c r="R2" i="83" s="1"/>
  <c r="D9" i="83" l="1"/>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G27" i="86"/>
  <c r="BH27" i="86"/>
  <c r="BC8" i="86"/>
  <c r="BG24" i="86"/>
  <c r="BG8" i="86" s="1"/>
  <c r="BH24" i="86"/>
  <c r="BH8" i="86" s="1"/>
  <c r="AY24" i="86"/>
  <c r="AY8" i="86" s="1"/>
  <c r="AY5" i="86"/>
  <c r="BC5" i="86"/>
  <c r="BD5" i="86"/>
  <c r="AI6" i="86"/>
  <c r="AI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AI19" i="86"/>
  <c r="AW5" i="86" s="1"/>
  <c r="T9" i="107" l="1"/>
  <c r="X9" i="107"/>
  <c r="W9" i="107"/>
  <c r="P9" i="107"/>
  <c r="S9" i="107"/>
  <c r="V9" i="107"/>
  <c r="N9" i="107"/>
  <c r="AI5" i="86"/>
  <c r="AS19" i="86"/>
  <c r="BG5" i="86" s="1"/>
  <c r="U10" i="110"/>
  <c r="X10" i="110"/>
  <c r="T10" i="110"/>
  <c r="V10" i="110"/>
  <c r="R9" i="107"/>
  <c r="M9" i="107"/>
  <c r="U9" i="107"/>
  <c r="S10" i="108"/>
  <c r="O10" i="108"/>
  <c r="P10" i="108"/>
  <c r="V10" i="108"/>
  <c r="R10" i="108"/>
  <c r="T10" i="108"/>
  <c r="U10" i="108"/>
  <c r="AS5" i="86"/>
  <c r="AM5" i="32" l="1"/>
  <c r="AN5" i="32"/>
  <c r="AL5" i="32"/>
  <c r="AI5" i="32"/>
  <c r="AJ5" i="32"/>
  <c r="AK5" i="32"/>
  <c r="K20" i="111"/>
  <c r="K20" i="110"/>
  <c r="K20" i="107"/>
  <c r="K23" i="107"/>
  <c r="K23" i="110"/>
  <c r="K23" i="111"/>
  <c r="Z10" i="110"/>
  <c r="Y10" i="110"/>
  <c r="Z9" i="107"/>
  <c r="Y9" i="107"/>
  <c r="Z10" i="108"/>
  <c r="AA10" i="108" s="1"/>
  <c r="Y10" i="108"/>
  <c r="AK8" i="32" l="1"/>
  <c r="AI8" i="32"/>
  <c r="AJ8" i="32"/>
  <c r="AI12" i="32"/>
  <c r="AK12" i="32"/>
  <c r="AJ12" i="32"/>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8" i="32"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AW18" i="86" s="1"/>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Q37" i="94"/>
  <c r="CD37" i="94"/>
  <c r="CF37" i="94" s="1"/>
  <c r="AY37" i="94"/>
  <c r="P37" i="94"/>
  <c r="AR37" i="94"/>
  <c r="CE37" i="94"/>
  <c r="O37" i="94"/>
  <c r="AL37" i="94" s="1"/>
  <c r="BT37" i="94"/>
  <c r="BE37" i="94"/>
  <c r="BY37" i="94"/>
  <c r="CB37" i="94"/>
  <c r="BO37" i="94"/>
  <c r="BJ37" i="94"/>
  <c r="AX37" i="94"/>
  <c r="AZ37" i="94" s="1"/>
  <c r="AQ37" i="94"/>
  <c r="AS37" i="94" s="1"/>
  <c r="J2" i="106"/>
  <c r="N37" i="94"/>
  <c r="AF3" i="94"/>
  <c r="S3" i="94"/>
  <c r="H3" i="105"/>
  <c r="G2" i="106"/>
  <c r="C3" i="105"/>
  <c r="B2" i="106"/>
  <c r="E3" i="105"/>
  <c r="D2" i="106"/>
  <c r="I3" i="105"/>
  <c r="H2" i="106"/>
  <c r="F3" i="105"/>
  <c r="E2" i="106"/>
  <c r="J3" i="105"/>
  <c r="I2" i="106"/>
  <c r="G3" i="105"/>
  <c r="F2" i="106"/>
  <c r="BX3" i="94"/>
  <c r="BT3" i="94"/>
  <c r="BU3" i="94"/>
  <c r="BW3" i="94"/>
  <c r="BV3" i="94"/>
  <c r="K3" i="105"/>
  <c r="AW4" i="86"/>
  <c r="AI4" i="86"/>
  <c r="AI18" i="86"/>
  <c r="S37" i="94" l="1"/>
  <c r="AK37" i="94"/>
  <c r="R37" i="94"/>
  <c r="W4" i="32"/>
  <c r="S4" i="32"/>
  <c r="R4" i="32"/>
  <c r="E2" i="83" s="1"/>
  <c r="N4" i="32"/>
  <c r="L4" i="32"/>
  <c r="K4" i="32"/>
  <c r="F2" i="83" l="1"/>
  <c r="J1" i="96" l="1"/>
  <c r="K1" i="96"/>
  <c r="AI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B10" i="86" l="1"/>
  <c r="BD10" i="86"/>
  <c r="AX10" i="86"/>
  <c r="AY6" i="86"/>
  <c r="BC6" i="86"/>
  <c r="BD6" i="86"/>
  <c r="AS28" i="86"/>
  <c r="AT28" i="86"/>
  <c r="AK28" i="86"/>
  <c r="AL28" i="86"/>
  <c r="AJ28" i="86"/>
  <c r="AS26" i="86"/>
  <c r="AT26" i="86"/>
  <c r="AN26" i="86"/>
  <c r="AJ26" i="86"/>
  <c r="AS24" i="86"/>
  <c r="AT24" i="86"/>
  <c r="AS22" i="86"/>
  <c r="AT22" i="86"/>
  <c r="AO22" i="86"/>
  <c r="AK22" i="86"/>
  <c r="AI20"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Y25" i="86"/>
  <c r="BC25" i="86"/>
  <c r="BG25" i="86"/>
  <c r="BH25" i="86"/>
  <c r="AY28" i="86"/>
  <c r="AZ28" i="86"/>
  <c r="BG28" i="86"/>
  <c r="BH28" i="86"/>
  <c r="AX28" i="86"/>
  <c r="BB12" i="86"/>
  <c r="BG12" i="86"/>
  <c r="BH12" i="86"/>
  <c r="AX12" i="86"/>
  <c r="AK27" i="86"/>
  <c r="AL27" i="86"/>
  <c r="AS27" i="86"/>
  <c r="AT27" i="86"/>
  <c r="AJ27" i="86"/>
  <c r="BB26" i="86"/>
  <c r="BB11" i="86" s="1"/>
  <c r="BG26" i="86"/>
  <c r="BG11" i="86" s="1"/>
  <c r="BH26" i="86"/>
  <c r="BH11" i="86" s="1"/>
  <c r="AX26" i="86"/>
  <c r="AX11" i="86" s="1"/>
  <c r="AN25" i="86"/>
  <c r="AS25" i="86"/>
  <c r="AT25" i="86"/>
  <c r="AJ25" i="86"/>
  <c r="BB7" i="86"/>
  <c r="BD7" i="86"/>
  <c r="AX7" i="86"/>
  <c r="AY9" i="86"/>
  <c r="BC9" i="86"/>
  <c r="BG9" i="86"/>
  <c r="BH9" i="86"/>
  <c r="AK23" i="86"/>
  <c r="AO23" i="86"/>
  <c r="AS23" i="86"/>
  <c r="AT23" i="86"/>
  <c r="BB21" i="86"/>
  <c r="BC21" i="86"/>
  <c r="BD21" i="86"/>
  <c r="AY19" i="86"/>
  <c r="BC19" i="86"/>
  <c r="BD19" i="86"/>
  <c r="V12" i="106" l="1"/>
  <c r="V13" i="106" s="1"/>
  <c r="W13" i="105"/>
  <c r="W14" i="105" s="1"/>
  <c r="BA4" i="86"/>
  <c r="BA18" i="86" s="1"/>
  <c r="BB4" i="86"/>
  <c r="BB18" i="86" s="1"/>
  <c r="BC4" i="86"/>
  <c r="BC18" i="86" s="1"/>
  <c r="BD4" i="86"/>
  <c r="BD18" i="86" s="1"/>
  <c r="BG4" i="86"/>
  <c r="BG18" i="86" s="1"/>
  <c r="BH4" i="86"/>
  <c r="BH18" i="86" s="1"/>
  <c r="AM18" i="86"/>
  <c r="AN18" i="86"/>
  <c r="AO18" i="86"/>
  <c r="AP18" i="86"/>
  <c r="AS18" i="86"/>
  <c r="AT18" i="86"/>
  <c r="AW28" i="86"/>
  <c r="AW27" i="86"/>
  <c r="AW12" i="86" s="1"/>
  <c r="AW26" i="86"/>
  <c r="AW25" i="86"/>
  <c r="AW24" i="86"/>
  <c r="AW23" i="86"/>
  <c r="AW7" i="86" s="1"/>
  <c r="AW22" i="86"/>
  <c r="AW10" i="86" s="1"/>
  <c r="AW21" i="86"/>
  <c r="AW20" i="86"/>
  <c r="AW6" i="86" s="1"/>
  <c r="AW19" i="86"/>
  <c r="AW13" i="86"/>
  <c r="AW11" i="86"/>
  <c r="AW9" i="86"/>
  <c r="AW8" i="86"/>
  <c r="AI27" i="86"/>
  <c r="AI25" i="86"/>
  <c r="AI23" i="86"/>
  <c r="AI10" i="86"/>
  <c r="AI24" i="86" s="1"/>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T14" i="49" l="1"/>
  <c r="H3" i="76" l="1"/>
  <c r="S3" i="76" s="1"/>
  <c r="Q18" i="76" l="1"/>
  <c r="Z3" i="76"/>
  <c r="V4" i="85" l="1"/>
  <c r="N5" i="32"/>
  <c r="N6" i="32"/>
  <c r="N7" i="32"/>
  <c r="N8" i="32"/>
  <c r="N9" i="32"/>
  <c r="N23" i="32"/>
  <c r="N24" i="32"/>
  <c r="N10" i="32"/>
  <c r="N11" i="32"/>
  <c r="N25" i="32"/>
  <c r="N12" i="32"/>
  <c r="N26" i="32"/>
  <c r="N27" i="32"/>
  <c r="T5" i="49" l="1"/>
  <c r="T18" i="49"/>
  <c r="BO6" i="86" l="1"/>
  <c r="BN6" i="86"/>
  <c r="BO5" i="86"/>
  <c r="BN5" i="86"/>
  <c r="BO4" i="86"/>
  <c r="BN4" i="86"/>
  <c r="BO3" i="86"/>
  <c r="BN3" i="86"/>
  <c r="BO2" i="86"/>
  <c r="BN2" i="86"/>
  <c r="AI14" i="86" l="1"/>
  <c r="AI28" i="86" s="1"/>
  <c r="AI13" i="86"/>
  <c r="AI12" i="86"/>
  <c r="AI26" i="86" s="1"/>
  <c r="AI11" i="86"/>
  <c r="AI9" i="86"/>
  <c r="AI8" i="86"/>
  <c r="AI22" i="86" s="1"/>
  <c r="P4" i="86"/>
  <c r="P5" i="86"/>
  <c r="C2" i="86"/>
  <c r="AS7" i="86" l="1"/>
  <c r="BG23" i="86"/>
  <c r="AS6" i="86"/>
  <c r="BG21" i="86" s="1"/>
  <c r="BG6" i="86"/>
  <c r="AS20" i="86"/>
  <c r="BG20" i="86"/>
  <c r="Z5" i="86"/>
  <c r="AD5" i="86"/>
  <c r="Z4" i="86"/>
  <c r="AD4" i="86"/>
  <c r="AM6" i="86"/>
  <c r="AA5" i="86"/>
  <c r="AE5" i="86"/>
  <c r="AM7" i="86"/>
  <c r="AA4" i="86"/>
  <c r="AE4" i="86"/>
  <c r="AB5" i="86"/>
  <c r="AF5" i="86"/>
  <c r="AB4" i="86"/>
  <c r="AF4" i="86"/>
  <c r="BA23" i="86"/>
  <c r="BA27" i="86"/>
  <c r="AC5" i="86"/>
  <c r="AC4" i="86"/>
  <c r="BC23" i="86"/>
  <c r="BG22" i="86"/>
  <c r="BG10" i="86" s="1"/>
  <c r="R4" i="86"/>
  <c r="R2" i="85"/>
  <c r="Q4" i="85"/>
  <c r="T4" i="85" s="1"/>
  <c r="U4" i="85" s="1"/>
  <c r="A9" i="85"/>
  <c r="A10" i="85" s="1"/>
  <c r="Q2" i="85"/>
  <c r="J4" i="85"/>
  <c r="I4" i="85"/>
  <c r="J2" i="85"/>
  <c r="I2" i="85"/>
  <c r="AQ6" i="86" l="1"/>
  <c r="BE21" i="86" s="1"/>
  <c r="AQ7" i="86"/>
  <c r="BE22" i="86" s="1"/>
  <c r="AN5" i="86"/>
  <c r="AN19" i="86"/>
  <c r="BB5" i="86" s="1"/>
  <c r="BD27" i="86"/>
  <c r="AM5" i="86"/>
  <c r="AM19" i="86"/>
  <c r="BA5" i="86" s="1"/>
  <c r="AK7" i="86"/>
  <c r="AT7" i="86"/>
  <c r="BH22" i="86" s="1"/>
  <c r="BH10" i="86" s="1"/>
  <c r="AR7" i="86"/>
  <c r="AL7" i="86"/>
  <c r="AY27" i="86"/>
  <c r="AZ27" i="86"/>
  <c r="AT19" i="86"/>
  <c r="BH5" i="86" s="1"/>
  <c r="AL19" i="86"/>
  <c r="AZ5" i="86" s="1"/>
  <c r="AJ19" i="86"/>
  <c r="AX5" i="86" s="1"/>
  <c r="AT6" i="86"/>
  <c r="BH21" i="86" s="1"/>
  <c r="AL6" i="86"/>
  <c r="AZ21" i="86" s="1"/>
  <c r="AR6" i="86"/>
  <c r="BF21" i="86" s="1"/>
  <c r="AJ6" i="86"/>
  <c r="AQ5" i="86"/>
  <c r="AQ19" i="86" s="1"/>
  <c r="BE5" i="86" s="1"/>
  <c r="AT5" i="86"/>
  <c r="AT21" i="86" s="1"/>
  <c r="AJ5" i="86"/>
  <c r="AR5" i="86"/>
  <c r="AR19" i="86" s="1"/>
  <c r="BF5" i="86" s="1"/>
  <c r="AL5" i="86"/>
  <c r="BH6" i="86"/>
  <c r="AJ4" i="86"/>
  <c r="AJ9" i="86"/>
  <c r="AX25" i="86" s="1"/>
  <c r="AM21" i="86"/>
  <c r="BA7" i="86" s="1"/>
  <c r="AL21" i="86"/>
  <c r="AK21" i="86"/>
  <c r="AR4" i="86"/>
  <c r="BF4" i="86" s="1"/>
  <c r="BF18" i="86" s="1"/>
  <c r="AL4" i="86"/>
  <c r="W18" i="76"/>
  <c r="BF6" i="86"/>
  <c r="BF20" i="86" s="1"/>
  <c r="AR12" i="86"/>
  <c r="BF24" i="86" s="1"/>
  <c r="BF8" i="86" s="1"/>
  <c r="AR11" i="86"/>
  <c r="AQ10" i="86"/>
  <c r="AQ24" i="86" s="1"/>
  <c r="AQ8" i="86"/>
  <c r="BE23" i="86" s="1"/>
  <c r="BE7" i="86" s="1"/>
  <c r="BE6" i="86"/>
  <c r="BE20" i="86" s="1"/>
  <c r="AQ14" i="86"/>
  <c r="BE27" i="86" s="1"/>
  <c r="AR10" i="86"/>
  <c r="AR20" i="86"/>
  <c r="BF14" i="86" s="1"/>
  <c r="AR14" i="86"/>
  <c r="BF27" i="86" s="1"/>
  <c r="AR9" i="86"/>
  <c r="AQ11" i="86"/>
  <c r="AQ12" i="86"/>
  <c r="BE24" i="86" s="1"/>
  <c r="BE8" i="86" s="1"/>
  <c r="AQ9" i="86"/>
  <c r="AQ13" i="86"/>
  <c r="BE13" i="86" s="1"/>
  <c r="AQ20" i="86"/>
  <c r="BE14" i="86" s="1"/>
  <c r="AT20" i="86"/>
  <c r="BA14" i="86"/>
  <c r="AM20" i="86"/>
  <c r="BD14" i="86"/>
  <c r="AP20" i="86"/>
  <c r="T2" i="85"/>
  <c r="U2" i="85" s="1"/>
  <c r="AP14" i="86"/>
  <c r="AP28" i="86" s="1"/>
  <c r="BC22" i="86"/>
  <c r="BB20" i="86"/>
  <c r="BB6" i="86" s="1"/>
  <c r="BA22" i="86"/>
  <c r="BA10" i="86" s="1"/>
  <c r="BA21" i="86"/>
  <c r="BA13" i="86"/>
  <c r="AM13" i="86"/>
  <c r="BA20" i="86"/>
  <c r="BA6" i="86" s="1"/>
  <c r="AM10" i="86"/>
  <c r="AM24" i="86" s="1"/>
  <c r="AM14" i="86"/>
  <c r="AM28" i="86" s="1"/>
  <c r="AK12" i="86"/>
  <c r="AZ20" i="86"/>
  <c r="AZ6" i="86" s="1"/>
  <c r="BH20" i="86"/>
  <c r="AX20" i="86"/>
  <c r="AX6" i="86" s="1"/>
  <c r="AZ22" i="86"/>
  <c r="AZ10" i="86" s="1"/>
  <c r="AY22" i="86"/>
  <c r="AY10" i="86" s="1"/>
  <c r="AL10" i="86"/>
  <c r="AL24" i="86" s="1"/>
  <c r="AJ10" i="86"/>
  <c r="AJ24" i="86" s="1"/>
  <c r="AM8" i="86"/>
  <c r="AM22" i="86" s="1"/>
  <c r="AL9" i="86"/>
  <c r="AZ25" i="86" s="1"/>
  <c r="AL11" i="86"/>
  <c r="AK11" i="86"/>
  <c r="AM12" i="86"/>
  <c r="AM11" i="86"/>
  <c r="AM9" i="86"/>
  <c r="BA25" i="86" s="1"/>
  <c r="AL12" i="86"/>
  <c r="AP12" i="86"/>
  <c r="R4" i="85"/>
  <c r="AQ21" i="86" l="1"/>
  <c r="AP26" i="86"/>
  <c r="BD12" i="86" s="1"/>
  <c r="BD24" i="86"/>
  <c r="BD8" i="86" s="1"/>
  <c r="AM26" i="86"/>
  <c r="BA12" i="86" s="1"/>
  <c r="BA24" i="86"/>
  <c r="BA8" i="86" s="1"/>
  <c r="BH23" i="86"/>
  <c r="BH7" i="86" s="1"/>
  <c r="AZ23" i="86"/>
  <c r="AZ7" i="86" s="1"/>
  <c r="AY23" i="86"/>
  <c r="AY7" i="86" s="1"/>
  <c r="AL26" i="86"/>
  <c r="AZ12" i="86" s="1"/>
  <c r="AZ24" i="86"/>
  <c r="AZ8" i="86" s="1"/>
  <c r="AK26" i="86"/>
  <c r="AY12" i="86" s="1"/>
  <c r="AX24" i="86"/>
  <c r="AX8" i="86" s="1"/>
  <c r="AX9" i="86"/>
  <c r="AJ23" i="86"/>
  <c r="AR8" i="86"/>
  <c r="BF23" i="86" s="1"/>
  <c r="BF7" i="86" s="1"/>
  <c r="AR26" i="86"/>
  <c r="AR18" i="86"/>
  <c r="BE10" i="86"/>
  <c r="AQ22" i="86"/>
  <c r="AQ28" i="86"/>
  <c r="BE28" i="86"/>
  <c r="BF22" i="86"/>
  <c r="BF12" i="86"/>
  <c r="AR28" i="86"/>
  <c r="AS21" i="86"/>
  <c r="BG7" i="86" s="1"/>
  <c r="BF10" i="86"/>
  <c r="AQ27" i="86"/>
  <c r="AQ23" i="86"/>
  <c r="BE9" i="86"/>
  <c r="BE25" i="86"/>
  <c r="AQ26" i="86"/>
  <c r="BE12" i="86" s="1"/>
  <c r="AR21" i="86"/>
  <c r="BE26" i="86"/>
  <c r="BE11" i="86" s="1"/>
  <c r="AQ25" i="86"/>
  <c r="BE19" i="86"/>
  <c r="AQ18" i="86"/>
  <c r="AQ2" i="86"/>
  <c r="BE4" i="86"/>
  <c r="BC10" i="86"/>
  <c r="AM2" i="86"/>
  <c r="AS2" i="86"/>
  <c r="BG19" i="86"/>
  <c r="AN10" i="86"/>
  <c r="AN24" i="86" s="1"/>
  <c r="AR24" i="86"/>
  <c r="AP10" i="86"/>
  <c r="AP24" i="86" s="1"/>
  <c r="AP8" i="86"/>
  <c r="BD13" i="86"/>
  <c r="AP13" i="86"/>
  <c r="BF19" i="86"/>
  <c r="BA9" i="86"/>
  <c r="AM23" i="86"/>
  <c r="BA19" i="86"/>
  <c r="AM25" i="86"/>
  <c r="BA26" i="86"/>
  <c r="BA11" i="86" s="1"/>
  <c r="AM27" i="86"/>
  <c r="BA28" i="86"/>
  <c r="AL25" i="86"/>
  <c r="AZ26" i="86"/>
  <c r="AZ11" i="86" s="1"/>
  <c r="AZ19" i="86"/>
  <c r="AY26" i="86"/>
  <c r="AY11" i="86" s="1"/>
  <c r="AK25" i="86"/>
  <c r="AX4" i="86"/>
  <c r="AJ18" i="86"/>
  <c r="AL23" i="86"/>
  <c r="AZ9" i="86"/>
  <c r="BH19" i="86"/>
  <c r="AX19" i="86"/>
  <c r="AL8" i="86"/>
  <c r="AL22" i="86" s="1"/>
  <c r="AJ8" i="86"/>
  <c r="AJ22" i="86" s="1"/>
  <c r="AL18" i="86"/>
  <c r="AZ4" i="86"/>
  <c r="AK6" i="86"/>
  <c r="AY21" i="86" s="1"/>
  <c r="AX21" i="86"/>
  <c r="AN8" i="86"/>
  <c r="AN22" i="86" s="1"/>
  <c r="AK10" i="86"/>
  <c r="AK24" i="86" s="1"/>
  <c r="AN9" i="86"/>
  <c r="BB25" i="86" s="1"/>
  <c r="AP9" i="86"/>
  <c r="BD25" i="86" s="1"/>
  <c r="AP11" i="86"/>
  <c r="BF25" i="86"/>
  <c r="AK4" i="86"/>
  <c r="AT2" i="86"/>
  <c r="AR22" i="86" l="1"/>
  <c r="BG16" i="86"/>
  <c r="BG2" i="86"/>
  <c r="AQ16" i="86"/>
  <c r="BE18" i="86"/>
  <c r="BE16" i="86" s="1"/>
  <c r="BE2" i="86"/>
  <c r="BA2" i="86"/>
  <c r="AJ2" i="86"/>
  <c r="AL16" i="86"/>
  <c r="BH2" i="86"/>
  <c r="AX2" i="86"/>
  <c r="AJ16" i="86"/>
  <c r="AM16" i="86"/>
  <c r="AP2" i="86"/>
  <c r="AP22" i="86"/>
  <c r="AK2" i="86"/>
  <c r="AZ2" i="86"/>
  <c r="AL2" i="86"/>
  <c r="BA16" i="86"/>
  <c r="AO10" i="86"/>
  <c r="BF9" i="86"/>
  <c r="AR23" i="86"/>
  <c r="BD26" i="86"/>
  <c r="BD11" i="86" s="1"/>
  <c r="AP25" i="86"/>
  <c r="AR25" i="86"/>
  <c r="BF26" i="86"/>
  <c r="BF11" i="86" s="1"/>
  <c r="BD9" i="86"/>
  <c r="AP23" i="86"/>
  <c r="BD28" i="86"/>
  <c r="AP27" i="86"/>
  <c r="BB9" i="86"/>
  <c r="AN23" i="86"/>
  <c r="AK18" i="86"/>
  <c r="AK16" i="86" s="1"/>
  <c r="AY4" i="86"/>
  <c r="AY2" i="86" s="1"/>
  <c r="AX18" i="86"/>
  <c r="AX16" i="86" s="1"/>
  <c r="AZ18" i="86"/>
  <c r="BH16" i="86"/>
  <c r="BD2" i="86" l="1"/>
  <c r="AP16" i="86"/>
  <c r="BD16" i="86"/>
  <c r="AZ16" i="86"/>
  <c r="AO24" i="86"/>
  <c r="AO7" i="86"/>
  <c r="BC27" i="86"/>
  <c r="BC14" i="86"/>
  <c r="AY18" i="86"/>
  <c r="AY16" i="86" s="1"/>
  <c r="AO11" i="86" l="1"/>
  <c r="AO25" i="86" s="1"/>
  <c r="BB13" i="86"/>
  <c r="AO21" i="86"/>
  <c r="BC7" i="86" s="1"/>
  <c r="AN20" i="86"/>
  <c r="AN13" i="86"/>
  <c r="AN27" i="86" s="1"/>
  <c r="AO12" i="86"/>
  <c r="BB24" i="86" s="1"/>
  <c r="BB8" i="86" s="1"/>
  <c r="AN14" i="86"/>
  <c r="AN28" i="86" s="1"/>
  <c r="BC26" i="86" l="1"/>
  <c r="BC11" i="86" s="1"/>
  <c r="BB19" i="86"/>
  <c r="AN2" i="86"/>
  <c r="AO26" i="86"/>
  <c r="BC12" i="86" s="1"/>
  <c r="AO20" i="86"/>
  <c r="AN16" i="86"/>
  <c r="AO13" i="86"/>
  <c r="BC28" i="86" s="1"/>
  <c r="BB28" i="86"/>
  <c r="AO14" i="86"/>
  <c r="AO28" i="86" s="1"/>
  <c r="BB2" i="86"/>
  <c r="BC16" i="86" l="1"/>
  <c r="BC2" i="86"/>
  <c r="BB16" i="86"/>
  <c r="AO2" i="86"/>
  <c r="AO27" i="86"/>
  <c r="AO16" i="86" s="1"/>
  <c r="B28" i="83" l="1"/>
  <c r="H28" i="83" s="1"/>
  <c r="X18" i="76" l="1"/>
  <c r="W14" i="76"/>
  <c r="X14" i="76" l="1"/>
  <c r="T10" i="49"/>
  <c r="T7" i="49" l="1"/>
  <c r="T11" i="49"/>
  <c r="T23" i="49"/>
  <c r="T13" i="49"/>
  <c r="T12" i="49"/>
  <c r="T15" i="49"/>
  <c r="T4" i="49"/>
  <c r="T9" i="49"/>
  <c r="T6" i="49"/>
  <c r="T3"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7" i="32" s="1"/>
  <c r="F4" i="32" l="1"/>
  <c r="F12" i="32"/>
  <c r="F27" i="32"/>
  <c r="F20" i="32"/>
  <c r="E20" i="86" s="1"/>
  <c r="F14" i="32"/>
  <c r="F19" i="32"/>
  <c r="E19" i="86" s="1"/>
  <c r="F15" i="32"/>
  <c r="F17" i="32"/>
  <c r="F5" i="32"/>
  <c r="F16" i="32"/>
  <c r="F6" i="32"/>
  <c r="F18" i="32"/>
  <c r="F22" i="32"/>
  <c r="E22" i="86" s="1"/>
  <c r="F21" i="32"/>
  <c r="E21" i="86" s="1"/>
  <c r="F13" i="32"/>
  <c r="F10" i="32"/>
  <c r="F26" i="32"/>
  <c r="E26" i="86" s="1"/>
  <c r="F25" i="32"/>
  <c r="E25" i="86" s="1"/>
  <c r="F24" i="32"/>
  <c r="E24" i="86" s="1"/>
  <c r="F23" i="32"/>
  <c r="E23" i="86" s="1"/>
  <c r="F8" i="32"/>
  <c r="F9"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BF13" i="86" s="1"/>
  <c r="BF2" i="86" s="1"/>
  <c r="AT16" i="86"/>
  <c r="G41" i="3"/>
  <c r="BF28" i="86" l="1"/>
  <c r="BF16" i="86" s="1"/>
  <c r="AR27" i="86"/>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L1" authorId="0" shapeId="0" xr:uid="{00000000-0006-0000-0A00-000001000000}">
      <text>
        <r>
          <rPr>
            <b/>
            <sz val="8"/>
            <color indexed="81"/>
            <rFont val="Tahoma"/>
            <family val="2"/>
          </rPr>
          <t>Sacado del manual no escrito, no se sabe que son estos valores</t>
        </r>
      </text>
    </comment>
    <comment ref="BM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<sst xmlns="http://schemas.openxmlformats.org/spreadsheetml/2006/main" count="2129" uniqueCount="686">
  <si>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</si>
  <si>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</si>
  <si>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</si>
  <si>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</si>
  <si>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</si>
  <si>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</si>
  <si>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</si>
  <si>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</si>
  <si>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</si>
  <si>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</si>
  <si>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</si>
  <si>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</si>
  <si>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</si>
  <si>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</si>
  <si>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</si>
  <si>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</si>
  <si>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</si>
  <si>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</si>
  <si>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</si>
  <si>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</si>
  <si>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</si>
  <si>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</si>
  <si>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</si>
  <si>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</si>
  <si>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</si>
  <si>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</si>
  <si>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</si>
  <si>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</si>
  <si>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</si>
  <si>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</si>
  <si>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</si>
  <si>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</si>
  <si>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</si>
  <si>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</si>
  <si>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</si>
  <si>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</si>
  <si>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</si>
  <si>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</si>
  <si>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</si>
  <si>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</si>
  <si>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</si>
  <si>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</si>
  <si>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</si>
  <si>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</si>
  <si>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</si>
  <si>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</si>
  <si>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</si>
  <si>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</si>
  <si>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</si>
  <si>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</si>
  <si>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</si>
  <si>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</si>
  <si>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</si>
  <si>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</si>
  <si>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</si>
  <si>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</si>
  <si>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</si>
  <si>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</si>
  <si>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</si>
  <si>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</si>
  <si>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</si>
  <si>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</si>
  <si>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</si>
  <si>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</si>
  <si>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</si>
  <si>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</si>
  <si>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</si>
  <si>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</si>
  <si>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</si>
  <si>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</si>
  <si>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</si>
  <si>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</si>
  <si>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</si>
  <si>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</si>
  <si>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</si>
  <si>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</si>
  <si>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</si>
  <si>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</si>
  <si>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</si>
  <si>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</si>
  <si>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</si>
  <si>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</si>
  <si>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</si>
  <si>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</si>
  <si>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</si>
  <si>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</si>
  <si>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</si>
  <si>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</si>
  <si>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</si>
  <si>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</si>
  <si>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</si>
  <si>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</si>
  <si>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</si>
  <si>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</si>
  <si>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</si>
  <si>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</si>
  <si>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</si>
  <si>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</si>
  <si>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</si>
  <si>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</si>
  <si>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</si>
  <si>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</si>
  <si>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</si>
  <si>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</si>
  <si>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</si>
  <si>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</si>
  <si>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</si>
  <si>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</si>
  <si>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</si>
  <si>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</si>
  <si>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</si>
  <si>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</si>
  <si>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</si>
  <si>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</si>
  <si>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</si>
  <si>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</si>
  <si>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</si>
  <si>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</si>
  <si>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</si>
  <si>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</si>
  <si>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</si>
  <si>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</si>
  <si>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</si>
  <si>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</si>
  <si>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</si>
  <si>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</si>
  <si>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</si>
  <si>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</si>
  <si>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</si>
  <si>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</si>
  <si>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</si>
  <si>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</si>
  <si>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</si>
  <si>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</si>
  <si>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</si>
  <si>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</si>
  <si>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</si>
  <si>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</si>
  <si>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</si>
  <si>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</si>
  <si>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</si>
  <si>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</si>
  <si>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</si>
  <si>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</si>
  <si>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</si>
  <si>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</si>
  <si>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</si>
  <si>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</si>
  <si>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</si>
  <si>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</si>
  <si>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</si>
  <si>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</si>
  <si>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</si>
  <si>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</si>
  <si>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</si>
  <si>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</si>
  <si>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</si>
  <si>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</si>
  <si>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</si>
  <si>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</si>
  <si>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</si>
  <si>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</si>
  <si>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</si>
  <si>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</si>
  <si>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</si>
  <si>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</si>
  <si>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</si>
  <si>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</si>
  <si>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</si>
  <si>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</si>
  <si>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</si>
  <si>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</si>
  <si>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</si>
  <si>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</si>
  <si>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</si>
  <si>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</si>
  <si>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</si>
  <si>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</si>
  <si>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</si>
  <si>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</si>
  <si>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</si>
  <si>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</si>
  <si>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</si>
  <si>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</si>
  <si>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</si>
  <si>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</si>
  <si>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</si>
  <si>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</si>
  <si>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</si>
  <si>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</si>
  <si>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</si>
  <si>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</si>
  <si>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</si>
  <si>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</si>
  <si>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</si>
  <si>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</si>
  <si>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</si>
  <si>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</si>
  <si>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</si>
  <si>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</si>
  <si>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</si>
  <si>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</si>
  <si>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</si>
  <si>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</si>
  <si>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</si>
  <si>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</si>
  <si>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</si>
  <si>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</si>
  <si>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</si>
  <si>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</si>
  <si>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</si>
  <si>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</si>
  <si>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</si>
  <si>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</si>
  <si>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</si>
  <si>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</si>
  <si>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</si>
  <si>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</si>
  <si>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</si>
  <si>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</si>
  <si>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</si>
  <si>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</si>
  <si>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</si>
  <si>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</si>
  <si>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</si>
  <si>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</si>
  <si>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</si>
  <si>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</si>
  <si>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</si>
  <si>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</si>
  <si>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</si>
  <si>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</si>
  <si>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</si>
  <si>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</si>
  <si>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</si>
  <si>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</si>
  <si>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</si>
  <si>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</si>
  <si>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</si>
  <si>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</si>
  <si>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</si>
  <si>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</si>
  <si>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</si>
  <si>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</si>
  <si>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</si>
  <si>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</si>
  <si>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</si>
  <si>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</si>
  <si>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</si>
  <si>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</si>
  <si>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</si>
  <si>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</si>
  <si>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</si>
  <si>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</si>
  <si>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</si>
  <si>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</si>
  <si>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</si>
  <si>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</si>
  <si>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</si>
  <si>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</si>
  <si>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</si>
  <si>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</si>
  <si>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</si>
  <si>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</si>
  <si>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</si>
  <si>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</si>
  <si>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</si>
  <si>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</si>
  <si>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</si>
  <si>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</si>
  <si>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</si>
  <si>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</si>
  <si>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</si>
  <si>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</si>
  <si>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</si>
  <si>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</si>
  <si>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</si>
  <si>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</si>
  <si>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</si>
  <si>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</si>
  <si>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</si>
  <si>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</si>
  <si>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</si>
  <si>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</si>
  <si>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</si>
  <si>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</si>
  <si>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</si>
  <si>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</si>
  <si>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</si>
  <si>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</si>
  <si>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</si>
  <si>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</si>
  <si>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</si>
  <si>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</si>
  <si>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</si>
  <si>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</si>
  <si>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</si>
  <si>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</si>
  <si>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</si>
  <si>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</si>
  <si>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</si>
  <si>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541 Bi-CA</t>
  </si>
  <si>
    <t>DHL</t>
  </si>
  <si>
    <t>CHL</t>
  </si>
  <si>
    <t>EN</t>
  </si>
  <si>
    <t>EOF</t>
  </si>
  <si>
    <t>IOF</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</si>
  <si>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</si>
  <si>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</si>
  <si>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</si>
  <si>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</si>
  <si>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</si>
  <si>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</si>
  <si>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</si>
  <si>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</si>
  <si>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</si>
  <si>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</si>
  <si>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</si>
  <si>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</si>
  <si>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</si>
  <si>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</si>
  <si>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</si>
  <si>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</si>
  <si>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</si>
  <si>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</si>
  <si>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</si>
  <si>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</si>
  <si>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</si>
  <si>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</si>
  <si>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</si>
  <si>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</si>
  <si>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</si>
  <si>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</si>
  <si>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</si>
  <si>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</si>
  <si>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</si>
  <si>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</si>
  <si>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352 BI</t>
  </si>
  <si>
    <t>253 Bi</t>
  </si>
  <si>
    <t>442 Bi CA</t>
  </si>
  <si>
    <t>P. Trivadi</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</si>
  <si>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</si>
  <si>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</si>
  <si>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</si>
  <si>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</si>
  <si>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</si>
  <si>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</si>
  <si>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</si>
  <si>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</si>
  <si>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</si>
  <si>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</si>
  <si>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</si>
  <si>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</si>
  <si>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</si>
  <si>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</si>
  <si>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</si>
  <si>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</si>
  <si>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</si>
  <si>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</si>
  <si>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</si>
  <si>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</si>
  <si>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</si>
  <si>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</si>
  <si>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</si>
  <si>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</si>
  <si>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</si>
  <si>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</si>
  <si>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</si>
  <si>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</si>
  <si>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</si>
  <si>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</si>
  <si>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</si>
  <si>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</si>
  <si>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</si>
  <si>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</si>
  <si>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</si>
  <si>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</si>
  <si>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</si>
  <si>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</si>
  <si>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</si>
  <si>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</si>
  <si>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</si>
  <si>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</si>
  <si>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</si>
  <si>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</si>
  <si>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</si>
  <si>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</si>
  <si>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</si>
  <si>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</si>
  <si>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</si>
  <si>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</si>
  <si>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</si>
  <si>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</si>
  <si>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</si>
  <si>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</si>
  <si>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Fuera o Neutral</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</si>
  <si>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</si>
  <si>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</si>
  <si>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</si>
  <si>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</si>
  <si>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</si>
  <si>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</si>
  <si>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</si>
  <si>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</si>
  <si>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</si>
  <si>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</si>
  <si>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</si>
  <si>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</si>
  <si>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</si>
  <si>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</si>
  <si>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</si>
  <si>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</si>
  <si>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</si>
  <si>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</si>
  <si>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</si>
  <si>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</si>
  <si>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</si>
  <si>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</si>
  <si>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</si>
  <si>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</si>
  <si>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</si>
  <si>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</si>
  <si>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</si>
  <si>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</si>
  <si>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</si>
  <si>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</si>
  <si>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</si>
  <si>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</si>
  <si>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</si>
  <si>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</si>
  <si>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</si>
  <si>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</si>
  <si>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</si>
  <si>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</si>
  <si>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</si>
  <si>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</si>
  <si>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</si>
  <si>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#22</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</si>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</sst>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s>
  <fonts count="88"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s>
  <fills count="67">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685">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171" fontId="36" fillId="0" borderId="1" xfId="3" applyNumberFormat="1" applyFont="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0" fontId="22" fillId="4" borderId="1" xfId="4" applyFont="1" applyFill="1" applyBorder="1" applyAlignment="1">
      <alignment horizontal="center"/>
    </xf>
    <xf numFmtId="0" fontId="2" fillId="4" borderId="1" xfId="0" applyFont="1" applyFill="1" applyBorder="1"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0" fontId="0" fillId="0" borderId="0" xfId="0" applyAlignment="1">
      <alignment horizontal="center"/>
    </xf>
    <xf numFmtId="168" fontId="49" fillId="24" borderId="1" xfId="3" applyNumberFormat="1" applyFont="1" applyFill="1" applyBorder="1" applyAlignment="1">
      <alignment horizontal="right" vertical="center"/>
    </xf>
    <xf numFmtId="168" fontId="50"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2" fontId="64" fillId="41" borderId="0" xfId="4" applyNumberFormat="1" applyFont="1" applyFill="1" applyBorder="1" applyAlignment="1">
      <alignment horizontal="right"/>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0"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78">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zoomScale="110" zoomScaleNormal="110" workbookViewId="0">
      <pane xSplit="9" ySplit="3" topLeftCell="J4" activePane="bottomRight" state="frozen"/>
      <selection pane="topRight" activeCell="J1" sqref="J1"/>
      <selection pane="bottomLeft" activeCell="A5" sqref="A5"/>
      <selection pane="bottomRight" activeCell="A32" sqref="A32"/>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82" bestFit="1" customWidth="1"/>
    <col min="15" max="15" width="10.42578125" style="310" bestFit="1" customWidth="1"/>
    <col min="16" max="16" width="5.5703125" style="310" bestFit="1" customWidth="1"/>
    <col min="17" max="17" width="4.140625" style="153" bestFit="1" customWidth="1"/>
    <col min="18" max="19" width="5.7109375" style="191"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85546875" bestFit="1" customWidth="1"/>
    <col min="34" max="34" width="6.5703125" style="47" bestFit="1" customWidth="1"/>
    <col min="35" max="35" width="7.5703125" style="47" bestFit="1" customWidth="1"/>
    <col min="36" max="36" width="7.5703125" bestFit="1" customWidth="1"/>
    <col min="37" max="38" width="6.5703125" style="47" bestFit="1" customWidth="1"/>
    <col min="39" max="40" width="7" style="47"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8"/>
      <c r="D1" s="122">
        <f ca="1">TODAY()</f>
        <v>43644</v>
      </c>
      <c r="E1" s="639">
        <v>41471</v>
      </c>
      <c r="F1" s="639"/>
      <c r="G1" s="639"/>
      <c r="H1" s="73"/>
      <c r="I1" s="73"/>
      <c r="J1" s="73"/>
      <c r="K1" s="74"/>
      <c r="L1" s="73"/>
      <c r="M1" s="74"/>
      <c r="N1" s="74"/>
      <c r="O1" s="74"/>
      <c r="P1" s="74"/>
      <c r="Q1" s="278"/>
      <c r="R1" s="74"/>
      <c r="S1" s="74"/>
      <c r="T1" s="73"/>
      <c r="U1" s="73"/>
      <c r="V1" s="73"/>
      <c r="W1" s="73"/>
      <c r="X1" s="104"/>
      <c r="Y1" s="73"/>
      <c r="Z1" s="73"/>
      <c r="AA1" s="73"/>
      <c r="AB1" s="73"/>
      <c r="AC1" s="73"/>
      <c r="AD1" s="73"/>
      <c r="AE1" s="104"/>
      <c r="AH1" s="104"/>
      <c r="AI1" s="104"/>
      <c r="AJ1" s="73"/>
      <c r="AK1" s="104"/>
      <c r="AL1" s="104"/>
      <c r="AM1" s="104"/>
      <c r="AN1" s="104"/>
      <c r="AO1" s="73"/>
      <c r="AP1" s="73"/>
      <c r="AQ1" s="73"/>
      <c r="AR1" s="73"/>
      <c r="AS1" s="73"/>
      <c r="AT1" s="73"/>
      <c r="AU1" s="73"/>
      <c r="AV1" s="73"/>
      <c r="AW1" s="73"/>
      <c r="AX1" s="73"/>
      <c r="AY1" s="73"/>
      <c r="AZ1" s="73"/>
      <c r="BA1" s="73"/>
      <c r="BB1" s="73"/>
      <c r="BC1" s="73"/>
      <c r="BD1" s="73"/>
      <c r="BE1" s="73"/>
      <c r="BF1" s="73"/>
    </row>
    <row r="2" spans="1:63" s="343" customFormat="1" x14ac:dyDescent="0.25">
      <c r="A2" s="343">
        <v>16</v>
      </c>
      <c r="B2" s="344"/>
      <c r="C2" s="345"/>
      <c r="D2" s="346"/>
      <c r="E2" s="347"/>
      <c r="F2" s="347"/>
      <c r="I2" s="348">
        <f>AVERAGE(I4:I27)</f>
        <v>7.9666666666666659</v>
      </c>
      <c r="J2" s="347"/>
      <c r="K2" s="347"/>
      <c r="M2" s="348">
        <f>AVERAGE(M4:M27)</f>
        <v>5.1875</v>
      </c>
      <c r="N2" s="347"/>
      <c r="O2" s="347"/>
      <c r="P2" s="347"/>
      <c r="Q2" s="348">
        <f>AVERAGE(Q4:Q27)</f>
        <v>5.291666666666667</v>
      </c>
      <c r="R2" s="349">
        <f>AVERAGE(R4:R27)</f>
        <v>0.86680111680603333</v>
      </c>
      <c r="S2" s="349">
        <f>AVERAGE(S4:S27)</f>
        <v>0.9366976469364795</v>
      </c>
      <c r="T2" s="350">
        <f>AVERAGE(T4:T27)</f>
        <v>15082.916666666666</v>
      </c>
      <c r="U2" s="350"/>
      <c r="V2" s="350">
        <f>AVERAGE(V4:V27)</f>
        <v>3431.5</v>
      </c>
      <c r="W2" s="351"/>
      <c r="X2" s="352">
        <f>(X4+X5)/2</f>
        <v>12.308333333333334</v>
      </c>
      <c r="Y2" s="352">
        <f>AVERAGE(Y4:Y12)</f>
        <v>10.095543209876542</v>
      </c>
      <c r="Z2" s="352">
        <f>AVERAGE(Z13:Z18)</f>
        <v>7.6185185185185196</v>
      </c>
      <c r="AA2" s="352">
        <f>AVERAGE(AA19:AA22)</f>
        <v>4</v>
      </c>
      <c r="AB2" s="352">
        <f>AVERAGE(AB5:AB27)</f>
        <v>6.6465217391304341</v>
      </c>
      <c r="AC2" s="352">
        <f>AVERAGE(AC23:AC27)</f>
        <v>6.35</v>
      </c>
      <c r="AD2" s="352">
        <f>AVERAGE(AD4:AD27)</f>
        <v>10.928796296296296</v>
      </c>
      <c r="AE2" s="351"/>
      <c r="AH2" s="351"/>
      <c r="AI2" s="351"/>
      <c r="AJ2" s="351"/>
      <c r="AK2" s="351"/>
      <c r="AL2" s="351"/>
      <c r="AM2" s="351"/>
      <c r="AN2" s="351"/>
    </row>
    <row r="3" spans="1:63" x14ac:dyDescent="0.25">
      <c r="A3" s="94" t="s">
        <v>180</v>
      </c>
      <c r="B3" s="94" t="s">
        <v>100</v>
      </c>
      <c r="C3" s="95" t="s">
        <v>298</v>
      </c>
      <c r="D3" s="96" t="s">
        <v>71</v>
      </c>
      <c r="E3" s="94" t="s">
        <v>72</v>
      </c>
      <c r="F3" s="94" t="s">
        <v>61</v>
      </c>
      <c r="G3" s="94" t="s">
        <v>74</v>
      </c>
      <c r="H3" s="94" t="s">
        <v>75</v>
      </c>
      <c r="I3" s="94" t="s">
        <v>68</v>
      </c>
      <c r="J3" s="94" t="s">
        <v>334</v>
      </c>
      <c r="K3" s="97" t="s">
        <v>299</v>
      </c>
      <c r="L3" s="97" t="s">
        <v>300</v>
      </c>
      <c r="M3" s="94" t="s">
        <v>76</v>
      </c>
      <c r="N3" s="94" t="s">
        <v>290</v>
      </c>
      <c r="O3" s="94" t="s">
        <v>406</v>
      </c>
      <c r="P3" s="94" t="s">
        <v>324</v>
      </c>
      <c r="Q3" s="94" t="s">
        <v>267</v>
      </c>
      <c r="R3" s="194" t="s">
        <v>322</v>
      </c>
      <c r="S3" s="194" t="s">
        <v>323</v>
      </c>
      <c r="T3" s="94" t="s">
        <v>73</v>
      </c>
      <c r="U3" s="94" t="s">
        <v>279</v>
      </c>
      <c r="V3" s="94" t="s">
        <v>90</v>
      </c>
      <c r="W3" s="94" t="s">
        <v>194</v>
      </c>
      <c r="X3" s="94" t="s">
        <v>106</v>
      </c>
      <c r="Y3" s="94" t="s">
        <v>77</v>
      </c>
      <c r="Z3" s="94" t="s">
        <v>78</v>
      </c>
      <c r="AA3" s="94" t="s">
        <v>79</v>
      </c>
      <c r="AB3" s="94" t="s">
        <v>80</v>
      </c>
      <c r="AC3" s="94" t="s">
        <v>81</v>
      </c>
      <c r="AD3" s="94" t="s">
        <v>74</v>
      </c>
      <c r="AE3" s="94" t="s">
        <v>212</v>
      </c>
      <c r="AF3" s="121" t="s">
        <v>429</v>
      </c>
      <c r="AG3" s="121" t="s">
        <v>430</v>
      </c>
      <c r="AH3" s="121" t="s">
        <v>375</v>
      </c>
      <c r="AI3" s="121" t="s">
        <v>376</v>
      </c>
      <c r="AJ3" s="121" t="s">
        <v>226</v>
      </c>
      <c r="AK3" s="121" t="s">
        <v>227</v>
      </c>
      <c r="AL3" s="121" t="s">
        <v>228</v>
      </c>
      <c r="AM3" s="121" t="s">
        <v>265</v>
      </c>
      <c r="AN3" s="121" t="s">
        <v>266</v>
      </c>
      <c r="AO3" s="94" t="s">
        <v>357</v>
      </c>
      <c r="AP3" s="94" t="s">
        <v>358</v>
      </c>
      <c r="AQ3" s="94" t="s">
        <v>359</v>
      </c>
      <c r="AR3" s="156" t="s">
        <v>417</v>
      </c>
      <c r="AS3" s="156" t="s">
        <v>427</v>
      </c>
      <c r="AT3" s="156" t="s">
        <v>418</v>
      </c>
      <c r="AU3" s="156" t="s">
        <v>419</v>
      </c>
      <c r="AV3" s="156" t="s">
        <v>420</v>
      </c>
      <c r="AW3" s="156" t="s">
        <v>421</v>
      </c>
      <c r="AX3" s="156" t="s">
        <v>371</v>
      </c>
      <c r="AY3" s="156" t="s">
        <v>422</v>
      </c>
      <c r="AZ3" s="156" t="s">
        <v>423</v>
      </c>
      <c r="BA3" s="156" t="s">
        <v>362</v>
      </c>
      <c r="BB3" s="156" t="s">
        <v>424</v>
      </c>
      <c r="BC3" s="156" t="s">
        <v>304</v>
      </c>
      <c r="BD3" s="156" t="s">
        <v>425</v>
      </c>
      <c r="BE3" s="156" t="s">
        <v>426</v>
      </c>
      <c r="BF3" s="156" t="s">
        <v>277</v>
      </c>
      <c r="BG3" s="156" t="s">
        <v>389</v>
      </c>
      <c r="BH3" s="326" t="s">
        <v>432</v>
      </c>
    </row>
    <row r="4" spans="1:63" x14ac:dyDescent="0.25">
      <c r="A4" s="136" t="s">
        <v>170</v>
      </c>
      <c r="B4" s="136" t="s">
        <v>1</v>
      </c>
      <c r="C4" s="137">
        <f ca="1">((34*112)-(E4*112)-(F4))/112</f>
        <v>-1.0535714285714286</v>
      </c>
      <c r="D4" s="303" t="s">
        <v>353</v>
      </c>
      <c r="E4" s="138">
        <v>35</v>
      </c>
      <c r="F4" s="143">
        <f ca="1">-42406+$D$1-112-112-112-112-112-112-112-112-112-112-112</f>
        <v>6</v>
      </c>
      <c r="G4" s="139"/>
      <c r="H4" s="318">
        <v>6</v>
      </c>
      <c r="I4" s="102">
        <v>23.7</v>
      </c>
      <c r="J4" s="190">
        <f>LOG(I4+1)*4/3</f>
        <v>1.8569292710128877</v>
      </c>
      <c r="K4" s="98">
        <f t="shared" ref="K4" si="0">(H4)*(H4)*(I4)</f>
        <v>853.19999999999993</v>
      </c>
      <c r="L4" s="98">
        <f t="shared" ref="L4" si="1">(H4+1)*(H4+1)*I4</f>
        <v>1161.3</v>
      </c>
      <c r="M4" s="140">
        <v>5.6</v>
      </c>
      <c r="N4" s="183">
        <f>M4*10+19</f>
        <v>75</v>
      </c>
      <c r="O4" s="312">
        <v>42468</v>
      </c>
      <c r="P4" s="313">
        <f ca="1">IF((TODAY()-O4)&gt;335,1,((TODAY()-O4)^0.64)/(336^0.64))</f>
        <v>1</v>
      </c>
      <c r="Q4" s="183">
        <v>5</v>
      </c>
      <c r="R4" s="204">
        <f>(Q4/7)^0.5</f>
        <v>0.84515425472851657</v>
      </c>
      <c r="S4" s="204">
        <f>IF(Q4=7,1,((Q4+0.99)/7)^0.5)</f>
        <v>0.92504826128926143</v>
      </c>
      <c r="T4" s="116">
        <v>39790</v>
      </c>
      <c r="U4" s="276">
        <f t="shared" ref="U4:U22" si="2">T4-BG4</f>
        <v>-1220</v>
      </c>
      <c r="V4" s="116">
        <v>13512</v>
      </c>
      <c r="W4" s="109">
        <f t="shared" ref="W4:W28" si="3">T4/V4</f>
        <v>2.9447898164594433</v>
      </c>
      <c r="X4" s="189">
        <f>16+12/18</f>
        <v>16.666666666666668</v>
      </c>
      <c r="Y4" s="190">
        <v>11.95</v>
      </c>
      <c r="Z4" s="189">
        <f>2+0.01+0.01+0.01+0.01+0.01+0.01+0.01</f>
        <v>2.0699999999999985</v>
      </c>
      <c r="AA4" s="190">
        <f>1.94+0.03+0.03+0.03+0.03+0.03+0.03+0.02+0.01</f>
        <v>2.149999999999999</v>
      </c>
      <c r="AB4" s="189">
        <v>0.95</v>
      </c>
      <c r="AC4" s="190">
        <v>0</v>
      </c>
      <c r="AD4" s="189">
        <f>18+0.2</f>
        <v>18.2</v>
      </c>
      <c r="AE4" s="322">
        <v>1379</v>
      </c>
      <c r="AF4" s="258">
        <f ca="1">(Z4+P4+J4)*(Q4/7)^0.5</f>
        <v>4.1640152361430092</v>
      </c>
      <c r="AG4" s="258">
        <f ca="1">(Z4+P4+J4)*(IF(Q4=7, (Q4/7)^0.5, ((Q4+1)/7)^0.5))</f>
        <v>4.5614501492614545</v>
      </c>
      <c r="AH4" s="109">
        <f ca="1">(((Y4+P4+J4)+(AB4+P4+J4)*2)/8)*(Q4/7)^0.5</f>
        <v>2.3686280268193625</v>
      </c>
      <c r="AI4" s="109">
        <f ca="1">(1.66*(AC4+J4+P4)+0.55*(AD4+J4+P4)-7.6)*(Q4/7)^0.5</f>
        <v>7.3729682566652341</v>
      </c>
      <c r="AJ4" s="109">
        <f ca="1">((AD4+J4+P4)*0.7+(AC4+J4+P4)*0.3)*(Q4/7)^0.5</f>
        <v>13.18181113409628</v>
      </c>
      <c r="AK4" s="109">
        <f ca="1">(0.5*(AC4+P4+J4)+ 0.3*(AD4+P4+J4))/10</f>
        <v>0.77455434168103099</v>
      </c>
      <c r="AL4" s="109">
        <f ca="1">(0.4*(Y4+P4+J4)+0.3*(AD4+P4+J4))/10</f>
        <v>1.2239850489709021</v>
      </c>
      <c r="AM4" s="105">
        <f ca="1">(AD4+P4+(LOG(I4)*4/3))*(Q4/7)^0.5</f>
        <v>17.776127575869424</v>
      </c>
      <c r="AN4" s="105">
        <f ca="1">(AD4+P4+(LOG(I4)*4/3))*(IF(Q4=7, (Q4/7)^0.5, ((Q4+1)/7)^0.5))</f>
        <v>19.472772116786619</v>
      </c>
      <c r="AO4" s="183">
        <v>2</v>
      </c>
      <c r="AP4" s="183">
        <v>2</v>
      </c>
      <c r="AQ4" s="248">
        <f>IF(AO4=4,IF(AP4=0,0.137+0.0697,0.137+0.02),IF(AO4=3,IF(AP4=0,0.0958+0.0697,0.0958+0.02),IF(AO4=2,IF(AP4=0,0.0415+0.0697,0.0415+0.02),IF(AO4=1,IF(AP4=0,0.0294+0.0697,0.0294+0.02),IF(AO4=0,IF(AP4=0,0.0063+0.0697,0.0063+0.02))))))</f>
        <v>6.1499999999999999E-2</v>
      </c>
      <c r="AR4" s="324"/>
      <c r="AS4" s="324"/>
      <c r="AT4" s="324"/>
      <c r="AU4" s="324"/>
      <c r="AV4" s="248"/>
      <c r="AW4" s="248"/>
      <c r="AX4" s="248"/>
      <c r="AY4" s="248"/>
      <c r="AZ4" s="248"/>
      <c r="BA4" s="248"/>
      <c r="BB4" s="248"/>
      <c r="BC4" s="248"/>
      <c r="BD4" s="248"/>
      <c r="BE4" s="248"/>
      <c r="BF4" s="248"/>
      <c r="BG4" s="116">
        <v>41010</v>
      </c>
      <c r="BH4" s="327"/>
      <c r="BJ4" s="141"/>
      <c r="BK4" s="144"/>
    </row>
    <row r="5" spans="1:63" s="81" customFormat="1" x14ac:dyDescent="0.25">
      <c r="A5" s="136" t="s">
        <v>440</v>
      </c>
      <c r="B5" s="136" t="s">
        <v>1</v>
      </c>
      <c r="C5" s="137">
        <f ca="1">((34*112)-(E5*112)-(F5))/112</f>
        <v>-5.1339285714285712</v>
      </c>
      <c r="D5" s="303" t="s">
        <v>93</v>
      </c>
      <c r="E5" s="138">
        <v>39</v>
      </c>
      <c r="F5" s="143">
        <f ca="1">82-41471+$D$1-112-112-112-112-112-112-112-112-112-112-112-112-112-112-112-112-112-112-112-112</f>
        <v>15</v>
      </c>
      <c r="G5" s="139" t="s">
        <v>220</v>
      </c>
      <c r="H5" s="135">
        <v>3</v>
      </c>
      <c r="I5" s="102">
        <v>8.4</v>
      </c>
      <c r="J5" s="190">
        <f t="shared" ref="J5:J22" si="4">LOG(I5+1)*4/3</f>
        <v>1.2975038047995981</v>
      </c>
      <c r="K5" s="98">
        <f t="shared" ref="K5:K22" si="5">(H5)*(H5)*(I5)</f>
        <v>75.600000000000009</v>
      </c>
      <c r="L5" s="98">
        <f t="shared" ref="L5:L22" si="6">(H5+1)*(H5+1)*I5</f>
        <v>134.4</v>
      </c>
      <c r="M5" s="140">
        <v>3.6</v>
      </c>
      <c r="N5" s="183">
        <f t="shared" ref="N5:N22" si="7">M5*10+19</f>
        <v>55</v>
      </c>
      <c r="O5" s="183" t="s">
        <v>256</v>
      </c>
      <c r="P5" s="313">
        <v>1.5</v>
      </c>
      <c r="Q5" s="183">
        <v>4</v>
      </c>
      <c r="R5" s="204">
        <f t="shared" ref="R5:R22" si="8">(Q5/7)^0.5</f>
        <v>0.7559289460184544</v>
      </c>
      <c r="S5" s="204">
        <f t="shared" ref="S5:S22" si="9">IF(Q5=7,1,((Q5+0.99)/7)^0.5)</f>
        <v>0.84430867747355465</v>
      </c>
      <c r="T5" s="116">
        <v>630</v>
      </c>
      <c r="U5" s="276">
        <f t="shared" si="2"/>
        <v>-10</v>
      </c>
      <c r="V5" s="116">
        <v>450</v>
      </c>
      <c r="W5" s="109">
        <f t="shared" si="3"/>
        <v>1.4</v>
      </c>
      <c r="X5" s="189">
        <v>7.95</v>
      </c>
      <c r="Y5" s="190">
        <v>7.95</v>
      </c>
      <c r="Z5" s="189">
        <v>0.95</v>
      </c>
      <c r="AA5" s="190">
        <v>0.95</v>
      </c>
      <c r="AB5" s="189">
        <v>1.95</v>
      </c>
      <c r="AC5" s="190">
        <v>0</v>
      </c>
      <c r="AD5" s="189">
        <v>14.95</v>
      </c>
      <c r="AE5" s="322">
        <v>495</v>
      </c>
      <c r="AF5" s="258">
        <f t="shared" ref="AF5:AF22" si="10">(Z5+P5+J5)*(Q5/7)^0.5</f>
        <v>2.8328466013623084</v>
      </c>
      <c r="AG5" s="258">
        <f t="shared" ref="AG5:AG22" si="11">(Z5+P5+J5)*(IF(Q5=7, (Q5/7)^0.5, ((Q5+1)/7)^0.5))</f>
        <v>3.1672187852376847</v>
      </c>
      <c r="AH5" s="109">
        <f t="shared" ref="AH5:AH22" si="12">(((Y5+P5+J5)+(AB5+P5+J5)*2)/8)*(Q5/7)^0.5</f>
        <v>1.9127375397816266</v>
      </c>
      <c r="AI5" s="109">
        <f t="shared" ref="AI5:AI22" si="13">(1.66*(AC5+J5+P5)+0.55*(AD5+J5+P5)-7.6)*(Q5/7)^0.5</f>
        <v>5.1440839357414436</v>
      </c>
      <c r="AJ5" s="109">
        <f t="shared" ref="AJ5:AJ22" si="14">((AD5+J5+P5)*0.7+(AC5+J5+P5)*0.3)*(Q5/7)^0.5</f>
        <v>10.025510522727901</v>
      </c>
      <c r="AK5" s="109">
        <f t="shared" ref="AK5:AK22" si="15">(0.5*(AC5+P5+J5)+ 0.3*(AD5+P5+J5))/10</f>
        <v>0.67230030438396782</v>
      </c>
      <c r="AL5" s="109">
        <f t="shared" ref="AL5:AL22" si="16">(0.4*(Y5+P5+J5)+0.3*(AD5+P5+J5))/10</f>
        <v>0.96232526633597182</v>
      </c>
      <c r="AM5" s="105">
        <f t="shared" ref="AM5:AM22" si="17">(AD5+P5+(LOG(I5)*4/3))*(Q5/7)^0.5</f>
        <v>13.366617117389504</v>
      </c>
      <c r="AN5" s="105">
        <f t="shared" ref="AN5:AN22" si="18">(AD5+P5+(LOG(I5)*4/3))*(IF(Q5=7, (Q5/7)^0.5, ((Q5+1)/7)^0.5))</f>
        <v>14.94433225184761</v>
      </c>
      <c r="AO5" s="183">
        <v>4</v>
      </c>
      <c r="AP5" s="183">
        <v>3</v>
      </c>
      <c r="AQ5" s="248">
        <f t="shared" ref="AQ5:AQ22" si="19">IF(AO5=4,IF(AP5=0,0.137+0.0697,0.137+0.02),IF(AO5=3,IF(AP5=0,0.0958+0.0697,0.0958+0.02),IF(AO5=2,IF(AP5=0,0.0415+0.0697,0.0415+0.02),IF(AO5=1,IF(AP5=0,0.0294+0.0697,0.0294+0.02),IF(AO5=0,IF(AP5=0,0.0063+0.0697,0.0063+0.02))))))</f>
        <v>0.157</v>
      </c>
      <c r="AR5" s="324"/>
      <c r="AS5" s="324"/>
      <c r="AT5" s="324"/>
      <c r="AU5" s="324"/>
      <c r="AV5" s="248"/>
      <c r="AW5" s="248"/>
      <c r="AX5" s="248"/>
      <c r="AY5" s="248"/>
      <c r="AZ5" s="248"/>
      <c r="BA5" s="248"/>
      <c r="BB5" s="248"/>
      <c r="BC5" s="248"/>
      <c r="BD5" s="248"/>
      <c r="BE5" s="248"/>
      <c r="BF5" s="248"/>
      <c r="BG5" s="116">
        <v>640</v>
      </c>
      <c r="BH5" s="327"/>
      <c r="BJ5" s="141"/>
      <c r="BK5" s="144"/>
    </row>
    <row r="6" spans="1:63" s="69" customFormat="1" x14ac:dyDescent="0.25">
      <c r="A6" s="136" t="s">
        <v>222</v>
      </c>
      <c r="B6" s="136" t="s">
        <v>2</v>
      </c>
      <c r="C6" s="137">
        <f t="shared" ref="C6:C22" ca="1" si="20">((34*112)-(E6*112)-(F6))/112</f>
        <v>-2.1517857142857144</v>
      </c>
      <c r="D6" s="303" t="s">
        <v>95</v>
      </c>
      <c r="E6" s="138">
        <v>36</v>
      </c>
      <c r="F6" s="143">
        <f ca="1">84-41471+$D$1-112-112-112-112-112-112-112-112-112-112-112-112-112-112-112-112-112-112-112-112</f>
        <v>17</v>
      </c>
      <c r="G6" s="139"/>
      <c r="H6" s="142">
        <v>4</v>
      </c>
      <c r="I6" s="102">
        <v>18</v>
      </c>
      <c r="J6" s="190">
        <f t="shared" si="4"/>
        <v>1.7050048012704384</v>
      </c>
      <c r="K6" s="98">
        <f t="shared" si="5"/>
        <v>288</v>
      </c>
      <c r="L6" s="98">
        <f t="shared" si="6"/>
        <v>450</v>
      </c>
      <c r="M6" s="140">
        <v>4.8</v>
      </c>
      <c r="N6" s="183">
        <f t="shared" si="7"/>
        <v>67</v>
      </c>
      <c r="O6" s="183" t="s">
        <v>256</v>
      </c>
      <c r="P6" s="313">
        <v>1.5</v>
      </c>
      <c r="Q6" s="183">
        <v>5</v>
      </c>
      <c r="R6" s="204">
        <f t="shared" si="8"/>
        <v>0.84515425472851657</v>
      </c>
      <c r="S6" s="204">
        <f t="shared" si="9"/>
        <v>0.92504826128926143</v>
      </c>
      <c r="T6" s="116">
        <v>13260</v>
      </c>
      <c r="U6" s="276">
        <f t="shared" si="2"/>
        <v>-970</v>
      </c>
      <c r="V6" s="116">
        <v>2980</v>
      </c>
      <c r="W6" s="109">
        <f t="shared" si="3"/>
        <v>4.449664429530201</v>
      </c>
      <c r="X6" s="189">
        <v>0</v>
      </c>
      <c r="Y6" s="190">
        <v>11.95</v>
      </c>
      <c r="Z6" s="189">
        <v>12.95</v>
      </c>
      <c r="AA6" s="190">
        <v>8.9499999999999993</v>
      </c>
      <c r="AB6" s="189">
        <v>8.9499999999999993</v>
      </c>
      <c r="AC6" s="190">
        <v>1.95</v>
      </c>
      <c r="AD6" s="189">
        <f>10.7+0.5+0.5*77/90+0.5+0.45+0.45+0.4+0.35+0.35+0.3+0.35+0.3+0.3+0.3+0.25+0.25+0.2+0.2+0.2+0.2+0.2</f>
        <v>17.177777777777774</v>
      </c>
      <c r="AE6" s="322">
        <v>1578</v>
      </c>
      <c r="AF6" s="258">
        <f t="shared" si="10"/>
        <v>13.653471042953322</v>
      </c>
      <c r="AG6" s="258">
        <f t="shared" si="11"/>
        <v>14.956628156938242</v>
      </c>
      <c r="AH6" s="109">
        <f t="shared" si="12"/>
        <v>4.1692531045379155</v>
      </c>
      <c r="AI6" s="109">
        <f t="shared" si="13"/>
        <v>10.283700384961968</v>
      </c>
      <c r="AJ6" s="109">
        <f t="shared" si="14"/>
        <v>13.365649066204108</v>
      </c>
      <c r="AK6" s="109">
        <f t="shared" si="15"/>
        <v>0.86923371743496813</v>
      </c>
      <c r="AL6" s="109">
        <f t="shared" si="16"/>
        <v>1.2176836694222639</v>
      </c>
      <c r="AM6" s="105">
        <f t="shared" si="17"/>
        <v>17.200135222471665</v>
      </c>
      <c r="AN6" s="105">
        <f t="shared" si="18"/>
        <v>18.84180410697374</v>
      </c>
      <c r="AO6" s="183">
        <v>2</v>
      </c>
      <c r="AP6" s="183">
        <v>3</v>
      </c>
      <c r="AQ6" s="248">
        <f t="shared" si="19"/>
        <v>6.1499999999999999E-2</v>
      </c>
      <c r="AR6" s="324"/>
      <c r="AS6" s="324"/>
      <c r="AT6" s="324"/>
      <c r="AU6" s="324"/>
      <c r="AV6" s="248"/>
      <c r="AW6" s="248"/>
      <c r="AX6" s="248"/>
      <c r="AY6" s="248"/>
      <c r="AZ6" s="248"/>
      <c r="BA6" s="248"/>
      <c r="BB6" s="248"/>
      <c r="BC6" s="248"/>
      <c r="BD6" s="248"/>
      <c r="BE6" s="248"/>
      <c r="BF6" s="248"/>
      <c r="BG6" s="116">
        <v>14230</v>
      </c>
      <c r="BH6" s="327"/>
      <c r="BJ6" s="141"/>
      <c r="BK6" s="144"/>
    </row>
    <row r="7" spans="1:63" s="70" customFormat="1" x14ac:dyDescent="0.25">
      <c r="A7" s="136" t="s">
        <v>439</v>
      </c>
      <c r="B7" s="79" t="s">
        <v>2</v>
      </c>
      <c r="C7" s="137">
        <f t="shared" ca="1" si="20"/>
        <v>-2.0178571428571428</v>
      </c>
      <c r="D7" s="303" t="s">
        <v>98</v>
      </c>
      <c r="E7" s="57">
        <v>36</v>
      </c>
      <c r="F7" s="58">
        <f ca="1">69-41471+$D$1-112-112-112-112-112-112-112-112-112-112-112-112-112-112-112-112-112-112-112-112</f>
        <v>2</v>
      </c>
      <c r="G7" s="80"/>
      <c r="H7" s="135">
        <v>3</v>
      </c>
      <c r="I7" s="59">
        <v>11.8</v>
      </c>
      <c r="J7" s="190">
        <f t="shared" si="4"/>
        <v>1.4762799595304912</v>
      </c>
      <c r="K7" s="98">
        <f t="shared" si="5"/>
        <v>106.2</v>
      </c>
      <c r="L7" s="98">
        <f t="shared" si="6"/>
        <v>188.8</v>
      </c>
      <c r="M7" s="92">
        <v>4.9000000000000004</v>
      </c>
      <c r="N7" s="183">
        <f t="shared" si="7"/>
        <v>68</v>
      </c>
      <c r="O7" s="183" t="s">
        <v>256</v>
      </c>
      <c r="P7" s="313">
        <v>1.5</v>
      </c>
      <c r="Q7" s="184">
        <v>6</v>
      </c>
      <c r="R7" s="204">
        <f t="shared" si="8"/>
        <v>0.92582009977255142</v>
      </c>
      <c r="S7" s="204">
        <f t="shared" si="9"/>
        <v>0.99928545900129484</v>
      </c>
      <c r="T7" s="116">
        <v>4160</v>
      </c>
      <c r="U7" s="276">
        <f t="shared" si="2"/>
        <v>0</v>
      </c>
      <c r="V7" s="277">
        <v>1220</v>
      </c>
      <c r="W7" s="109">
        <f t="shared" si="3"/>
        <v>3.4098360655737703</v>
      </c>
      <c r="X7" s="189">
        <v>0</v>
      </c>
      <c r="Y7" s="190">
        <v>11.95</v>
      </c>
      <c r="Z7" s="189">
        <v>5.95</v>
      </c>
      <c r="AA7" s="190">
        <v>6.95</v>
      </c>
      <c r="AB7" s="189">
        <v>7.95</v>
      </c>
      <c r="AC7" s="190">
        <v>2.95</v>
      </c>
      <c r="AD7" s="189">
        <v>16</v>
      </c>
      <c r="AE7" s="322">
        <v>1091</v>
      </c>
      <c r="AF7" s="258">
        <f t="shared" si="10"/>
        <v>8.2641294027302461</v>
      </c>
      <c r="AG7" s="258">
        <f t="shared" si="11"/>
        <v>8.9262799595304916</v>
      </c>
      <c r="AH7" s="109">
        <f t="shared" si="12"/>
        <v>4.2563236507395308</v>
      </c>
      <c r="AI7" s="109">
        <f t="shared" si="13"/>
        <v>11.734379726387926</v>
      </c>
      <c r="AJ7" s="109">
        <f t="shared" si="14"/>
        <v>13.944035714834849</v>
      </c>
      <c r="AK7" s="109">
        <f t="shared" si="15"/>
        <v>0.86560239676243922</v>
      </c>
      <c r="AL7" s="109">
        <f t="shared" si="16"/>
        <v>1.1663395971671342</v>
      </c>
      <c r="AM7" s="105">
        <f t="shared" si="17"/>
        <v>17.525011621951062</v>
      </c>
      <c r="AN7" s="105">
        <f t="shared" si="18"/>
        <v>18.9291760097415</v>
      </c>
      <c r="AO7" s="184">
        <v>3</v>
      </c>
      <c r="AP7" s="184">
        <v>2</v>
      </c>
      <c r="AQ7" s="248">
        <f t="shared" si="19"/>
        <v>0.1158</v>
      </c>
      <c r="AR7" s="324"/>
      <c r="AS7" s="324"/>
      <c r="AT7" s="324"/>
      <c r="AU7" s="324"/>
      <c r="AV7" s="248"/>
      <c r="AW7" s="248"/>
      <c r="AX7" s="248"/>
      <c r="AY7" s="248"/>
      <c r="AZ7" s="248"/>
      <c r="BA7" s="248"/>
      <c r="BB7" s="248"/>
      <c r="BC7" s="248"/>
      <c r="BD7" s="248"/>
      <c r="BE7" s="248"/>
      <c r="BF7" s="248"/>
      <c r="BG7" s="116">
        <v>4160</v>
      </c>
      <c r="BH7" s="327"/>
      <c r="BJ7" s="141"/>
      <c r="BK7" s="144"/>
    </row>
    <row r="8" spans="1:63" s="82" customFormat="1" x14ac:dyDescent="0.25">
      <c r="A8" s="99" t="s">
        <v>216</v>
      </c>
      <c r="B8" s="79" t="s">
        <v>2</v>
      </c>
      <c r="C8" s="137">
        <f t="shared" ca="1" si="20"/>
        <v>1.7767857142857142</v>
      </c>
      <c r="D8" s="303" t="s">
        <v>258</v>
      </c>
      <c r="E8" s="57">
        <v>32</v>
      </c>
      <c r="F8" s="58">
        <f ca="1">75-41471+$D$1-24-112-10-112-112+6-112-112-112+45-112-112-112-112-112-112-112-112-112-112-112-112-112-112</f>
        <v>25</v>
      </c>
      <c r="G8" s="80"/>
      <c r="H8" s="142">
        <v>4</v>
      </c>
      <c r="I8" s="59">
        <v>6.3</v>
      </c>
      <c r="J8" s="190">
        <f t="shared" si="4"/>
        <v>1.1510971468272746</v>
      </c>
      <c r="K8" s="98">
        <f t="shared" si="5"/>
        <v>100.8</v>
      </c>
      <c r="L8" s="98">
        <f t="shared" si="6"/>
        <v>157.5</v>
      </c>
      <c r="M8" s="92">
        <v>6.3</v>
      </c>
      <c r="N8" s="183">
        <f t="shared" si="7"/>
        <v>82</v>
      </c>
      <c r="O8" s="183" t="s">
        <v>256</v>
      </c>
      <c r="P8" s="313">
        <v>1.5</v>
      </c>
      <c r="Q8" s="184">
        <v>5</v>
      </c>
      <c r="R8" s="204">
        <f t="shared" si="8"/>
        <v>0.84515425472851657</v>
      </c>
      <c r="S8" s="204">
        <f t="shared" si="9"/>
        <v>0.92504826128926143</v>
      </c>
      <c r="T8" s="277">
        <v>12360</v>
      </c>
      <c r="U8" s="276">
        <f t="shared" si="2"/>
        <v>-500</v>
      </c>
      <c r="V8" s="277">
        <v>1710</v>
      </c>
      <c r="W8" s="109">
        <f t="shared" si="3"/>
        <v>7.2280701754385968</v>
      </c>
      <c r="X8" s="189">
        <v>0</v>
      </c>
      <c r="Y8" s="190">
        <f>6.51+0.25+0.25+0.25+0.2+0.2+0.2+0.2+0.19+0.19+0.17+0.16+0.16+0.03+0.16+0.15*33/90+0.14+0.13+0.13*36/90+0.02+0.12*32/90+0.02+0.02+0.15*3/90</f>
        <v>9.6046666666666667</v>
      </c>
      <c r="Z8" s="189">
        <f>6.92+0.04+0.04+0.04+0.13+0.04+0.03+0.03+(0.25*30/90*0.5)+(0.25*60/90*0.16)+0.03+0.03+0.25*0.5*1/90+0.026+0.03+0.03+0.03+0.03+0.25*0.5+0.02+0.02+0.02+0.01+0.01+0.01</f>
        <v>7.7607222222222223</v>
      </c>
      <c r="AA8" s="190">
        <f>5.8+0.05+0.05+0.05+0.05+0.04+0.04+0.03+0.02+0.02+0.01</f>
        <v>6.1599999999999984</v>
      </c>
      <c r="AB8" s="189">
        <f>4.28+(0.4/3)+0.4+0.4+0.35+0.35+0.35+0.35+0.3+0.3+0.25+0.25+0.25+0.2+0.04+0.17+0.16+0.03+0.15+0.13+0.02</f>
        <v>8.8633333333333315</v>
      </c>
      <c r="AC8" s="190">
        <v>2.95</v>
      </c>
      <c r="AD8" s="189">
        <f>9+1*5/90+0.85+0.85*30/90+0.65+0.55+0.5+0.4+0.35+0.35+0.25+0.25*35/90</f>
        <v>13.33611111111111</v>
      </c>
      <c r="AE8" s="322">
        <v>988</v>
      </c>
      <c r="AF8" s="258">
        <f t="shared" si="10"/>
        <v>8.7995934392169612</v>
      </c>
      <c r="AG8" s="258">
        <f t="shared" si="11"/>
        <v>9.6394716470671877</v>
      </c>
      <c r="AH8" s="109">
        <f t="shared" si="12"/>
        <v>3.7276188442611371</v>
      </c>
      <c r="AI8" s="109">
        <f t="shared" si="13"/>
        <v>8.8663322590478515</v>
      </c>
      <c r="AJ8" s="109">
        <f t="shared" si="14"/>
        <v>10.878297281735897</v>
      </c>
      <c r="AK8" s="109">
        <f t="shared" si="15"/>
        <v>0.7596711050795153</v>
      </c>
      <c r="AL8" s="109">
        <f t="shared" si="16"/>
        <v>0.96984680027790904</v>
      </c>
      <c r="AM8" s="105">
        <f t="shared" si="17"/>
        <v>13.439557184310875</v>
      </c>
      <c r="AN8" s="105">
        <f t="shared" si="18"/>
        <v>14.722297265455362</v>
      </c>
      <c r="AO8" s="184">
        <v>3</v>
      </c>
      <c r="AP8" s="184">
        <v>2</v>
      </c>
      <c r="AQ8" s="248">
        <f t="shared" si="19"/>
        <v>0.1158</v>
      </c>
      <c r="AR8" s="324"/>
      <c r="AS8" s="324"/>
      <c r="AT8" s="324"/>
      <c r="AU8" s="324"/>
      <c r="AV8" s="248"/>
      <c r="AW8" s="248"/>
      <c r="AX8" s="248"/>
      <c r="AY8" s="248"/>
      <c r="AZ8" s="248"/>
      <c r="BA8" s="248"/>
      <c r="BB8" s="248"/>
      <c r="BC8" s="248"/>
      <c r="BD8" s="248"/>
      <c r="BE8" s="248"/>
      <c r="BF8" s="248"/>
      <c r="BG8" s="277">
        <v>12860</v>
      </c>
      <c r="BH8" s="328"/>
      <c r="BJ8" s="141"/>
      <c r="BK8" s="144"/>
    </row>
    <row r="9" spans="1:63" s="82" customFormat="1" x14ac:dyDescent="0.25">
      <c r="A9" s="136" t="s">
        <v>175</v>
      </c>
      <c r="B9" s="136" t="s">
        <v>2</v>
      </c>
      <c r="C9" s="137">
        <f t="shared" ca="1" si="20"/>
        <v>-1.8125</v>
      </c>
      <c r="D9" s="303" t="s">
        <v>373</v>
      </c>
      <c r="E9" s="138">
        <v>35</v>
      </c>
      <c r="F9" s="58">
        <f ca="1">46-41471+$D$1-112-112-112-112-112-112-112-112-112-112-112-112-112-112-112-112-112-112-112</f>
        <v>91</v>
      </c>
      <c r="G9" s="139" t="s">
        <v>96</v>
      </c>
      <c r="H9" s="135">
        <v>0</v>
      </c>
      <c r="I9" s="102">
        <v>17.100000000000001</v>
      </c>
      <c r="J9" s="190">
        <f t="shared" si="4"/>
        <v>1.6769047664922461</v>
      </c>
      <c r="K9" s="98">
        <f t="shared" si="5"/>
        <v>0</v>
      </c>
      <c r="L9" s="98">
        <f t="shared" si="6"/>
        <v>17.100000000000001</v>
      </c>
      <c r="M9" s="140">
        <v>5.0999999999999996</v>
      </c>
      <c r="N9" s="183">
        <f t="shared" si="7"/>
        <v>70</v>
      </c>
      <c r="O9" s="183" t="s">
        <v>256</v>
      </c>
      <c r="P9" s="313">
        <v>1.5</v>
      </c>
      <c r="Q9" s="183">
        <v>6</v>
      </c>
      <c r="R9" s="204">
        <f t="shared" si="8"/>
        <v>0.92582009977255142</v>
      </c>
      <c r="S9" s="204">
        <f t="shared" si="9"/>
        <v>0.99928545900129484</v>
      </c>
      <c r="T9" s="116">
        <v>26320</v>
      </c>
      <c r="U9" s="276">
        <f t="shared" si="2"/>
        <v>-1830</v>
      </c>
      <c r="V9" s="116">
        <v>5520</v>
      </c>
      <c r="W9" s="109">
        <f t="shared" si="3"/>
        <v>4.7681159420289854</v>
      </c>
      <c r="X9" s="189">
        <v>0</v>
      </c>
      <c r="Y9" s="190">
        <v>11.95</v>
      </c>
      <c r="Z9" s="189">
        <f>9.9+0.17+(0.17/90*26)+0.17+0.15+0.15+0.15+0.13+0.13+(1/8)+0.13+0.13+0.13*0.5+0.11+0.11+0.11*0.5+0.11*0.5+0.1*0.5+0.1*0.5+0.1+0.1+0.1*0.5+0.09+0.09*0.5+0.09*0.5+0.09*0.5+0.09*0.5+0.09*0.5+0.09*0.5+0.09*0.5+0.09*0.5+0.07*0.5</f>
        <v>12.614111111111114</v>
      </c>
      <c r="AA9" s="190">
        <v>12.95</v>
      </c>
      <c r="AB9" s="189">
        <v>10.95</v>
      </c>
      <c r="AC9" s="190">
        <v>5.95</v>
      </c>
      <c r="AD9" s="189">
        <f>10.8+0.67+0.55+0.55+0.45+0.45+0.4+0.4+0.35+0.35+0.33+0.33+0.3+0.3+0.25+0.25+0.2+0.2+0.2+0.2</f>
        <v>17.529999999999998</v>
      </c>
      <c r="AE9" s="322">
        <v>1965</v>
      </c>
      <c r="AF9" s="258">
        <f t="shared" si="10"/>
        <v>14.619639895312687</v>
      </c>
      <c r="AG9" s="258">
        <f t="shared" si="11"/>
        <v>15.79101587760336</v>
      </c>
      <c r="AH9" s="109">
        <f t="shared" si="12"/>
        <v>5.0203421551182625</v>
      </c>
      <c r="AI9" s="109">
        <f t="shared" si="13"/>
        <v>17.534532315357808</v>
      </c>
      <c r="AJ9" s="109">
        <f t="shared" si="14"/>
        <v>15.954569610284725</v>
      </c>
      <c r="AK9" s="109">
        <f t="shared" si="15"/>
        <v>1.0775523813193797</v>
      </c>
      <c r="AL9" s="109">
        <f t="shared" si="16"/>
        <v>1.226283333654457</v>
      </c>
      <c r="AM9" s="105">
        <f t="shared" si="17"/>
        <v>19.140399941261563</v>
      </c>
      <c r="AN9" s="105">
        <f t="shared" si="18"/>
        <v>20.673994813856204</v>
      </c>
      <c r="AO9" s="183">
        <v>1</v>
      </c>
      <c r="AP9" s="183">
        <v>2</v>
      </c>
      <c r="AQ9" s="248">
        <f t="shared" si="19"/>
        <v>4.9399999999999999E-2</v>
      </c>
      <c r="AR9" s="324"/>
      <c r="AS9" s="324"/>
      <c r="AT9" s="324"/>
      <c r="AU9" s="324"/>
      <c r="AV9" s="248"/>
      <c r="AW9" s="248"/>
      <c r="AX9" s="248"/>
      <c r="AY9" s="248"/>
      <c r="AZ9" s="248"/>
      <c r="BA9" s="248"/>
      <c r="BB9" s="248"/>
      <c r="BC9" s="248"/>
      <c r="BD9" s="248"/>
      <c r="BE9" s="248"/>
      <c r="BF9" s="248"/>
      <c r="BG9" s="116">
        <v>28150</v>
      </c>
      <c r="BH9" s="327"/>
      <c r="BJ9" s="141"/>
      <c r="BK9" s="144"/>
    </row>
    <row r="10" spans="1:63" s="82" customFormat="1" x14ac:dyDescent="0.25">
      <c r="A10" s="136" t="s">
        <v>173</v>
      </c>
      <c r="B10" s="79" t="s">
        <v>2</v>
      </c>
      <c r="C10" s="137">
        <f t="shared" ca="1" si="20"/>
        <v>-0.44642857142857145</v>
      </c>
      <c r="D10" s="303" t="s">
        <v>291</v>
      </c>
      <c r="E10" s="57">
        <v>34</v>
      </c>
      <c r="F10" s="58">
        <f ca="1">7-41471+$D$1-112-111-3-112-112-112-112-112-112-112-112-112-112-112-112-112-112-112-112-112</f>
        <v>50</v>
      </c>
      <c r="G10" s="139" t="s">
        <v>94</v>
      </c>
      <c r="H10" s="135">
        <v>3</v>
      </c>
      <c r="I10" s="59">
        <v>14.8</v>
      </c>
      <c r="J10" s="190">
        <f t="shared" si="4"/>
        <v>1.5982094492725636</v>
      </c>
      <c r="K10" s="98">
        <f t="shared" si="5"/>
        <v>133.20000000000002</v>
      </c>
      <c r="L10" s="98">
        <f t="shared" si="6"/>
        <v>236.8</v>
      </c>
      <c r="M10" s="92">
        <v>5.6</v>
      </c>
      <c r="N10" s="183">
        <f t="shared" si="7"/>
        <v>75</v>
      </c>
      <c r="O10" s="183" t="s">
        <v>256</v>
      </c>
      <c r="P10" s="313">
        <v>1.5</v>
      </c>
      <c r="Q10" s="184">
        <v>5</v>
      </c>
      <c r="R10" s="204">
        <f t="shared" si="8"/>
        <v>0.84515425472851657</v>
      </c>
      <c r="S10" s="204">
        <f t="shared" si="9"/>
        <v>0.92504826128926143</v>
      </c>
      <c r="T10" s="116">
        <v>29010</v>
      </c>
      <c r="U10" s="276">
        <f t="shared" si="2"/>
        <v>-4670</v>
      </c>
      <c r="V10" s="277">
        <v>12280</v>
      </c>
      <c r="W10" s="109">
        <f t="shared" si="3"/>
        <v>2.3623778501628663</v>
      </c>
      <c r="X10" s="189">
        <v>0</v>
      </c>
      <c r="Y10" s="190">
        <f>5.6+0.26+0.26+0.26+(0.26*23/90)+(0.05*(90-23)/90)+0.26+0.26+0.23+0.23+0.22+0.15+0.15+0.14+0.13+0.13+0.13+0.12+0.12+0.12+0.02+0.1+0.1+0.1+0.01+0.1</f>
        <v>9.3036666666666648</v>
      </c>
      <c r="Z10" s="189">
        <v>14</v>
      </c>
      <c r="AA10" s="190">
        <f>11.58+0.17+(0.17/2)+0.17+0.15+0.03+0.15+0.14+0.13+0.12+0.11+0.11</f>
        <v>12.945</v>
      </c>
      <c r="AB10" s="189">
        <v>9.9499999999999993</v>
      </c>
      <c r="AC10" s="190">
        <v>3.95</v>
      </c>
      <c r="AD10" s="189">
        <v>16</v>
      </c>
      <c r="AE10" s="322">
        <v>1856</v>
      </c>
      <c r="AF10" s="258">
        <f t="shared" si="10"/>
        <v>14.450624464292032</v>
      </c>
      <c r="AG10" s="258">
        <f t="shared" si="11"/>
        <v>15.829865978257505</v>
      </c>
      <c r="AH10" s="109">
        <f t="shared" si="12"/>
        <v>4.0671247289106365</v>
      </c>
      <c r="AI10" s="109">
        <f t="shared" si="13"/>
        <v>12.342668978714196</v>
      </c>
      <c r="AJ10" s="109">
        <f t="shared" si="14"/>
        <v>13.085700342905477</v>
      </c>
      <c r="AK10" s="109">
        <f t="shared" si="15"/>
        <v>0.92535675594180522</v>
      </c>
      <c r="AL10" s="109">
        <f t="shared" si="16"/>
        <v>1.0690213281157459</v>
      </c>
      <c r="AM10" s="105">
        <f t="shared" si="17"/>
        <v>16.10893501496496</v>
      </c>
      <c r="AN10" s="105">
        <f t="shared" si="18"/>
        <v>17.646454170162258</v>
      </c>
      <c r="AO10" s="184">
        <v>3</v>
      </c>
      <c r="AP10" s="184">
        <v>3</v>
      </c>
      <c r="AQ10" s="248">
        <f t="shared" si="19"/>
        <v>0.1158</v>
      </c>
      <c r="AR10" s="324"/>
      <c r="AS10" s="324"/>
      <c r="AT10" s="324"/>
      <c r="AU10" s="324"/>
      <c r="AV10" s="248"/>
      <c r="AW10" s="248"/>
      <c r="AX10" s="248"/>
      <c r="AY10" s="248"/>
      <c r="AZ10" s="248"/>
      <c r="BA10" s="248"/>
      <c r="BB10" s="248"/>
      <c r="BC10" s="248"/>
      <c r="BD10" s="248"/>
      <c r="BE10" s="248"/>
      <c r="BF10" s="248"/>
      <c r="BG10" s="116">
        <v>33680</v>
      </c>
      <c r="BH10" s="327"/>
      <c r="BJ10" s="141"/>
      <c r="BK10" s="144"/>
    </row>
    <row r="11" spans="1:63" s="2" customFormat="1" x14ac:dyDescent="0.25">
      <c r="A11" s="136" t="s">
        <v>171</v>
      </c>
      <c r="B11" s="136" t="s">
        <v>2</v>
      </c>
      <c r="C11" s="137">
        <f t="shared" ca="1" si="20"/>
        <v>-1.6964285714285714</v>
      </c>
      <c r="D11" s="303" t="s">
        <v>97</v>
      </c>
      <c r="E11" s="138">
        <v>35</v>
      </c>
      <c r="F11" s="143">
        <f ca="1">33-41471+$D$1-112-112-112-112-112-112-112-112-112-112-112-112-112-112-112-112-112-112-112</f>
        <v>78</v>
      </c>
      <c r="G11" s="139"/>
      <c r="H11" s="135">
        <v>3</v>
      </c>
      <c r="I11" s="102">
        <v>13.1</v>
      </c>
      <c r="J11" s="190">
        <f t="shared" si="4"/>
        <v>1.5322921502071731</v>
      </c>
      <c r="K11" s="98">
        <f t="shared" si="5"/>
        <v>117.89999999999999</v>
      </c>
      <c r="L11" s="98">
        <f t="shared" si="6"/>
        <v>209.6</v>
      </c>
      <c r="M11" s="140">
        <v>5.0999999999999996</v>
      </c>
      <c r="N11" s="183">
        <f t="shared" si="7"/>
        <v>70</v>
      </c>
      <c r="O11" s="183" t="s">
        <v>256</v>
      </c>
      <c r="P11" s="313">
        <v>1.5</v>
      </c>
      <c r="Q11" s="183">
        <v>7</v>
      </c>
      <c r="R11" s="204">
        <f t="shared" si="8"/>
        <v>1</v>
      </c>
      <c r="S11" s="204">
        <f t="shared" si="9"/>
        <v>1</v>
      </c>
      <c r="T11" s="116">
        <v>9770</v>
      </c>
      <c r="U11" s="276">
        <f t="shared" si="2"/>
        <v>-220</v>
      </c>
      <c r="V11" s="116">
        <v>4400</v>
      </c>
      <c r="W11" s="109">
        <f t="shared" si="3"/>
        <v>2.2204545454545452</v>
      </c>
      <c r="X11" s="189">
        <v>0</v>
      </c>
      <c r="Y11" s="190">
        <f>7.5+0.2+0.2+0.2+0.2+0.2+0.16+0.16+0.14+0.14+0.13+0.13+0.12+0.12+0.12+0.12+0.11+0.1+0.1+0.1+0.1+0.1+0.1</f>
        <v>10.549999999999995</v>
      </c>
      <c r="Z11" s="189">
        <v>12.95</v>
      </c>
      <c r="AA11" s="190">
        <v>3.95</v>
      </c>
      <c r="AB11" s="189">
        <v>8.9499999999999993</v>
      </c>
      <c r="AC11" s="190">
        <v>0.95</v>
      </c>
      <c r="AD11" s="189">
        <v>17.3</v>
      </c>
      <c r="AE11" s="322">
        <v>1364</v>
      </c>
      <c r="AF11" s="258">
        <f t="shared" si="10"/>
        <v>15.982292150207172</v>
      </c>
      <c r="AG11" s="258">
        <f t="shared" si="11"/>
        <v>15.982292150207172</v>
      </c>
      <c r="AH11" s="109">
        <f t="shared" si="12"/>
        <v>4.6933595563276889</v>
      </c>
      <c r="AI11" s="109">
        <f t="shared" si="13"/>
        <v>10.193365651957853</v>
      </c>
      <c r="AJ11" s="109">
        <f t="shared" si="14"/>
        <v>15.427292150207172</v>
      </c>
      <c r="AK11" s="109">
        <f t="shared" si="15"/>
        <v>0.80908337201657388</v>
      </c>
      <c r="AL11" s="109">
        <f t="shared" si="16"/>
        <v>1.1532604505145021</v>
      </c>
      <c r="AM11" s="105">
        <f t="shared" si="17"/>
        <v>20.289695060874354</v>
      </c>
      <c r="AN11" s="105">
        <f t="shared" si="18"/>
        <v>20.289695060874354</v>
      </c>
      <c r="AO11" s="183">
        <v>4</v>
      </c>
      <c r="AP11" s="183">
        <v>1</v>
      </c>
      <c r="AQ11" s="248">
        <f t="shared" si="19"/>
        <v>0.157</v>
      </c>
      <c r="AR11" s="324"/>
      <c r="AS11" s="324"/>
      <c r="AT11" s="324"/>
      <c r="AU11" s="324"/>
      <c r="AV11" s="248"/>
      <c r="AW11" s="248"/>
      <c r="AX11" s="248"/>
      <c r="AY11" s="248"/>
      <c r="AZ11" s="248"/>
      <c r="BA11" s="248"/>
      <c r="BB11" s="248"/>
      <c r="BC11" s="248"/>
      <c r="BD11" s="248"/>
      <c r="BE11" s="248"/>
      <c r="BF11" s="248"/>
      <c r="BG11" s="116">
        <v>9990</v>
      </c>
      <c r="BH11" s="327"/>
      <c r="BJ11" s="141"/>
      <c r="BK11" s="144"/>
    </row>
    <row r="12" spans="1:63" s="82" customFormat="1" ht="14.25" customHeight="1" x14ac:dyDescent="0.25">
      <c r="A12" s="100" t="s">
        <v>438</v>
      </c>
      <c r="B12" s="79" t="s">
        <v>2</v>
      </c>
      <c r="C12" s="137">
        <f t="shared" ca="1" si="20"/>
        <v>-2.6785714285714284E-2</v>
      </c>
      <c r="D12" s="303" t="s">
        <v>181</v>
      </c>
      <c r="E12" s="57">
        <v>34</v>
      </c>
      <c r="F12" s="58">
        <f ca="1">59-41471+$D$1-325-112-112-112-112-112-112-112-112-112-112-112-112-112-112-112-112-112</f>
        <v>3</v>
      </c>
      <c r="G12" s="80"/>
      <c r="H12" s="135">
        <v>2</v>
      </c>
      <c r="I12" s="59">
        <v>4.5</v>
      </c>
      <c r="J12" s="190">
        <f t="shared" si="4"/>
        <v>0.98715025265899181</v>
      </c>
      <c r="K12" s="98">
        <f t="shared" si="5"/>
        <v>18</v>
      </c>
      <c r="L12" s="98">
        <f t="shared" si="6"/>
        <v>40.5</v>
      </c>
      <c r="M12" s="92">
        <v>5.7</v>
      </c>
      <c r="N12" s="183">
        <f t="shared" si="7"/>
        <v>76</v>
      </c>
      <c r="O12" s="183" t="s">
        <v>256</v>
      </c>
      <c r="P12" s="313">
        <v>1.5</v>
      </c>
      <c r="Q12" s="184">
        <v>6</v>
      </c>
      <c r="R12" s="204">
        <f t="shared" si="8"/>
        <v>0.92582009977255142</v>
      </c>
      <c r="S12" s="204">
        <f t="shared" si="9"/>
        <v>0.99928545900129484</v>
      </c>
      <c r="T12" s="116">
        <v>3060</v>
      </c>
      <c r="U12" s="276">
        <f t="shared" si="2"/>
        <v>-2660</v>
      </c>
      <c r="V12" s="277">
        <v>1190</v>
      </c>
      <c r="W12" s="109">
        <f t="shared" si="3"/>
        <v>2.5714285714285716</v>
      </c>
      <c r="X12" s="189">
        <v>0</v>
      </c>
      <c r="Y12" s="190">
        <f>4.45+0.06+0.2+0.06+0.06+(0.06*68/90)+0.06+0.06+0.06+0.04+(0.22*35/90)+0.04+0.04+0.04+0.04+0.04+0.04*0.5+0.2*66/90+0.02+0.12*33/90+0.02+0.02</f>
        <v>5.6515555555555519</v>
      </c>
      <c r="Z12" s="189">
        <v>8.9499999999999993</v>
      </c>
      <c r="AA12" s="190">
        <v>6.95</v>
      </c>
      <c r="AB12" s="189">
        <f>5.2+0.38+0.38+0.33+0.3+0.3+0.3+0.3+0.28+0.25+0.2+0.2+0.15+0.15*40/90+0.14+0.13+0.12+0.12+0.11+0.01</f>
        <v>9.2666666666666639</v>
      </c>
      <c r="AC12" s="190">
        <v>2.95</v>
      </c>
      <c r="AD12" s="189">
        <f>10+0.65+0.65+0.5+0.4+0.25+0.2+0.25*71/90</f>
        <v>12.847222222222223</v>
      </c>
      <c r="AE12" s="322">
        <v>864</v>
      </c>
      <c r="AF12" s="258">
        <f t="shared" si="10"/>
        <v>10.588743588030409</v>
      </c>
      <c r="AG12" s="258">
        <f t="shared" si="11"/>
        <v>11.437150252658991</v>
      </c>
      <c r="AH12" s="109">
        <f t="shared" si="12"/>
        <v>3.6623521661621745</v>
      </c>
      <c r="AI12" s="109">
        <f t="shared" si="13"/>
        <v>9.1281920441786735</v>
      </c>
      <c r="AJ12" s="109">
        <f t="shared" si="14"/>
        <v>11.447956075069325</v>
      </c>
      <c r="AK12" s="109">
        <f t="shared" si="15"/>
        <v>0.73188868687938613</v>
      </c>
      <c r="AL12" s="109">
        <f t="shared" si="16"/>
        <v>0.78557940657501812</v>
      </c>
      <c r="AM12" s="105">
        <f t="shared" si="17"/>
        <v>14.089289742138304</v>
      </c>
      <c r="AN12" s="105">
        <f t="shared" si="18"/>
        <v>15.218172240589348</v>
      </c>
      <c r="AO12" s="184">
        <v>1</v>
      </c>
      <c r="AP12" s="184">
        <v>2</v>
      </c>
      <c r="AQ12" s="248">
        <f t="shared" si="19"/>
        <v>4.9399999999999999E-2</v>
      </c>
      <c r="AR12" s="324"/>
      <c r="AS12" s="324"/>
      <c r="AT12" s="324"/>
      <c r="AU12" s="324"/>
      <c r="AV12" s="248"/>
      <c r="AW12" s="248"/>
      <c r="AX12" s="248"/>
      <c r="AY12" s="248"/>
      <c r="AZ12" s="248"/>
      <c r="BA12" s="248"/>
      <c r="BB12" s="248"/>
      <c r="BC12" s="248"/>
      <c r="BD12" s="248"/>
      <c r="BE12" s="248"/>
      <c r="BF12" s="248"/>
      <c r="BG12" s="116">
        <v>5720</v>
      </c>
      <c r="BH12" s="327"/>
      <c r="BJ12" s="141"/>
      <c r="BK12" s="144"/>
    </row>
    <row r="13" spans="1:63" s="78" customFormat="1" x14ac:dyDescent="0.25">
      <c r="A13" s="136" t="s">
        <v>264</v>
      </c>
      <c r="B13" s="136" t="s">
        <v>62</v>
      </c>
      <c r="C13" s="137">
        <f t="shared" ca="1" si="20"/>
        <v>15.348214285714286</v>
      </c>
      <c r="D13" s="325" t="s">
        <v>414</v>
      </c>
      <c r="E13" s="138">
        <v>18</v>
      </c>
      <c r="F13" s="58">
        <f ca="1">-43571+$D$1</f>
        <v>73</v>
      </c>
      <c r="G13" s="139" t="s">
        <v>220</v>
      </c>
      <c r="H13" s="135">
        <v>4</v>
      </c>
      <c r="I13" s="102">
        <v>0.4</v>
      </c>
      <c r="J13" s="190">
        <f t="shared" si="4"/>
        <v>0.19483738090431735</v>
      </c>
      <c r="K13" s="98">
        <f t="shared" si="5"/>
        <v>6.4</v>
      </c>
      <c r="L13" s="98">
        <f t="shared" si="6"/>
        <v>10</v>
      </c>
      <c r="M13" s="140">
        <v>5.3</v>
      </c>
      <c r="N13" s="183">
        <f t="shared" si="7"/>
        <v>72</v>
      </c>
      <c r="O13" s="312">
        <v>43626</v>
      </c>
      <c r="P13" s="313">
        <f t="shared" ref="P13:P22" ca="1" si="21">IF((TODAY()-O13)&gt;335,1,((TODAY()-O13)^0.64)/(336^0.64))</f>
        <v>0.15364458747949647</v>
      </c>
      <c r="Q13" s="183">
        <v>5</v>
      </c>
      <c r="R13" s="204">
        <f t="shared" si="8"/>
        <v>0.84515425472851657</v>
      </c>
      <c r="S13" s="204">
        <f t="shared" si="9"/>
        <v>0.92504826128926143</v>
      </c>
      <c r="T13" s="116">
        <v>5770</v>
      </c>
      <c r="U13" s="276">
        <f t="shared" si="2"/>
        <v>120</v>
      </c>
      <c r="V13" s="116">
        <v>684</v>
      </c>
      <c r="W13" s="109">
        <f t="shared" si="3"/>
        <v>8.435672514619883</v>
      </c>
      <c r="X13" s="189">
        <v>0</v>
      </c>
      <c r="Y13" s="190">
        <v>4</v>
      </c>
      <c r="Z13" s="189">
        <f>7+3/5</f>
        <v>7.6</v>
      </c>
      <c r="AA13" s="190">
        <v>3</v>
      </c>
      <c r="AB13" s="189">
        <v>4</v>
      </c>
      <c r="AC13" s="190">
        <v>7</v>
      </c>
      <c r="AD13" s="189">
        <v>6</v>
      </c>
      <c r="AE13" s="322">
        <v>631</v>
      </c>
      <c r="AF13" s="258">
        <f t="shared" ca="1" si="10"/>
        <v>6.7176933542124742</v>
      </c>
      <c r="AG13" s="258">
        <f t="shared" ca="1" si="11"/>
        <v>7.358864369009428</v>
      </c>
      <c r="AH13" s="109">
        <f t="shared" ca="1" si="12"/>
        <v>1.3781767639461806</v>
      </c>
      <c r="AI13" s="109">
        <f t="shared" ca="1" si="13"/>
        <v>6.8374205950021452</v>
      </c>
      <c r="AJ13" s="109">
        <f t="shared" ca="1" si="14"/>
        <v>5.618992823065402</v>
      </c>
      <c r="AK13" s="109">
        <f t="shared" ca="1" si="15"/>
        <v>0.55787855747070503</v>
      </c>
      <c r="AL13" s="109">
        <f t="shared" ca="1" si="16"/>
        <v>0.36439373778686696</v>
      </c>
      <c r="AM13" s="105">
        <f t="shared" ca="1" si="17"/>
        <v>4.7523513165875695</v>
      </c>
      <c r="AN13" s="105">
        <f t="shared" ca="1" si="18"/>
        <v>5.2059400345687736</v>
      </c>
      <c r="AO13" s="183">
        <v>4</v>
      </c>
      <c r="AP13" s="183">
        <v>3</v>
      </c>
      <c r="AQ13" s="248">
        <f t="shared" si="19"/>
        <v>0.157</v>
      </c>
      <c r="AR13" s="331">
        <v>9</v>
      </c>
      <c r="AS13" s="331">
        <v>24</v>
      </c>
      <c r="AT13" s="331">
        <v>29</v>
      </c>
      <c r="AU13" s="331">
        <v>5</v>
      </c>
      <c r="AV13" s="331">
        <f>AR13*1+AS13*0.066</f>
        <v>10.584</v>
      </c>
      <c r="AW13" s="331">
        <f>AR13*0.919+AS13*0.167</f>
        <v>12.279</v>
      </c>
      <c r="AX13" s="331">
        <f>AR13*1+AS13*0.236</f>
        <v>14.664</v>
      </c>
      <c r="AY13" s="331">
        <f>AR13*0.75+AS13*0.165</f>
        <v>10.71</v>
      </c>
      <c r="AZ13" s="331">
        <f>AR13*0.73+AS13*0.38</f>
        <v>15.690000000000001</v>
      </c>
      <c r="BA13" s="331">
        <f>AR13*0.45+AS13*1</f>
        <v>28.05</v>
      </c>
      <c r="BB13" s="331">
        <f>AR13*0.65+AS13*0.95</f>
        <v>28.65</v>
      </c>
      <c r="BC13" s="331">
        <f>AR13*0.3+AS13*0.53</f>
        <v>15.42</v>
      </c>
      <c r="BD13" s="331">
        <f>AR13*0.4+AS13*0.44</f>
        <v>14.16</v>
      </c>
      <c r="BE13" s="331">
        <f>AR13*0.25+AS13*0.73</f>
        <v>19.77</v>
      </c>
      <c r="BF13" s="331">
        <f>AS13*0.46</f>
        <v>11.040000000000001</v>
      </c>
      <c r="BG13" s="116">
        <v>5650</v>
      </c>
      <c r="BH13" s="327">
        <v>2327</v>
      </c>
      <c r="BJ13" s="141"/>
      <c r="BK13" s="144"/>
    </row>
    <row r="14" spans="1:63" s="78" customFormat="1" x14ac:dyDescent="0.25">
      <c r="A14" s="136" t="s">
        <v>179</v>
      </c>
      <c r="B14" s="136" t="s">
        <v>62</v>
      </c>
      <c r="C14" s="137">
        <f t="shared" ca="1" si="20"/>
        <v>15.857142857142858</v>
      </c>
      <c r="D14" s="325" t="s">
        <v>434</v>
      </c>
      <c r="E14" s="138">
        <v>18</v>
      </c>
      <c r="F14" s="58">
        <f ca="1">-43628+$D$1</f>
        <v>16</v>
      </c>
      <c r="G14" s="139" t="s">
        <v>105</v>
      </c>
      <c r="H14" s="318">
        <v>6</v>
      </c>
      <c r="I14" s="102">
        <v>1.2</v>
      </c>
      <c r="J14" s="190">
        <f t="shared" si="4"/>
        <v>0.45656357442960838</v>
      </c>
      <c r="K14" s="98">
        <f t="shared" si="5"/>
        <v>43.199999999999996</v>
      </c>
      <c r="L14" s="98">
        <f t="shared" si="6"/>
        <v>58.8</v>
      </c>
      <c r="M14" s="140">
        <v>3.9</v>
      </c>
      <c r="N14" s="183">
        <f t="shared" si="7"/>
        <v>58</v>
      </c>
      <c r="O14" s="312">
        <v>43633</v>
      </c>
      <c r="P14" s="313">
        <f t="shared" ca="1" si="21"/>
        <v>0.11210737430592951</v>
      </c>
      <c r="Q14" s="183">
        <v>5</v>
      </c>
      <c r="R14" s="204">
        <f t="shared" si="8"/>
        <v>0.84515425472851657</v>
      </c>
      <c r="S14" s="204">
        <f t="shared" si="9"/>
        <v>0.92504826128926143</v>
      </c>
      <c r="T14" s="116">
        <v>8550</v>
      </c>
      <c r="U14" s="276">
        <f t="shared" si="2"/>
        <v>-420</v>
      </c>
      <c r="V14" s="116">
        <v>1490</v>
      </c>
      <c r="W14" s="109">
        <f t="shared" si="3"/>
        <v>5.7382550335570466</v>
      </c>
      <c r="X14" s="189">
        <v>0</v>
      </c>
      <c r="Y14" s="190">
        <v>3</v>
      </c>
      <c r="Z14" s="189">
        <v>6</v>
      </c>
      <c r="AA14" s="190">
        <v>2</v>
      </c>
      <c r="AB14" s="189">
        <v>6</v>
      </c>
      <c r="AC14" s="190">
        <v>9</v>
      </c>
      <c r="AD14" s="189">
        <v>2</v>
      </c>
      <c r="AE14" s="322">
        <v>675</v>
      </c>
      <c r="AF14" s="258">
        <f t="shared" ref="AF14" ca="1" si="22">(Z14+P14+J14)*(Q14/7)^0.5</f>
        <v>5.5515402002354408</v>
      </c>
      <c r="AG14" s="258">
        <f t="shared" ref="AG14" ca="1" si="23">(Z14+P14+J14)*(IF(Q14=7, (Q14/7)^0.5, ((Q14+1)/7)^0.5))</f>
        <v>6.0814075931313951</v>
      </c>
      <c r="AH14" s="109">
        <f t="shared" ca="1" si="12"/>
        <v>1.7648947295650965</v>
      </c>
      <c r="AI14" s="109">
        <f t="shared" ca="1" si="13"/>
        <v>8.1952603347288768</v>
      </c>
      <c r="AJ14" s="109">
        <f t="shared" ca="1" si="14"/>
        <v>3.9457471162512596</v>
      </c>
      <c r="AK14" s="109">
        <f t="shared" ca="1" si="15"/>
        <v>0.55549367589884313</v>
      </c>
      <c r="AL14" s="109">
        <f t="shared" ca="1" si="16"/>
        <v>0.21980696641148761</v>
      </c>
      <c r="AM14" s="105">
        <f t="shared" ca="1" si="17"/>
        <v>1.8742836898272726</v>
      </c>
      <c r="AN14" s="105">
        <f t="shared" ca="1" si="18"/>
        <v>2.0531749121648266</v>
      </c>
      <c r="AO14" s="183">
        <v>4</v>
      </c>
      <c r="AP14" s="183">
        <v>2</v>
      </c>
      <c r="AQ14" s="248">
        <f t="shared" si="19"/>
        <v>0.157</v>
      </c>
      <c r="AR14" s="331">
        <v>6</v>
      </c>
      <c r="AS14" s="331">
        <v>16</v>
      </c>
      <c r="AT14" s="331">
        <v>32</v>
      </c>
      <c r="AU14" s="331">
        <v>1</v>
      </c>
      <c r="AV14" s="331">
        <f t="shared" ref="AV14:AV22" si="24">AR14*1+AS14*0.066</f>
        <v>7.056</v>
      </c>
      <c r="AW14" s="331">
        <f t="shared" ref="AW14:AW22" si="25">AR14*0.919+AS14*0.167</f>
        <v>8.1859999999999999</v>
      </c>
      <c r="AX14" s="331">
        <f t="shared" ref="AX14:AX22" si="26">AR14*1+AS14*0.236</f>
        <v>9.7759999999999998</v>
      </c>
      <c r="AY14" s="331">
        <f t="shared" ref="AY14:AY22" si="27">AR14*0.75+AS14*0.165</f>
        <v>7.1400000000000006</v>
      </c>
      <c r="AZ14" s="331">
        <f t="shared" ref="AZ14:AZ22" si="28">AR14*0.73+AS14*0.38</f>
        <v>10.46</v>
      </c>
      <c r="BA14" s="331">
        <f t="shared" ref="BA14:BA22" si="29">AR14*0.45+AS14*1</f>
        <v>18.7</v>
      </c>
      <c r="BB14" s="331">
        <f t="shared" ref="BB14:BB22" si="30">AR14*0.65+AS14*0.95</f>
        <v>19.100000000000001</v>
      </c>
      <c r="BC14" s="331">
        <f t="shared" ref="BC14:BC22" si="31">AR14*0.3+AS14*0.53</f>
        <v>10.280000000000001</v>
      </c>
      <c r="BD14" s="331">
        <f t="shared" ref="BD14:BD22" si="32">AR14*0.4+AS14*0.44</f>
        <v>9.4400000000000013</v>
      </c>
      <c r="BE14" s="331">
        <f t="shared" ref="BE14:BE22" si="33">AR14*0.25+AS14*0.73</f>
        <v>13.18</v>
      </c>
      <c r="BF14" s="331">
        <f t="shared" ref="BF14:BF22" si="34">AS14*0.46</f>
        <v>7.36</v>
      </c>
      <c r="BG14" s="116">
        <v>8970</v>
      </c>
      <c r="BH14" s="327">
        <v>4689</v>
      </c>
      <c r="BJ14" s="141"/>
      <c r="BK14" s="144"/>
    </row>
    <row r="15" spans="1:63" s="78" customFormat="1" x14ac:dyDescent="0.25">
      <c r="A15" s="136" t="s">
        <v>223</v>
      </c>
      <c r="B15" s="136" t="s">
        <v>62</v>
      </c>
      <c r="C15" s="137">
        <f ca="1">((34*112)-(E15*112)-(F15))/112</f>
        <v>15.205357142857142</v>
      </c>
      <c r="D15" s="325" t="s">
        <v>433</v>
      </c>
      <c r="E15" s="138">
        <v>18</v>
      </c>
      <c r="F15" s="58">
        <f ca="1">-43569+$D$1+14</f>
        <v>89</v>
      </c>
      <c r="G15" s="139" t="s">
        <v>96</v>
      </c>
      <c r="H15" s="135">
        <v>1</v>
      </c>
      <c r="I15" s="102">
        <v>1.8</v>
      </c>
      <c r="J15" s="190">
        <f>LOG(I15+1)*4/3</f>
        <v>0.59621070845629232</v>
      </c>
      <c r="K15" s="98">
        <f>(H15)*(H15)*(I15)</f>
        <v>1.8</v>
      </c>
      <c r="L15" s="98">
        <f>(H15+1)*(H15+1)*I15</f>
        <v>7.2</v>
      </c>
      <c r="M15" s="140">
        <v>3.9</v>
      </c>
      <c r="N15" s="183">
        <f>M15*10+19</f>
        <v>58</v>
      </c>
      <c r="O15" s="312">
        <v>43630</v>
      </c>
      <c r="P15" s="313">
        <f ca="1">IF((TODAY()-O15)&gt;335,1,((TODAY()-O15)^0.64)/(336^0.64))</f>
        <v>0.13081718674960124</v>
      </c>
      <c r="Q15" s="183">
        <v>5</v>
      </c>
      <c r="R15" s="204">
        <f>(Q15/7)^0.5</f>
        <v>0.84515425472851657</v>
      </c>
      <c r="S15" s="204">
        <f>IF(Q15=7,1,((Q15+0.99)/7)^0.5)</f>
        <v>0.92504826128926143</v>
      </c>
      <c r="T15" s="116">
        <v>8230</v>
      </c>
      <c r="U15" s="276">
        <f>T15-BG15</f>
        <v>860</v>
      </c>
      <c r="V15" s="116">
        <v>1044</v>
      </c>
      <c r="W15" s="109">
        <f>T15/V15</f>
        <v>7.883141762452107</v>
      </c>
      <c r="X15" s="189">
        <v>0</v>
      </c>
      <c r="Y15" s="190">
        <v>4</v>
      </c>
      <c r="Z15" s="189">
        <f>8+2/5</f>
        <v>8.4</v>
      </c>
      <c r="AA15" s="190">
        <v>3</v>
      </c>
      <c r="AB15" s="189">
        <v>2</v>
      </c>
      <c r="AC15" s="190">
        <v>8</v>
      </c>
      <c r="AD15" s="189">
        <v>0</v>
      </c>
      <c r="AE15" s="322">
        <v>644</v>
      </c>
      <c r="AF15" s="258">
        <f ca="1">(Z15+P15+J15)*(Q15/7)^0.5</f>
        <v>7.7137464586591182</v>
      </c>
      <c r="AG15" s="258">
        <f ca="1">(Z15+P15+J15)*(IF(Q15=7, (Q15/7)^0.5, ((Q15+1)/7)^0.5))</f>
        <v>8.4499858765663802</v>
      </c>
      <c r="AH15" s="109">
        <f ca="1">(((Y15+P15+J15)+(AB15+P15+J15)*2)/8)*(Q15/7)^0.5</f>
        <v>1.0755732743308586</v>
      </c>
      <c r="AI15" s="109">
        <f ca="1">(1.66*(AC15+J15+P15)+0.55*(AD15+J15+P15)-7.6)*(Q15/7)^0.5</f>
        <v>6.1584122557144427</v>
      </c>
      <c r="AJ15" s="109">
        <f ca="1">((AD15+J15+P15)*0.7+(AC15+J15+P15)*0.3)*(Q15/7)^0.5</f>
        <v>2.6428209302880181</v>
      </c>
      <c r="AK15" s="109">
        <f ca="1">(0.5*(AC15+P15+J15)+ 0.3*(AD15+P15+J15))/10</f>
        <v>0.4581622316164714</v>
      </c>
      <c r="AL15" s="109">
        <f ca="1">(0.4*(Y15+P15+J15)+0.3*(AD15+P15+J15))/10</f>
        <v>0.21089195266441255</v>
      </c>
      <c r="AM15" s="105">
        <f ca="1">(AD15+P15+(LOG(I15)*4/3))*(Q15/7)^0.5</f>
        <v>0.39822022704406185</v>
      </c>
      <c r="AN15" s="105">
        <f ca="1">(AD15+P15+(LOG(I15)*4/3))*(IF(Q15=7, (Q15/7)^0.5, ((Q15+1)/7)^0.5))</f>
        <v>0.43622840241372296</v>
      </c>
      <c r="AO15" s="183">
        <v>3</v>
      </c>
      <c r="AP15" s="183">
        <v>0</v>
      </c>
      <c r="AQ15" s="248">
        <f>IF(AO15=4,IF(AP15=0,0.137+0.0697,0.137+0.02),IF(AO15=3,IF(AP15=0,0.0958+0.0697,0.0958+0.02),IF(AO15=2,IF(AP15=0,0.0415+0.0697,0.0415+0.02),IF(AO15=1,IF(AP15=0,0.0294+0.0697,0.0294+0.02),IF(AO15=0,IF(AP15=0,0.0063+0.0697,0.0063+0.02))))))</f>
        <v>0.16549999999999998</v>
      </c>
      <c r="AR15" s="331">
        <v>9</v>
      </c>
      <c r="AS15" s="331">
        <v>28</v>
      </c>
      <c r="AT15" s="331">
        <v>26</v>
      </c>
      <c r="AU15" s="331">
        <v>-1</v>
      </c>
      <c r="AV15" s="331">
        <f>AR15*1+AS15*0.066</f>
        <v>10.848000000000001</v>
      </c>
      <c r="AW15" s="331">
        <f>AR15*0.919+AS15*0.167</f>
        <v>12.947000000000001</v>
      </c>
      <c r="AX15" s="331">
        <f>AR15*1+AS15*0.236</f>
        <v>15.608000000000001</v>
      </c>
      <c r="AY15" s="331">
        <f>AR15*0.75+AS15*0.165</f>
        <v>11.370000000000001</v>
      </c>
      <c r="AZ15" s="331">
        <f>AR15*0.73+AS15*0.38</f>
        <v>17.21</v>
      </c>
      <c r="BA15" s="331">
        <f>AR15*0.45+AS15*1</f>
        <v>32.049999999999997</v>
      </c>
      <c r="BB15" s="331">
        <f>AR15*0.65+AS15*0.95</f>
        <v>32.449999999999996</v>
      </c>
      <c r="BC15" s="331">
        <f>AR15*0.3+AS15*0.53</f>
        <v>17.54</v>
      </c>
      <c r="BD15" s="331">
        <f>AR15*0.4+AS15*0.44</f>
        <v>15.92</v>
      </c>
      <c r="BE15" s="331">
        <f>AR15*0.25+AS15*0.73</f>
        <v>22.689999999999998</v>
      </c>
      <c r="BF15" s="331">
        <f>AS15*0.46</f>
        <v>12.88</v>
      </c>
      <c r="BG15" s="116">
        <v>7370</v>
      </c>
      <c r="BH15" s="327">
        <v>1887</v>
      </c>
      <c r="BJ15" s="141"/>
      <c r="BK15" s="144"/>
    </row>
    <row r="16" spans="1:63" s="78" customFormat="1" x14ac:dyDescent="0.25">
      <c r="A16" s="136" t="s">
        <v>172</v>
      </c>
      <c r="B16" s="136" t="s">
        <v>62</v>
      </c>
      <c r="C16" s="137">
        <f ca="1">((34*112)-(E16*112)-(F16))/112</f>
        <v>15.205357142857142</v>
      </c>
      <c r="D16" s="325" t="s">
        <v>428</v>
      </c>
      <c r="E16" s="138">
        <v>18</v>
      </c>
      <c r="F16" s="58">
        <f ca="1">-43569+$D$1+14</f>
        <v>89</v>
      </c>
      <c r="G16" s="139" t="s">
        <v>105</v>
      </c>
      <c r="H16" s="135">
        <v>1</v>
      </c>
      <c r="I16" s="102">
        <v>1.6</v>
      </c>
      <c r="J16" s="190">
        <f>LOG(I16+1)*4/3</f>
        <v>0.55329779729442397</v>
      </c>
      <c r="K16" s="98">
        <f>(H16)*(H16)*(I16)</f>
        <v>1.6</v>
      </c>
      <c r="L16" s="98">
        <f>(H16+1)*(H16+1)*I16</f>
        <v>6.4</v>
      </c>
      <c r="M16" s="140">
        <v>6.2</v>
      </c>
      <c r="N16" s="183">
        <f>M16*10+19</f>
        <v>81</v>
      </c>
      <c r="O16" s="312">
        <v>43627</v>
      </c>
      <c r="P16" s="313">
        <f ca="1">IF((TODAY()-O16)&gt;335,1,((TODAY()-O16)^0.64)/(336^0.64))</f>
        <v>0.14812561692891457</v>
      </c>
      <c r="Q16" s="183">
        <v>5</v>
      </c>
      <c r="R16" s="204">
        <f>(Q16/7)^0.5</f>
        <v>0.84515425472851657</v>
      </c>
      <c r="S16" s="204">
        <f>IF(Q16=7,1,((Q16+0.99)/7)^0.5)</f>
        <v>0.92504826128926143</v>
      </c>
      <c r="T16" s="116">
        <v>11950</v>
      </c>
      <c r="U16" s="276">
        <f>T16-BG16</f>
        <v>230</v>
      </c>
      <c r="V16" s="116">
        <v>924</v>
      </c>
      <c r="W16" s="109">
        <f>T16/V16</f>
        <v>12.932900432900434</v>
      </c>
      <c r="X16" s="189">
        <v>0</v>
      </c>
      <c r="Y16" s="190">
        <v>2</v>
      </c>
      <c r="Z16" s="189">
        <f>8+3/5</f>
        <v>8.6</v>
      </c>
      <c r="AA16" s="190">
        <v>5</v>
      </c>
      <c r="AB16" s="189">
        <v>4</v>
      </c>
      <c r="AC16" s="190">
        <v>8</v>
      </c>
      <c r="AD16" s="189">
        <v>6</v>
      </c>
      <c r="AE16" s="322">
        <v>696</v>
      </c>
      <c r="AF16" s="258">
        <f ca="1">(Z16+P16+J16)*(Q16/7)^0.5</f>
        <v>7.861137573562301</v>
      </c>
      <c r="AG16" s="258">
        <f ca="1">(Z16+P16+J16)*(IF(Q16=7, (Q16/7)^0.5, ((Q16+1)/7)^0.5))</f>
        <v>8.6114447533829992</v>
      </c>
      <c r="AH16" s="109">
        <f ca="1">(((Y16+P16+J16)+(AB16+P16+J16)*2)/8)*(Q16/7)^0.5</f>
        <v>1.2787469369970421</v>
      </c>
      <c r="AI16" s="109">
        <f ca="1">(1.66*(AC16+J16+P16)+0.55*(AD16+J16+P16)-7.6)*(Q16/7)^0.5</f>
        <v>8.8995974796645747</v>
      </c>
      <c r="AJ16" s="109">
        <f ca="1">((AD16+J16+P16)*0.7+(AC16+J16+P16)*0.3)*(Q16/7)^0.5</f>
        <v>6.1708290641052663</v>
      </c>
      <c r="AK16" s="109">
        <f ca="1">(0.5*(AC16+P16+J16)+ 0.3*(AD16+P16+J16))/10</f>
        <v>0.63611387313786705</v>
      </c>
      <c r="AL16" s="109">
        <f ca="1">(0.4*(Y16+P16+J16)+0.3*(AD16+P16+J16))/10</f>
        <v>0.30909963899563364</v>
      </c>
      <c r="AM16" s="105">
        <f ca="1">(AD16+P16+(LOG(I16)*4/3))*(Q16/7)^0.5</f>
        <v>5.4261316861752125</v>
      </c>
      <c r="AN16" s="105">
        <f ca="1">(AD16+P16+(LOG(I16)*4/3))*(IF(Q16=7, (Q16/7)^0.5, ((Q16+1)/7)^0.5))</f>
        <v>5.9440294490234136</v>
      </c>
      <c r="AO16" s="183">
        <v>4</v>
      </c>
      <c r="AP16" s="183">
        <v>2</v>
      </c>
      <c r="AQ16" s="248">
        <f>IF(AO16=4,IF(AP16=0,0.137+0.0697,0.137+0.02),IF(AO16=3,IF(AP16=0,0.0958+0.0697,0.0958+0.02),IF(AO16=2,IF(AP16=0,0.0415+0.0697,0.0415+0.02),IF(AO16=1,IF(AP16=0,0.0294+0.0697,0.0294+0.02),IF(AO16=0,IF(AP16=0,0.0063+0.0697,0.0063+0.02))))))</f>
        <v>0.157</v>
      </c>
      <c r="AR16" s="331">
        <v>3</v>
      </c>
      <c r="AS16" s="331">
        <v>29</v>
      </c>
      <c r="AT16" s="331">
        <v>26</v>
      </c>
      <c r="AU16" s="331">
        <v>5</v>
      </c>
      <c r="AV16" s="331">
        <f>AR16*1+AS16*0.066</f>
        <v>4.9139999999999997</v>
      </c>
      <c r="AW16" s="331">
        <f>AR16*0.919+AS16*0.167</f>
        <v>7.6</v>
      </c>
      <c r="AX16" s="331">
        <f>AR16*1+AS16*0.236</f>
        <v>9.8439999999999994</v>
      </c>
      <c r="AY16" s="331">
        <f>AR16*0.75+AS16*0.165</f>
        <v>7.0350000000000001</v>
      </c>
      <c r="AZ16" s="331">
        <f>AR16*0.73+AS16*0.38</f>
        <v>13.209999999999999</v>
      </c>
      <c r="BA16" s="331">
        <f>AR16*0.45+AS16*1</f>
        <v>30.35</v>
      </c>
      <c r="BB16" s="331">
        <f>AR16*0.65+AS16*0.95</f>
        <v>29.499999999999996</v>
      </c>
      <c r="BC16" s="331">
        <f>AR16*0.3+AS16*0.53</f>
        <v>16.27</v>
      </c>
      <c r="BD16" s="331">
        <f>AR16*0.4+AS16*0.44</f>
        <v>13.96</v>
      </c>
      <c r="BE16" s="331">
        <f>AR16*0.25+AS16*0.73</f>
        <v>21.919999999999998</v>
      </c>
      <c r="BF16" s="331">
        <f>AS16*0.46</f>
        <v>13.34</v>
      </c>
      <c r="BG16" s="116">
        <v>11720</v>
      </c>
      <c r="BH16" s="327">
        <v>3853</v>
      </c>
      <c r="BJ16" s="141"/>
      <c r="BK16" s="144"/>
    </row>
    <row r="17" spans="1:63" s="78" customFormat="1" x14ac:dyDescent="0.25">
      <c r="A17" s="136" t="s">
        <v>259</v>
      </c>
      <c r="B17" s="136" t="s">
        <v>62</v>
      </c>
      <c r="C17" s="137">
        <f ca="1">((34*112)-(E17*112)-(F17))/112</f>
        <v>14.794642857142858</v>
      </c>
      <c r="D17" s="325" t="s">
        <v>431</v>
      </c>
      <c r="E17" s="138">
        <v>19</v>
      </c>
      <c r="F17" s="58">
        <f ca="1">-43626+$D$1+5</f>
        <v>23</v>
      </c>
      <c r="G17" s="139" t="s">
        <v>220</v>
      </c>
      <c r="H17" s="135">
        <v>4</v>
      </c>
      <c r="I17" s="102">
        <v>0.3</v>
      </c>
      <c r="J17" s="190">
        <f>LOG(I17+1)*4/3</f>
        <v>0.15192446974244905</v>
      </c>
      <c r="K17" s="98">
        <f>(H17)*(H17)*(I17)</f>
        <v>4.8</v>
      </c>
      <c r="L17" s="98">
        <f>(H17+1)*(H17+1)*I17</f>
        <v>7.5</v>
      </c>
      <c r="M17" s="140">
        <v>4.8</v>
      </c>
      <c r="N17" s="183">
        <f>M17*10+19</f>
        <v>67</v>
      </c>
      <c r="O17" s="312">
        <v>43628</v>
      </c>
      <c r="P17" s="313">
        <f ca="1">IF((TODAY()-O17)&gt;335,1,((TODAY()-O17)^0.64)/(336^0.64))</f>
        <v>0.14248844644448036</v>
      </c>
      <c r="Q17" s="183">
        <v>5</v>
      </c>
      <c r="R17" s="204">
        <f>(Q17/7)^0.5</f>
        <v>0.84515425472851657</v>
      </c>
      <c r="S17" s="204">
        <f>IF(Q17=7,1,((Q17+0.99)/7)^0.5)</f>
        <v>0.92504826128926143</v>
      </c>
      <c r="T17" s="116">
        <v>7710</v>
      </c>
      <c r="U17" s="276">
        <f>T17-BG17</f>
        <v>140</v>
      </c>
      <c r="V17" s="116">
        <v>948</v>
      </c>
      <c r="W17" s="109">
        <f>T17/V17</f>
        <v>8.1329113924050631</v>
      </c>
      <c r="X17" s="189">
        <v>0</v>
      </c>
      <c r="Y17" s="190">
        <v>7</v>
      </c>
      <c r="Z17" s="189">
        <f>7+1/9+2/5</f>
        <v>7.5111111111111111</v>
      </c>
      <c r="AA17" s="190">
        <v>1</v>
      </c>
      <c r="AB17" s="189">
        <v>1</v>
      </c>
      <c r="AC17" s="190">
        <v>6</v>
      </c>
      <c r="AD17" s="189">
        <v>1</v>
      </c>
      <c r="AE17" s="322">
        <v>597</v>
      </c>
      <c r="AF17" s="258">
        <f ca="1">(Z17+P17+J17)*(Q17/7)^0.5</f>
        <v>6.5968718420566042</v>
      </c>
      <c r="AG17" s="258">
        <f ca="1">(Z17+P17+J17)*(IF(Q17=7, (Q17/7)^0.5, ((Q17+1)/7)^0.5))</f>
        <v>7.2265110337301195</v>
      </c>
      <c r="AH17" s="109">
        <f ca="1">(((Y17+P17+J17)+(AB17+P17+J17)*2)/8)*(Q17/7)^0.5</f>
        <v>1.0441076598554864</v>
      </c>
      <c r="AI17" s="109">
        <f ca="1">(1.66*(AC17+J17+P17)+0.55*(AD17+J17+P17)-7.6)*(Q17/7)^0.5</f>
        <v>3.0093006478249165</v>
      </c>
      <c r="AJ17" s="109">
        <f ca="1">((AD17+J17+P17)*0.7+(AC17+J17+P17)*0.3)*(Q17/7)^0.5</f>
        <v>2.3617099655837048</v>
      </c>
      <c r="AK17" s="109">
        <f ca="1">(0.5*(AC17+P17+J17)+ 0.3*(AD17+P17+J17))/10</f>
        <v>0.35355303329495436</v>
      </c>
      <c r="AL17" s="109">
        <f ca="1">(0.4*(Y17+P17+J17)+0.3*(AD17+P17+J17))/10</f>
        <v>0.33060890413308508</v>
      </c>
      <c r="AM17" s="105">
        <f ca="1">(AD17+P17+(LOG(I17)*4/3))*(Q17/7)^0.5</f>
        <v>0.3763613764496781</v>
      </c>
      <c r="AN17" s="105">
        <f ca="1">(AD17+P17+(LOG(I17)*4/3))*(IF(Q17=7, (Q17/7)^0.5, ((Q17+1)/7)^0.5))</f>
        <v>0.41228323131036454</v>
      </c>
      <c r="AO17" s="183">
        <v>4</v>
      </c>
      <c r="AP17" s="183">
        <v>2</v>
      </c>
      <c r="AQ17" s="248">
        <f>IF(AO17=4,IF(AP17=0,0.137+0.0697,0.137+0.02),IF(AO17=3,IF(AP17=0,0.0958+0.0697,0.0958+0.02),IF(AO17=2,IF(AP17=0,0.0415+0.0697,0.0415+0.02),IF(AO17=1,IF(AP17=0,0.0294+0.0697,0.0294+0.02),IF(AO17=0,IF(AP17=0,0.0063+0.0697,0.0063+0.02))))))</f>
        <v>0.157</v>
      </c>
      <c r="AR17" s="331">
        <v>23</v>
      </c>
      <c r="AS17" s="331">
        <f>21.5+1+1</f>
        <v>23.5</v>
      </c>
      <c r="AT17" s="331">
        <v>16</v>
      </c>
      <c r="AU17" s="331">
        <v>0</v>
      </c>
      <c r="AV17" s="331">
        <f>AR17*1+AS17*0.066</f>
        <v>24.551000000000002</v>
      </c>
      <c r="AW17" s="331">
        <f>AR17*0.919+AS17*0.167</f>
        <v>25.061500000000002</v>
      </c>
      <c r="AX17" s="331">
        <f>AR17*1+AS17*0.236</f>
        <v>28.545999999999999</v>
      </c>
      <c r="AY17" s="331">
        <f>AR17*0.75+AS17*0.165</f>
        <v>21.127500000000001</v>
      </c>
      <c r="AZ17" s="331">
        <f>AR17*0.73+AS17*0.38</f>
        <v>25.72</v>
      </c>
      <c r="BA17" s="331">
        <f>AR17*0.45+AS17*1</f>
        <v>33.85</v>
      </c>
      <c r="BB17" s="331">
        <f>AR17*0.65+AS17*0.95</f>
        <v>37.274999999999999</v>
      </c>
      <c r="BC17" s="331">
        <f>AR17*0.3+AS17*0.53</f>
        <v>19.355</v>
      </c>
      <c r="BD17" s="331">
        <f>AR17*0.4+AS17*0.44</f>
        <v>19.54</v>
      </c>
      <c r="BE17" s="331">
        <f>AR17*0.25+AS17*0.73</f>
        <v>22.905000000000001</v>
      </c>
      <c r="BF17" s="331">
        <f>AS17*0.46</f>
        <v>10.81</v>
      </c>
      <c r="BG17" s="116">
        <v>7570</v>
      </c>
      <c r="BH17" s="327">
        <v>740</v>
      </c>
      <c r="BJ17" s="141"/>
      <c r="BK17" s="144"/>
    </row>
    <row r="18" spans="1:63" s="78" customFormat="1" x14ac:dyDescent="0.25">
      <c r="A18" s="136" t="s">
        <v>213</v>
      </c>
      <c r="B18" s="136" t="s">
        <v>62</v>
      </c>
      <c r="C18" s="137">
        <f ca="1">((34*112)-(E18*112)-(F18))/112</f>
        <v>14.839285714285714</v>
      </c>
      <c r="D18" s="325" t="s">
        <v>416</v>
      </c>
      <c r="E18" s="138">
        <v>19</v>
      </c>
      <c r="F18" s="58">
        <f ca="1">-43626+$D$1</f>
        <v>18</v>
      </c>
      <c r="G18" s="139" t="s">
        <v>67</v>
      </c>
      <c r="H18" s="135">
        <v>4</v>
      </c>
      <c r="I18" s="102">
        <v>1.8</v>
      </c>
      <c r="J18" s="190">
        <f>LOG(I18+1)*4/3</f>
        <v>0.59621070845629232</v>
      </c>
      <c r="K18" s="98">
        <f>(H18)*(H18)*(I18)</f>
        <v>28.8</v>
      </c>
      <c r="L18" s="98">
        <f>(H18+1)*(H18+1)*I18</f>
        <v>45</v>
      </c>
      <c r="M18" s="140">
        <v>3.4</v>
      </c>
      <c r="N18" s="183">
        <f>M18*10+19</f>
        <v>53</v>
      </c>
      <c r="O18" s="312">
        <v>43626</v>
      </c>
      <c r="P18" s="313">
        <f ca="1">IF((TODAY()-O18)&gt;335,1,((TODAY()-O18)^0.64)/(336^0.64))</f>
        <v>0.15364458747949647</v>
      </c>
      <c r="Q18" s="183">
        <v>5</v>
      </c>
      <c r="R18" s="204">
        <f>(Q18/7)^0.5</f>
        <v>0.84515425472851657</v>
      </c>
      <c r="S18" s="204">
        <f>IF(Q18=7,1,((Q18+0.99)/7)^0.5)</f>
        <v>0.92504826128926143</v>
      </c>
      <c r="T18" s="116">
        <v>7680</v>
      </c>
      <c r="U18" s="276">
        <f>T18-BG18</f>
        <v>570</v>
      </c>
      <c r="V18" s="116">
        <v>870</v>
      </c>
      <c r="W18" s="109">
        <f>T18/V18</f>
        <v>8.8275862068965516</v>
      </c>
      <c r="X18" s="189">
        <v>0</v>
      </c>
      <c r="Y18" s="190">
        <v>7</v>
      </c>
      <c r="Z18" s="189">
        <f>7+3/5</f>
        <v>7.6</v>
      </c>
      <c r="AA18" s="190">
        <v>2</v>
      </c>
      <c r="AB18" s="189">
        <v>4</v>
      </c>
      <c r="AC18" s="190">
        <v>6</v>
      </c>
      <c r="AD18" s="189">
        <v>2</v>
      </c>
      <c r="AE18" s="322">
        <v>690</v>
      </c>
      <c r="AF18" s="258">
        <f ca="1">(Z18+P18+J18)*(Q18/7)^0.5</f>
        <v>7.0569157297275682</v>
      </c>
      <c r="AG18" s="258">
        <f ca="1">(Z18+P18+J18)*(IF(Q18=7, (Q18/7)^0.5, ((Q18+1)/7)^0.5))</f>
        <v>7.7304638631696374</v>
      </c>
      <c r="AH18" s="109">
        <f ca="1">(((Y18+P18+J18)+(AB18+P18+J18)*2)/8)*(Q18/7)^0.5</f>
        <v>1.8223180002875343</v>
      </c>
      <c r="AI18" s="109">
        <f ca="1">(1.66*(AC18+J18+P18)+0.55*(AD18+J18+P18)-7.6)*(Q18/7)^0.5</f>
        <v>4.3248066216384276</v>
      </c>
      <c r="AJ18" s="109">
        <f ca="1">((AD18+J18+P18)*0.7+(AC18+J18+P18)*0.3)*(Q18/7)^0.5</f>
        <v>3.3382370089220954</v>
      </c>
      <c r="AK18" s="109">
        <f ca="1">(0.5*(AC18+P18+J18)+ 0.3*(AD18+P18+J18))/10</f>
        <v>0.41998842367486305</v>
      </c>
      <c r="AL18" s="109">
        <f ca="1">(0.4*(Y18+P18+J18)+0.3*(AD18+P18+J18))/10</f>
        <v>0.39248987071550517</v>
      </c>
      <c r="AM18" s="105">
        <f ca="1">(AD18+P18+(LOG(I18)*4/3))*(Q18/7)^0.5</f>
        <v>2.1078214113523588</v>
      </c>
      <c r="AN18" s="105">
        <f ca="1">(AD18+P18+(LOG(I18)*4/3))*(IF(Q18=7, (Q18/7)^0.5, ((Q18+1)/7)^0.5))</f>
        <v>2.3090026683801255</v>
      </c>
      <c r="AO18" s="183">
        <v>3</v>
      </c>
      <c r="AP18" s="183">
        <v>3</v>
      </c>
      <c r="AQ18" s="248">
        <f>IF(AO18=4,IF(AP18=0,0.137+0.0697,0.137+0.02),IF(AO18=3,IF(AP18=0,0.0958+0.0697,0.0958+0.02),IF(AO18=2,IF(AP18=0,0.0415+0.0697,0.0415+0.02),IF(AO18=1,IF(AP18=0,0.0294+0.0697,0.0294+0.02),IF(AO18=0,IF(AP18=0,0.0063+0.0697,0.0063+0.02))))))</f>
        <v>0.1158</v>
      </c>
      <c r="AR18" s="331">
        <v>23</v>
      </c>
      <c r="AS18" s="331">
        <v>24</v>
      </c>
      <c r="AT18" s="331">
        <v>16</v>
      </c>
      <c r="AU18" s="331">
        <v>1</v>
      </c>
      <c r="AV18" s="331">
        <f>AR18*1+AS18*0.066</f>
        <v>24.584</v>
      </c>
      <c r="AW18" s="331">
        <f>AR18*0.919+AS18*0.167</f>
        <v>25.145</v>
      </c>
      <c r="AX18" s="331">
        <f>AR18*1+AS18*0.236</f>
        <v>28.664000000000001</v>
      </c>
      <c r="AY18" s="331">
        <f>AR18*0.75+AS18*0.165</f>
        <v>21.21</v>
      </c>
      <c r="AZ18" s="331">
        <f>AR18*0.73+AS18*0.38</f>
        <v>25.91</v>
      </c>
      <c r="BA18" s="331">
        <f>AR18*0.45+AS18*1</f>
        <v>34.35</v>
      </c>
      <c r="BB18" s="331">
        <f>AR18*0.65+AS18*0.95</f>
        <v>37.75</v>
      </c>
      <c r="BC18" s="331">
        <f>AR18*0.3+AS18*0.53</f>
        <v>19.62</v>
      </c>
      <c r="BD18" s="331">
        <f>AR18*0.4+AS18*0.44</f>
        <v>19.760000000000002</v>
      </c>
      <c r="BE18" s="331">
        <f>AR18*0.25+AS18*0.73</f>
        <v>23.27</v>
      </c>
      <c r="BF18" s="331">
        <f>AS18*0.46</f>
        <v>11.040000000000001</v>
      </c>
      <c r="BG18" s="116">
        <v>7110</v>
      </c>
      <c r="BH18" s="327">
        <v>1308</v>
      </c>
      <c r="BJ18" s="141"/>
      <c r="BK18" s="144"/>
    </row>
    <row r="19" spans="1:63" s="78" customFormat="1" x14ac:dyDescent="0.25">
      <c r="A19" s="136" t="s">
        <v>436</v>
      </c>
      <c r="B19" s="136" t="s">
        <v>63</v>
      </c>
      <c r="C19" s="137">
        <f t="shared" ca="1" si="20"/>
        <v>14.910714285714286</v>
      </c>
      <c r="D19" s="353"/>
      <c r="E19" s="138">
        <v>19</v>
      </c>
      <c r="F19" s="58">
        <f ca="1">-43571+$D$1+49-112</f>
        <v>10</v>
      </c>
      <c r="G19" s="139"/>
      <c r="H19" s="135">
        <v>4</v>
      </c>
      <c r="I19" s="102">
        <v>1.8</v>
      </c>
      <c r="J19" s="190">
        <f t="shared" si="4"/>
        <v>0.59621070845629232</v>
      </c>
      <c r="K19" s="98">
        <f t="shared" si="5"/>
        <v>28.8</v>
      </c>
      <c r="L19" s="98">
        <f t="shared" si="6"/>
        <v>45</v>
      </c>
      <c r="M19" s="140">
        <v>3.9</v>
      </c>
      <c r="N19" s="183">
        <f t="shared" si="7"/>
        <v>58</v>
      </c>
      <c r="O19" s="312">
        <v>43624</v>
      </c>
      <c r="P19" s="313">
        <f t="shared" ca="1" si="21"/>
        <v>0.16436224314553138</v>
      </c>
      <c r="Q19" s="183">
        <v>5</v>
      </c>
      <c r="R19" s="204">
        <f t="shared" si="8"/>
        <v>0.84515425472851657</v>
      </c>
      <c r="S19" s="204">
        <f t="shared" si="9"/>
        <v>0.92504826128926143</v>
      </c>
      <c r="T19" s="116">
        <v>9130</v>
      </c>
      <c r="U19" s="276">
        <f t="shared" si="2"/>
        <v>0</v>
      </c>
      <c r="V19" s="116">
        <v>1650</v>
      </c>
      <c r="W19" s="109">
        <f t="shared" si="3"/>
        <v>5.5333333333333332</v>
      </c>
      <c r="X19" s="189">
        <v>0</v>
      </c>
      <c r="Y19" s="190">
        <v>5</v>
      </c>
      <c r="Z19" s="189">
        <f>6+1/30+1/8</f>
        <v>6.1583333333333332</v>
      </c>
      <c r="AA19" s="190">
        <v>2</v>
      </c>
      <c r="AB19" s="189">
        <v>3</v>
      </c>
      <c r="AC19" s="190">
        <v>9</v>
      </c>
      <c r="AD19" s="189">
        <v>1</v>
      </c>
      <c r="AE19" s="322">
        <v>655</v>
      </c>
      <c r="AF19" s="258">
        <f t="shared" ca="1" si="10"/>
        <v>5.8475430847808214</v>
      </c>
      <c r="AG19" s="258">
        <f t="shared" ca="1" si="11"/>
        <v>6.4056625070355997</v>
      </c>
      <c r="AH19" s="109">
        <f t="shared" ca="1" si="12"/>
        <v>1.4031376500308506</v>
      </c>
      <c r="AI19" s="109">
        <f t="shared" ca="1" si="13"/>
        <v>8.0888583098397291</v>
      </c>
      <c r="AJ19" s="109">
        <f t="shared" ca="1" si="14"/>
        <v>3.5163259321546634</v>
      </c>
      <c r="AK19" s="109">
        <f t="shared" ca="1" si="15"/>
        <v>0.54084583612814585</v>
      </c>
      <c r="AL19" s="109">
        <f t="shared" ca="1" si="16"/>
        <v>0.28324010661212762</v>
      </c>
      <c r="AM19" s="105">
        <f t="shared" ca="1" si="17"/>
        <v>1.2717252289107068</v>
      </c>
      <c r="AN19" s="105">
        <f t="shared" ca="1" si="18"/>
        <v>1.3931051896456303</v>
      </c>
      <c r="AO19" s="183">
        <v>2</v>
      </c>
      <c r="AP19" s="183">
        <v>2</v>
      </c>
      <c r="AQ19" s="248">
        <f t="shared" si="19"/>
        <v>6.1499999999999999E-2</v>
      </c>
      <c r="AR19" s="331">
        <v>13</v>
      </c>
      <c r="AS19" s="331">
        <f>16+0.16+0.5</f>
        <v>16.66</v>
      </c>
      <c r="AT19" s="331">
        <v>32</v>
      </c>
      <c r="AU19" s="331">
        <v>0</v>
      </c>
      <c r="AV19" s="331">
        <f t="shared" si="24"/>
        <v>14.09956</v>
      </c>
      <c r="AW19" s="331">
        <f t="shared" si="25"/>
        <v>14.729220000000002</v>
      </c>
      <c r="AX19" s="331">
        <f t="shared" si="26"/>
        <v>16.931760000000001</v>
      </c>
      <c r="AY19" s="331">
        <f t="shared" si="27"/>
        <v>12.498900000000001</v>
      </c>
      <c r="AZ19" s="331">
        <f t="shared" si="28"/>
        <v>15.8208</v>
      </c>
      <c r="BA19" s="331">
        <f t="shared" si="29"/>
        <v>22.51</v>
      </c>
      <c r="BB19" s="331">
        <f t="shared" si="30"/>
        <v>24.277000000000001</v>
      </c>
      <c r="BC19" s="331">
        <f t="shared" si="31"/>
        <v>12.729800000000001</v>
      </c>
      <c r="BD19" s="331">
        <f t="shared" si="32"/>
        <v>12.5304</v>
      </c>
      <c r="BE19" s="331">
        <f t="shared" si="33"/>
        <v>15.411799999999999</v>
      </c>
      <c r="BF19" s="331">
        <f t="shared" si="34"/>
        <v>7.6636000000000006</v>
      </c>
      <c r="BG19" s="116">
        <v>9130</v>
      </c>
      <c r="BH19" s="327">
        <v>1170</v>
      </c>
      <c r="BJ19" s="141"/>
      <c r="BK19" s="144"/>
    </row>
    <row r="20" spans="1:63" s="78" customFormat="1" x14ac:dyDescent="0.25">
      <c r="A20" s="136" t="s">
        <v>292</v>
      </c>
      <c r="B20" s="136" t="s">
        <v>63</v>
      </c>
      <c r="C20" s="137">
        <f t="shared" ca="1" si="20"/>
        <v>8.1607142857142865</v>
      </c>
      <c r="D20" s="353" t="s">
        <v>453</v>
      </c>
      <c r="E20" s="138">
        <v>25</v>
      </c>
      <c r="F20" s="58">
        <f ca="1">-43570+$D$1+20</f>
        <v>94</v>
      </c>
      <c r="G20" s="139"/>
      <c r="H20" s="135">
        <v>5</v>
      </c>
      <c r="I20" s="102">
        <v>4.5</v>
      </c>
      <c r="J20" s="190">
        <f t="shared" si="4"/>
        <v>0.98715025265899181</v>
      </c>
      <c r="K20" s="98">
        <f t="shared" si="5"/>
        <v>112.5</v>
      </c>
      <c r="L20" s="98">
        <f t="shared" si="6"/>
        <v>162</v>
      </c>
      <c r="M20" s="140">
        <v>6.5</v>
      </c>
      <c r="N20" s="183">
        <f t="shared" si="7"/>
        <v>84</v>
      </c>
      <c r="O20" s="312">
        <v>43639</v>
      </c>
      <c r="P20" s="313">
        <f t="shared" ca="1" si="21"/>
        <v>6.7683633516304187E-2</v>
      </c>
      <c r="Q20" s="183">
        <v>7</v>
      </c>
      <c r="R20" s="204">
        <f t="shared" si="8"/>
        <v>1</v>
      </c>
      <c r="S20" s="204">
        <f t="shared" si="9"/>
        <v>1</v>
      </c>
      <c r="T20" s="116">
        <v>22120</v>
      </c>
      <c r="U20" s="276">
        <f t="shared" si="2"/>
        <v>690</v>
      </c>
      <c r="V20" s="116">
        <v>2484</v>
      </c>
      <c r="W20" s="109">
        <f t="shared" si="3"/>
        <v>8.9049919484702098</v>
      </c>
      <c r="X20" s="189">
        <v>0</v>
      </c>
      <c r="Y20" s="190">
        <v>3</v>
      </c>
      <c r="Z20" s="189">
        <f>9+1/13</f>
        <v>9.0769230769230766</v>
      </c>
      <c r="AA20" s="190">
        <v>9</v>
      </c>
      <c r="AB20" s="189">
        <v>5</v>
      </c>
      <c r="AC20" s="190">
        <v>5</v>
      </c>
      <c r="AD20" s="189">
        <v>1</v>
      </c>
      <c r="AE20" s="322">
        <v>778</v>
      </c>
      <c r="AF20" s="258">
        <f t="shared" ca="1" si="10"/>
        <v>10.131756963098374</v>
      </c>
      <c r="AG20" s="258">
        <f t="shared" ca="1" si="11"/>
        <v>10.131756963098374</v>
      </c>
      <c r="AH20" s="109">
        <f t="shared" ca="1" si="12"/>
        <v>2.0205627073157362</v>
      </c>
      <c r="AI20" s="109">
        <f t="shared" ca="1" si="13"/>
        <v>3.5811828884474046</v>
      </c>
      <c r="AJ20" s="109">
        <f t="shared" ca="1" si="14"/>
        <v>3.2548338861752955</v>
      </c>
      <c r="AK20" s="109">
        <f t="shared" ca="1" si="15"/>
        <v>0.36438671089402369</v>
      </c>
      <c r="AL20" s="109">
        <f t="shared" ca="1" si="16"/>
        <v>0.22383837203227075</v>
      </c>
      <c r="AM20" s="105">
        <f t="shared" ca="1" si="17"/>
        <v>1.9386336518834293</v>
      </c>
      <c r="AN20" s="105">
        <f t="shared" ca="1" si="18"/>
        <v>1.9386336518834293</v>
      </c>
      <c r="AO20" s="183">
        <v>3</v>
      </c>
      <c r="AP20" s="183">
        <v>2</v>
      </c>
      <c r="AQ20" s="248">
        <f t="shared" si="19"/>
        <v>0.1158</v>
      </c>
      <c r="AR20" s="331">
        <v>6</v>
      </c>
      <c r="AS20" s="331">
        <v>26.5</v>
      </c>
      <c r="AT20" s="331">
        <v>8</v>
      </c>
      <c r="AU20" s="331">
        <v>0</v>
      </c>
      <c r="AV20" s="331">
        <f t="shared" si="24"/>
        <v>7.7490000000000006</v>
      </c>
      <c r="AW20" s="331">
        <f t="shared" si="25"/>
        <v>9.9395000000000007</v>
      </c>
      <c r="AX20" s="331">
        <f t="shared" si="26"/>
        <v>12.254</v>
      </c>
      <c r="AY20" s="331">
        <f t="shared" si="27"/>
        <v>8.8725000000000005</v>
      </c>
      <c r="AZ20" s="331">
        <f t="shared" si="28"/>
        <v>14.45</v>
      </c>
      <c r="BA20" s="331">
        <f t="shared" si="29"/>
        <v>29.2</v>
      </c>
      <c r="BB20" s="331">
        <f t="shared" si="30"/>
        <v>29.074999999999996</v>
      </c>
      <c r="BC20" s="331">
        <f t="shared" si="31"/>
        <v>15.844999999999999</v>
      </c>
      <c r="BD20" s="331">
        <f t="shared" si="32"/>
        <v>14.06</v>
      </c>
      <c r="BE20" s="331">
        <f t="shared" si="33"/>
        <v>20.844999999999999</v>
      </c>
      <c r="BF20" s="331">
        <f t="shared" si="34"/>
        <v>12.190000000000001</v>
      </c>
      <c r="BG20" s="116">
        <v>21430</v>
      </c>
      <c r="BH20" s="327">
        <v>1486</v>
      </c>
      <c r="BJ20" s="141"/>
      <c r="BK20" s="144"/>
    </row>
    <row r="21" spans="1:63" s="78" customFormat="1" x14ac:dyDescent="0.25">
      <c r="A21" s="136" t="s">
        <v>435</v>
      </c>
      <c r="B21" s="136" t="s">
        <v>63</v>
      </c>
      <c r="C21" s="137">
        <f t="shared" ca="1" si="20"/>
        <v>15.330357142857142</v>
      </c>
      <c r="D21" s="353" t="s">
        <v>415</v>
      </c>
      <c r="E21" s="138">
        <v>18</v>
      </c>
      <c r="F21" s="58">
        <f ca="1">-43569+$D$1</f>
        <v>75</v>
      </c>
      <c r="G21" s="139" t="s">
        <v>220</v>
      </c>
      <c r="H21" s="135">
        <v>4</v>
      </c>
      <c r="I21" s="102">
        <v>0.6</v>
      </c>
      <c r="J21" s="190">
        <f t="shared" si="4"/>
        <v>0.27215997687456639</v>
      </c>
      <c r="K21" s="98">
        <f t="shared" si="5"/>
        <v>9.6</v>
      </c>
      <c r="L21" s="98">
        <f t="shared" si="6"/>
        <v>15</v>
      </c>
      <c r="M21" s="140">
        <v>5.5</v>
      </c>
      <c r="N21" s="183">
        <f t="shared" si="7"/>
        <v>74</v>
      </c>
      <c r="O21" s="312">
        <v>43626</v>
      </c>
      <c r="P21" s="313">
        <f t="shared" ca="1" si="21"/>
        <v>0.15364458747949647</v>
      </c>
      <c r="Q21" s="183">
        <v>6</v>
      </c>
      <c r="R21" s="204">
        <f t="shared" si="8"/>
        <v>0.92582009977255142</v>
      </c>
      <c r="S21" s="204">
        <f t="shared" si="9"/>
        <v>0.99928545900129484</v>
      </c>
      <c r="T21" s="116">
        <v>6070</v>
      </c>
      <c r="U21" s="276">
        <f t="shared" si="2"/>
        <v>420</v>
      </c>
      <c r="V21" s="116">
        <v>660</v>
      </c>
      <c r="W21" s="109">
        <f t="shared" si="3"/>
        <v>9.1969696969696972</v>
      </c>
      <c r="X21" s="189">
        <v>0</v>
      </c>
      <c r="Y21" s="190">
        <v>6</v>
      </c>
      <c r="Z21" s="189">
        <f>6+1/30+2/8</f>
        <v>6.2833333333333332</v>
      </c>
      <c r="AA21" s="190">
        <v>2</v>
      </c>
      <c r="AB21" s="189">
        <v>3</v>
      </c>
      <c r="AC21" s="190">
        <v>6</v>
      </c>
      <c r="AD21" s="189">
        <v>8</v>
      </c>
      <c r="AE21" s="322">
        <v>605</v>
      </c>
      <c r="AF21" s="258">
        <f t="shared" ca="1" si="10"/>
        <v>6.2114547178247506</v>
      </c>
      <c r="AG21" s="258">
        <f t="shared" ca="1" si="11"/>
        <v>6.7091378976873957</v>
      </c>
      <c r="AH21" s="109">
        <f t="shared" ca="1" si="12"/>
        <v>1.5365620587540345</v>
      </c>
      <c r="AI21" s="109">
        <f t="shared" ca="1" si="13"/>
        <v>7.1297665920635342</v>
      </c>
      <c r="AJ21" s="109">
        <f t="shared" ca="1" si="14"/>
        <v>7.2452871625707651</v>
      </c>
      <c r="AK21" s="109">
        <f t="shared" ca="1" si="15"/>
        <v>0.57406436514832504</v>
      </c>
      <c r="AL21" s="109">
        <f t="shared" ca="1" si="16"/>
        <v>0.50980631950478439</v>
      </c>
      <c r="AM21" s="105">
        <f t="shared" ca="1" si="17"/>
        <v>7.2749520034845494</v>
      </c>
      <c r="AN21" s="105">
        <f t="shared" ca="1" si="18"/>
        <v>7.8578462546576873</v>
      </c>
      <c r="AO21" s="183">
        <v>2</v>
      </c>
      <c r="AP21" s="183">
        <v>3</v>
      </c>
      <c r="AQ21" s="248">
        <f t="shared" si="19"/>
        <v>6.1499999999999999E-2</v>
      </c>
      <c r="AR21" s="331">
        <v>18</v>
      </c>
      <c r="AS21" s="331">
        <f>16+0.16+0.5+0.5</f>
        <v>17.16</v>
      </c>
      <c r="AT21" s="331">
        <v>16</v>
      </c>
      <c r="AU21" s="331">
        <v>8</v>
      </c>
      <c r="AV21" s="331">
        <f t="shared" si="24"/>
        <v>19.132560000000002</v>
      </c>
      <c r="AW21" s="331">
        <f t="shared" si="25"/>
        <v>19.407720000000001</v>
      </c>
      <c r="AX21" s="331">
        <f t="shared" si="26"/>
        <v>22.049759999999999</v>
      </c>
      <c r="AY21" s="331">
        <f t="shared" si="27"/>
        <v>16.331400000000002</v>
      </c>
      <c r="AZ21" s="331">
        <f t="shared" si="28"/>
        <v>19.660800000000002</v>
      </c>
      <c r="BA21" s="331">
        <f t="shared" si="29"/>
        <v>25.259999999999998</v>
      </c>
      <c r="BB21" s="331">
        <f t="shared" si="30"/>
        <v>28.002000000000002</v>
      </c>
      <c r="BC21" s="331">
        <f t="shared" si="31"/>
        <v>14.494800000000001</v>
      </c>
      <c r="BD21" s="331">
        <f t="shared" si="32"/>
        <v>14.750399999999999</v>
      </c>
      <c r="BE21" s="331">
        <f t="shared" si="33"/>
        <v>17.026800000000001</v>
      </c>
      <c r="BF21" s="331">
        <f t="shared" si="34"/>
        <v>7.8936000000000002</v>
      </c>
      <c r="BG21" s="116">
        <v>5650</v>
      </c>
      <c r="BH21" s="327">
        <v>1548</v>
      </c>
      <c r="BJ21" s="141"/>
      <c r="BK21" s="144"/>
    </row>
    <row r="22" spans="1:63" s="78" customFormat="1" x14ac:dyDescent="0.25">
      <c r="A22" s="136" t="s">
        <v>437</v>
      </c>
      <c r="B22" s="136" t="s">
        <v>63</v>
      </c>
      <c r="C22" s="137">
        <f t="shared" ca="1" si="20"/>
        <v>15.044642857142858</v>
      </c>
      <c r="D22" s="353"/>
      <c r="E22" s="138">
        <v>18</v>
      </c>
      <c r="F22" s="58">
        <f ca="1">-43570+$D$1+33</f>
        <v>107</v>
      </c>
      <c r="G22" s="139" t="s">
        <v>105</v>
      </c>
      <c r="H22" s="135">
        <v>4</v>
      </c>
      <c r="I22" s="102">
        <v>0.5</v>
      </c>
      <c r="J22" s="190">
        <f t="shared" si="4"/>
        <v>0.23478834540757498</v>
      </c>
      <c r="K22" s="98">
        <f t="shared" si="5"/>
        <v>8</v>
      </c>
      <c r="L22" s="98">
        <f t="shared" si="6"/>
        <v>12.5</v>
      </c>
      <c r="M22" s="140">
        <v>6.3</v>
      </c>
      <c r="N22" s="183">
        <f t="shared" si="7"/>
        <v>82</v>
      </c>
      <c r="O22" s="312">
        <v>43626</v>
      </c>
      <c r="P22" s="313">
        <f t="shared" ca="1" si="21"/>
        <v>0.15364458747949647</v>
      </c>
      <c r="Q22" s="183">
        <v>5</v>
      </c>
      <c r="R22" s="204">
        <f t="shared" si="8"/>
        <v>0.84515425472851657</v>
      </c>
      <c r="S22" s="204">
        <f t="shared" si="9"/>
        <v>0.92504826128926143</v>
      </c>
      <c r="T22" s="116">
        <v>9890</v>
      </c>
      <c r="U22" s="276">
        <f t="shared" si="2"/>
        <v>0</v>
      </c>
      <c r="V22" s="116">
        <v>1140</v>
      </c>
      <c r="W22" s="109">
        <f t="shared" si="3"/>
        <v>8.6754385964912277</v>
      </c>
      <c r="X22" s="189">
        <v>0</v>
      </c>
      <c r="Y22" s="190">
        <v>4</v>
      </c>
      <c r="Z22" s="189">
        <f>5+2/7</f>
        <v>5.2857142857142856</v>
      </c>
      <c r="AA22" s="190">
        <v>3</v>
      </c>
      <c r="AB22" s="189">
        <v>4</v>
      </c>
      <c r="AC22" s="190">
        <v>9</v>
      </c>
      <c r="AD22" s="189">
        <v>8</v>
      </c>
      <c r="AE22" s="322">
        <v>658</v>
      </c>
      <c r="AF22" s="258">
        <f t="shared" ca="1" si="10"/>
        <v>4.7955296637569154</v>
      </c>
      <c r="AG22" s="258">
        <f t="shared" ca="1" si="11"/>
        <v>5.2532395440496531</v>
      </c>
      <c r="AH22" s="109">
        <f t="shared" ca="1" si="12"/>
        <v>1.390838536807594</v>
      </c>
      <c r="AI22" s="109">
        <f t="shared" ca="1" si="13"/>
        <v>10.647622448965453</v>
      </c>
      <c r="AJ22" s="109">
        <f t="shared" ca="1" si="14"/>
        <v>7.3430660601528706</v>
      </c>
      <c r="AK22" s="109">
        <f t="shared" ca="1" si="15"/>
        <v>0.72107463463096566</v>
      </c>
      <c r="AL22" s="109">
        <f t="shared" ca="1" si="16"/>
        <v>0.42719030530209495</v>
      </c>
      <c r="AM22" s="105">
        <f t="shared" ca="1" si="17"/>
        <v>6.5518650391373416</v>
      </c>
      <c r="AN22" s="105">
        <f t="shared" ca="1" si="18"/>
        <v>7.1772085513299801</v>
      </c>
      <c r="AO22" s="183">
        <v>1</v>
      </c>
      <c r="AP22" s="183">
        <v>1</v>
      </c>
      <c r="AQ22" s="248">
        <f t="shared" si="19"/>
        <v>4.9399999999999999E-2</v>
      </c>
      <c r="AR22" s="331">
        <v>9</v>
      </c>
      <c r="AS22" s="331">
        <v>13</v>
      </c>
      <c r="AT22" s="331">
        <v>32</v>
      </c>
      <c r="AU22" s="331">
        <v>6</v>
      </c>
      <c r="AV22" s="331">
        <f t="shared" si="24"/>
        <v>9.8580000000000005</v>
      </c>
      <c r="AW22" s="331">
        <f t="shared" si="25"/>
        <v>10.442</v>
      </c>
      <c r="AX22" s="331">
        <f t="shared" si="26"/>
        <v>12.068</v>
      </c>
      <c r="AY22" s="331">
        <f t="shared" si="27"/>
        <v>8.8949999999999996</v>
      </c>
      <c r="AZ22" s="331">
        <f t="shared" si="28"/>
        <v>11.510000000000002</v>
      </c>
      <c r="BA22" s="331">
        <f t="shared" si="29"/>
        <v>17.05</v>
      </c>
      <c r="BB22" s="331">
        <f t="shared" si="30"/>
        <v>18.2</v>
      </c>
      <c r="BC22" s="331">
        <f t="shared" si="31"/>
        <v>9.59</v>
      </c>
      <c r="BD22" s="331">
        <f t="shared" si="32"/>
        <v>9.32</v>
      </c>
      <c r="BE22" s="331">
        <f t="shared" si="33"/>
        <v>11.74</v>
      </c>
      <c r="BF22" s="331">
        <f t="shared" si="34"/>
        <v>5.98</v>
      </c>
      <c r="BG22" s="116">
        <v>9890</v>
      </c>
      <c r="BH22" s="327">
        <v>1841</v>
      </c>
      <c r="BJ22" s="141"/>
      <c r="BK22" s="144"/>
    </row>
    <row r="23" spans="1:63" s="75" customFormat="1" x14ac:dyDescent="0.25">
      <c r="A23" s="136" t="s">
        <v>177</v>
      </c>
      <c r="B23" s="136" t="s">
        <v>64</v>
      </c>
      <c r="C23" s="137">
        <f ca="1">((34*112)-(E23*112)-(F23))/112</f>
        <v>-1.3392857142857142</v>
      </c>
      <c r="D23" s="303" t="s">
        <v>107</v>
      </c>
      <c r="E23" s="138">
        <v>35</v>
      </c>
      <c r="F23" s="143">
        <f ca="1">75-41471+$D$1-24-112-10-112-40-8-112-112-112-112-112-112-112-112-112-112-112-112-112-112-112-112-112</f>
        <v>38</v>
      </c>
      <c r="G23" s="139" t="s">
        <v>94</v>
      </c>
      <c r="H23" s="135">
        <v>2</v>
      </c>
      <c r="I23" s="102">
        <v>13.5</v>
      </c>
      <c r="J23" s="190">
        <f>LOG(I23+1)*4/3</f>
        <v>1.5484906696466332</v>
      </c>
      <c r="K23" s="98">
        <f>(H23)*(H23)*(I23)</f>
        <v>54</v>
      </c>
      <c r="L23" s="98">
        <f>(H23+1)*(H23+1)*I23</f>
        <v>121.5</v>
      </c>
      <c r="M23" s="140">
        <v>5.0999999999999996</v>
      </c>
      <c r="N23" s="183">
        <f>M23*10+19</f>
        <v>70</v>
      </c>
      <c r="O23" s="183" t="s">
        <v>256</v>
      </c>
      <c r="P23" s="313">
        <v>1.5</v>
      </c>
      <c r="Q23" s="183">
        <v>7</v>
      </c>
      <c r="R23" s="204">
        <f>(Q23/7)^0.5</f>
        <v>1</v>
      </c>
      <c r="S23" s="204">
        <f>IF(Q23=7,1,((Q23+0.99)/7)^0.5)</f>
        <v>1</v>
      </c>
      <c r="T23" s="323">
        <v>14090</v>
      </c>
      <c r="U23" s="276">
        <f>T23-BG23</f>
        <v>-680</v>
      </c>
      <c r="V23" s="116">
        <v>3410</v>
      </c>
      <c r="W23" s="109">
        <f>T23/V23</f>
        <v>4.1319648093841641</v>
      </c>
      <c r="X23" s="189">
        <v>0</v>
      </c>
      <c r="Y23" s="190">
        <f>7+0.11+0.11+1/33</f>
        <v>7.2503030303030309</v>
      </c>
      <c r="Z23" s="189">
        <f>10+0.1*0.5+0.1*0.5+0.1*0.5+0.1*0.5+0.1*0.5+0.1+0.1+0.1*0.5+0.1*0.5+0.1*0.5</f>
        <v>10.600000000000005</v>
      </c>
      <c r="AA23" s="190">
        <v>12.95</v>
      </c>
      <c r="AB23" s="189">
        <v>9.9499999999999993</v>
      </c>
      <c r="AC23" s="190">
        <v>3.95</v>
      </c>
      <c r="AD23" s="189">
        <v>18</v>
      </c>
      <c r="AE23" s="322">
        <v>1470</v>
      </c>
      <c r="AF23" s="258">
        <f>(Z23+P23+J23)*(Q23/7)^0.5</f>
        <v>13.648490669646637</v>
      </c>
      <c r="AG23" s="258">
        <f>(Z23+P23+J23)*(IF(Q23=7, (Q23/7)^0.5, ((Q23+1)/7)^0.5))</f>
        <v>13.648490669646637</v>
      </c>
      <c r="AH23" s="109">
        <f>(((Y23+P23+J23)+(AB23+P23+J23)*2)/8)*(Q23/7)^0.5</f>
        <v>4.5369718799053658</v>
      </c>
      <c r="AI23" s="109">
        <f>(1.66*(AC23+J23+P23)+0.55*(AD23+J23+P23)-7.6)*(Q23/7)^0.5</f>
        <v>15.594164379919059</v>
      </c>
      <c r="AJ23" s="109">
        <f>((AD23+J23+P23)*0.7+(AC23+J23+P23)*0.3)*(Q23/7)^0.5</f>
        <v>16.833490669646633</v>
      </c>
      <c r="AK23" s="109">
        <f>(0.5*(AC23+P23+J23)+ 0.3*(AD23+P23+J23))/10</f>
        <v>0.98137925357173061</v>
      </c>
      <c r="AL23" s="109">
        <f>(0.4*(Y23+P23+J23)+0.3*(AD23+P23+J23))/10</f>
        <v>1.0434064680873854</v>
      </c>
      <c r="AM23" s="105">
        <f>(AD23+P23+(LOG(I23)*4/3))*(Q23/7)^0.5</f>
        <v>21.007111691326674</v>
      </c>
      <c r="AN23" s="105">
        <f>(AD23+P23+(LOG(I23)*4/3))*(IF(Q23=7, (Q23/7)^0.5, ((Q23+1)/7)^0.5))</f>
        <v>21.007111691326674</v>
      </c>
      <c r="AO23" s="183">
        <v>4</v>
      </c>
      <c r="AP23" s="183">
        <v>4</v>
      </c>
      <c r="AQ23" s="248">
        <f>IF(AO23=4,IF(AP23=0,0.137+0.0697,0.137+0.02),IF(AO23=3,IF(AP23=0,0.0958+0.0697,0.0958+0.02),IF(AO23=2,IF(AP23=0,0.0415+0.0697,0.0415+0.02),IF(AO23=1,IF(AP23=0,0.0294+0.0697,0.0294+0.02),IF(AO23=0,IF(AP23=0,0.0063+0.0697,0.0063+0.02))))))</f>
        <v>0.157</v>
      </c>
      <c r="AR23" s="324"/>
      <c r="AS23" s="324"/>
      <c r="AT23" s="324"/>
      <c r="AU23" s="324"/>
      <c r="AV23" s="248"/>
      <c r="AW23" s="248"/>
      <c r="AX23" s="248"/>
      <c r="AY23" s="248"/>
      <c r="AZ23" s="248"/>
      <c r="BA23" s="248"/>
      <c r="BB23" s="248"/>
      <c r="BC23" s="248"/>
      <c r="BD23" s="248"/>
      <c r="BE23" s="248"/>
      <c r="BF23" s="248"/>
      <c r="BG23" s="323">
        <v>14770</v>
      </c>
      <c r="BH23" s="329"/>
      <c r="BJ23" s="141"/>
      <c r="BK23" s="144"/>
    </row>
    <row r="24" spans="1:63" s="81" customFormat="1" x14ac:dyDescent="0.25">
      <c r="A24" s="136" t="s">
        <v>176</v>
      </c>
      <c r="B24" s="136" t="s">
        <v>64</v>
      </c>
      <c r="C24" s="137">
        <f ca="1">((34*112)-(E24*112)-(F24))/112</f>
        <v>1.5267857142857142</v>
      </c>
      <c r="D24" s="303" t="s">
        <v>225</v>
      </c>
      <c r="E24" s="138">
        <v>32</v>
      </c>
      <c r="F24" s="58">
        <f ca="1">7-41471+$D$1-112-111-112+4-112-116-112-112-112-112-112-112-112-112-112-112-112-112-112-112</f>
        <v>53</v>
      </c>
      <c r="G24" s="139" t="s">
        <v>220</v>
      </c>
      <c r="H24" s="135">
        <v>2</v>
      </c>
      <c r="I24" s="102">
        <v>13</v>
      </c>
      <c r="J24" s="190">
        <f>LOG(I24+1)*4/3</f>
        <v>1.5281707142376506</v>
      </c>
      <c r="K24" s="98">
        <f>(H24)*(H24)*(I24)</f>
        <v>52</v>
      </c>
      <c r="L24" s="98">
        <f>(H24+1)*(H24+1)*I24</f>
        <v>117</v>
      </c>
      <c r="M24" s="140">
        <v>6.2</v>
      </c>
      <c r="N24" s="183">
        <f>M24*10+19</f>
        <v>81</v>
      </c>
      <c r="O24" s="183" t="s">
        <v>256</v>
      </c>
      <c r="P24" s="313">
        <v>1.5</v>
      </c>
      <c r="Q24" s="183">
        <v>5</v>
      </c>
      <c r="R24" s="204">
        <f>(Q24/7)^0.5</f>
        <v>0.84515425472851657</v>
      </c>
      <c r="S24" s="204">
        <f>IF(Q24=7,1,((Q24+0.99)/7)^0.5)</f>
        <v>0.92504826128926143</v>
      </c>
      <c r="T24" s="116">
        <v>91310</v>
      </c>
      <c r="U24" s="276">
        <f>T24-BG24</f>
        <v>-4240</v>
      </c>
      <c r="V24" s="116">
        <v>12210</v>
      </c>
      <c r="W24" s="109">
        <f>T24/V24</f>
        <v>7.4782964782964783</v>
      </c>
      <c r="X24" s="189">
        <v>0</v>
      </c>
      <c r="Y24" s="190">
        <f>8+0.12+0.12+0.12</f>
        <v>8.3599999999999977</v>
      </c>
      <c r="Z24" s="189">
        <f>8.4+0.22+0.22+(0.22*75/90)+(0.05*15/90)+0.17+0.17+0.17+0.17+0.17+1/7+0.16+0.16+0.16+0.125+0.16+0.16+0.14+0.14+0.05*61/90+0.11+0.11*0.5+0.11+0.11+0.11+0.1+0.1+0.1*0.5+0.1*0.5+0.1+0.1*0.5+0.09*0.5</f>
        <v>12.253412698412699</v>
      </c>
      <c r="AA24" s="190">
        <v>12.95</v>
      </c>
      <c r="AB24" s="189">
        <f>6+0.33+0.33+0.33+0.3+0.25+0.25+0.24+0.24+0.23+0.2+0.2+0.18+0.15+0.15+0.15+0.15+0.13+0.13+0.12+0.1+0.08</f>
        <v>10.24</v>
      </c>
      <c r="AC24" s="190">
        <v>6.95</v>
      </c>
      <c r="AD24" s="189">
        <v>16</v>
      </c>
      <c r="AE24" s="322">
        <v>1760</v>
      </c>
      <c r="AF24" s="258">
        <f>(Z24+P24+J24)*(Q24/7)^0.5</f>
        <v>12.915295240190167</v>
      </c>
      <c r="AG24" s="258">
        <f>(Z24+P24+J24)*(IF(Q24=7, (Q24/7)^0.5, ((Q24+1)/7)^0.5))</f>
        <v>14.147997079782513</v>
      </c>
      <c r="AH24" s="109">
        <f>(((Y24+P24+J24)+(AB24+P24+J24)*2)/8)*(Q24/7)^0.5</f>
        <v>4.0065078494896431</v>
      </c>
      <c r="AI24" s="109">
        <f>(1.66*(AC24+J24+P24)+0.55*(AD24+J24+P24)-7.6)*(Q24/7)^0.5</f>
        <v>16.420719455109868</v>
      </c>
      <c r="AJ24" s="109">
        <f>((AD24+J24+P24)*0.7+(AC24+J24+P24)*0.3)*(Q24/7)^0.5</f>
        <v>13.787145637250584</v>
      </c>
      <c r="AK24" s="109">
        <f>(0.5*(AC24+P24+J24)+ 0.3*(AD24+P24+J24))/10</f>
        <v>1.069753657139012</v>
      </c>
      <c r="AL24" s="109">
        <f>(0.4*(Y24+P24+J24)+0.3*(AD24+P24+J24))/10</f>
        <v>1.0263719499966355</v>
      </c>
      <c r="AM24" s="105">
        <f>(AD24+P24+(LOG(I24)*4/3))*(Q24/7)^0.5</f>
        <v>16.045471409387268</v>
      </c>
      <c r="AN24" s="105">
        <f>(AD24+P24+(LOG(I24)*4/3))*(IF(Q24=7, (Q24/7)^0.5, ((Q24+1)/7)^0.5))</f>
        <v>17.576933273451232</v>
      </c>
      <c r="AO24" s="183">
        <v>3</v>
      </c>
      <c r="AP24" s="183">
        <v>2</v>
      </c>
      <c r="AQ24" s="248">
        <f>IF(AO24=4,IF(AP24=0,0.137+0.0697,0.137+0.02),IF(AO24=3,IF(AP24=0,0.0958+0.0697,0.0958+0.02),IF(AO24=2,IF(AP24=0,0.0415+0.0697,0.0415+0.02),IF(AO24=1,IF(AP24=0,0.0294+0.0697,0.0294+0.02),IF(AO24=0,IF(AP24=0,0.0063+0.0697,0.0063+0.02))))))</f>
        <v>0.1158</v>
      </c>
      <c r="AR24" s="324"/>
      <c r="AS24" s="324"/>
      <c r="AT24" s="324"/>
      <c r="AU24" s="324"/>
      <c r="AV24" s="248"/>
      <c r="AW24" s="248"/>
      <c r="AX24" s="248"/>
      <c r="AY24" s="248"/>
      <c r="AZ24" s="248"/>
      <c r="BA24" s="248"/>
      <c r="BB24" s="248"/>
      <c r="BC24" s="248"/>
      <c r="BD24" s="248"/>
      <c r="BE24" s="248"/>
      <c r="BF24" s="248"/>
      <c r="BG24" s="116">
        <v>95550</v>
      </c>
      <c r="BH24" s="327"/>
      <c r="BJ24" s="141"/>
      <c r="BK24" s="144"/>
    </row>
    <row r="25" spans="1:63" s="81" customFormat="1" x14ac:dyDescent="0.25">
      <c r="A25" s="100" t="s">
        <v>178</v>
      </c>
      <c r="B25" s="79" t="s">
        <v>64</v>
      </c>
      <c r="C25" s="137">
        <f ca="1">((34*112)-(E25*112)-(F25))/112</f>
        <v>-1.4732142857142858</v>
      </c>
      <c r="D25" s="303" t="s">
        <v>169</v>
      </c>
      <c r="E25" s="57">
        <v>35</v>
      </c>
      <c r="F25" s="58">
        <f ca="1">7-41471+$D$1-112-111-112-112-112-112-112-112-112-112-112-112-112-112-112-112-112-112-112</f>
        <v>53</v>
      </c>
      <c r="G25" s="80"/>
      <c r="H25" s="135">
        <v>0</v>
      </c>
      <c r="I25" s="59">
        <v>12</v>
      </c>
      <c r="J25" s="190">
        <f>LOG(I25+1)*4/3</f>
        <v>1.4852578030757824</v>
      </c>
      <c r="K25" s="98">
        <f>(H25)*(H25)*(I25)</f>
        <v>0</v>
      </c>
      <c r="L25" s="98">
        <f>(H25+1)*(H25+1)*I25</f>
        <v>12</v>
      </c>
      <c r="M25" s="92">
        <v>5.0999999999999996</v>
      </c>
      <c r="N25" s="183">
        <f>M25*10+19</f>
        <v>70</v>
      </c>
      <c r="O25" s="183" t="s">
        <v>256</v>
      </c>
      <c r="P25" s="313">
        <v>1.5</v>
      </c>
      <c r="Q25" s="184">
        <v>5</v>
      </c>
      <c r="R25" s="204">
        <f>(Q25/7)^0.5</f>
        <v>0.84515425472851657</v>
      </c>
      <c r="S25" s="204">
        <f>IF(Q25=7,1,((Q25+0.99)/7)^0.5)</f>
        <v>0.92504826128926143</v>
      </c>
      <c r="T25" s="116">
        <v>9910</v>
      </c>
      <c r="U25" s="276">
        <f>T25-BG25</f>
        <v>-460</v>
      </c>
      <c r="V25" s="277">
        <v>8340</v>
      </c>
      <c r="W25" s="109">
        <f>T25/V25</f>
        <v>1.1882494004796162</v>
      </c>
      <c r="X25" s="189">
        <v>0</v>
      </c>
      <c r="Y25" s="190">
        <v>5.95</v>
      </c>
      <c r="Z25" s="189">
        <v>14.1</v>
      </c>
      <c r="AA25" s="190">
        <v>2.95</v>
      </c>
      <c r="AB25" s="189">
        <v>8.9499999999999993</v>
      </c>
      <c r="AC25" s="190">
        <v>5.95</v>
      </c>
      <c r="AD25" s="189">
        <v>16.95</v>
      </c>
      <c r="AE25" s="322">
        <v>1357</v>
      </c>
      <c r="AF25" s="258">
        <f>(Z25+P25+J25)*(Q25/7)^0.5</f>
        <v>14.439678325403083</v>
      </c>
      <c r="AG25" s="258">
        <f>(Z25+P25+J25)*(IF(Q25=7, (Q25/7)^0.5, ((Q25+1)/7)^0.5))</f>
        <v>15.817875083883381</v>
      </c>
      <c r="AH25" s="109">
        <f>(((Y25+P25+J25)+(AB25+P25+J25)*2)/8)*(Q25/7)^0.5</f>
        <v>3.4657423720585152</v>
      </c>
      <c r="AI25" s="109">
        <f>(1.66*(AC25+J25+P25)+0.55*(AD25+J25+P25)-7.6)*(Q25/7)^0.5</f>
        <v>15.37920414526894</v>
      </c>
      <c r="AJ25" s="109">
        <f>((AD25+J25+P25)*0.7+(AC25+J25+P25)*0.3)*(Q25/7)^0.5</f>
        <v>14.059358910775252</v>
      </c>
      <c r="AK25" s="109">
        <f>(0.5*(AC25+P25+J25)+ 0.3*(AD25+P25+J25))/10</f>
        <v>1.0448206242460625</v>
      </c>
      <c r="AL25" s="109">
        <f>(0.4*(Y25+P25+J25)+0.3*(AD25+P25+J25))/10</f>
        <v>0.95546804621530479</v>
      </c>
      <c r="AM25" s="105">
        <f>(AD25+P25+(LOG(I25)*4/3))*(Q25/7)^0.5</f>
        <v>16.809195495368293</v>
      </c>
      <c r="AN25" s="105">
        <f>(AD25+P25+(LOG(I25)*4/3))*(IF(Q25=7, (Q25/7)^0.5, ((Q25+1)/7)^0.5))</f>
        <v>18.413551092654878</v>
      </c>
      <c r="AO25" s="184">
        <v>2</v>
      </c>
      <c r="AP25" s="184">
        <v>1</v>
      </c>
      <c r="AQ25" s="248">
        <f>IF(AO25=4,IF(AP25=0,0.137+0.0697,0.137+0.02),IF(AO25=3,IF(AP25=0,0.0958+0.0697,0.0958+0.02),IF(AO25=2,IF(AP25=0,0.0415+0.0697,0.0415+0.02),IF(AO25=1,IF(AP25=0,0.0294+0.0697,0.0294+0.02),IF(AO25=0,IF(AP25=0,0.0063+0.0697,0.0063+0.02))))))</f>
        <v>6.1499999999999999E-2</v>
      </c>
      <c r="AR25" s="324"/>
      <c r="AS25" s="324"/>
      <c r="AT25" s="324"/>
      <c r="AU25" s="324"/>
      <c r="AV25" s="248"/>
      <c r="AW25" s="248"/>
      <c r="AX25" s="248"/>
      <c r="AY25" s="248"/>
      <c r="AZ25" s="248"/>
      <c r="BA25" s="248"/>
      <c r="BB25" s="248"/>
      <c r="BC25" s="248"/>
      <c r="BD25" s="248"/>
      <c r="BE25" s="248"/>
      <c r="BF25" s="248"/>
      <c r="BG25" s="116">
        <v>10370</v>
      </c>
      <c r="BH25" s="327"/>
      <c r="BJ25" s="141"/>
      <c r="BK25" s="144"/>
    </row>
    <row r="26" spans="1:63" s="75" customFormat="1" x14ac:dyDescent="0.25">
      <c r="A26" s="136" t="s">
        <v>224</v>
      </c>
      <c r="B26" s="136" t="s">
        <v>64</v>
      </c>
      <c r="C26" s="137">
        <f ca="1">((34*112)-(E26*112)-(F26))/112</f>
        <v>-0.8035714285714286</v>
      </c>
      <c r="D26" s="303" t="s">
        <v>102</v>
      </c>
      <c r="E26" s="138">
        <v>34</v>
      </c>
      <c r="F26" s="143">
        <f ca="1">74-41471+$D$1-112-112-29-112-112-112-112-112-112-112-112-112-112-112-112-112-112-112-112-112</f>
        <v>90</v>
      </c>
      <c r="G26" s="139" t="s">
        <v>105</v>
      </c>
      <c r="H26" s="135">
        <v>3</v>
      </c>
      <c r="I26" s="102">
        <v>14.3</v>
      </c>
      <c r="J26" s="190">
        <f>LOG(I26+1)*4/3</f>
        <v>1.5795885744234652</v>
      </c>
      <c r="K26" s="98">
        <f>(H26)*(H26)*(I26)</f>
        <v>128.70000000000002</v>
      </c>
      <c r="L26" s="98">
        <f>(H26+1)*(H26+1)*I26</f>
        <v>228.8</v>
      </c>
      <c r="M26" s="140">
        <v>5.4</v>
      </c>
      <c r="N26" s="183">
        <f>M26*10+19</f>
        <v>73</v>
      </c>
      <c r="O26" s="183" t="s">
        <v>256</v>
      </c>
      <c r="P26" s="313">
        <v>1.5</v>
      </c>
      <c r="Q26" s="183">
        <v>4</v>
      </c>
      <c r="R26" s="204">
        <f>(Q26/7)^0.5</f>
        <v>0.7559289460184544</v>
      </c>
      <c r="S26" s="204">
        <f>IF(Q26=7,1,((Q26+0.99)/7)^0.5)</f>
        <v>0.84430867747355465</v>
      </c>
      <c r="T26" s="116">
        <v>1090</v>
      </c>
      <c r="U26" s="276">
        <f>T26-BG26</f>
        <v>-3480</v>
      </c>
      <c r="V26" s="116">
        <v>1200</v>
      </c>
      <c r="W26" s="109">
        <f>T26/V26</f>
        <v>0.90833333333333333</v>
      </c>
      <c r="X26" s="189">
        <v>0</v>
      </c>
      <c r="Y26" s="190">
        <f>5+(5/7)+0.07+0.21+0.07+0.07+0.07+0.07+0.07+0.07+0.06+0.03+0.03+0.03+0.03+0.03+0.2*33/90+0.03+0.03+0.02+0.02+0.01+0.01+0.01+0.01</f>
        <v>6.8376190476190493</v>
      </c>
      <c r="Z26" s="189">
        <v>8.9499999999999993</v>
      </c>
      <c r="AA26" s="190">
        <f>7.9+0.165+0.165+0.21+0.13+0.03+0.03+0.03+0.02+0.02+0.02+0.01+0.01</f>
        <v>8.7399999999999967</v>
      </c>
      <c r="AB26" s="189">
        <v>9.9499999999999993</v>
      </c>
      <c r="AC26" s="190">
        <v>6.95</v>
      </c>
      <c r="AD26" s="189">
        <f>17.99+0.2+0.15+0.15+0.15+0.15+0.11+0.1</f>
        <v>18.999999999999993</v>
      </c>
      <c r="AE26" s="322">
        <v>1271</v>
      </c>
      <c r="AF26" s="258">
        <f>(Z26+P26+J26)*(Q26/7)^0.5</f>
        <v>9.0935142120995707</v>
      </c>
      <c r="AG26" s="258">
        <f>(Z26+P26+J26)*(IF(Q26=7, (Q26/7)^0.5, ((Q26+1)/7)^0.5))</f>
        <v>10.166857966307541</v>
      </c>
      <c r="AH26" s="109">
        <f>(((Y26+P26+J26)+(AB26+P26+J26)*2)/8)*(Q26/7)^0.5</f>
        <v>3.3994488276766033</v>
      </c>
      <c r="AI26" s="109">
        <f>(1.66*(AC26+J26+P26)+0.55*(AD26+J26+P26)-7.6)*(Q26/7)^0.5</f>
        <v>16.020319567335537</v>
      </c>
      <c r="AJ26" s="109">
        <f>((AD26+J26+P26)*0.7+(AC26+J26+P26)*0.3)*(Q26/7)^0.5</f>
        <v>13.957916979728321</v>
      </c>
      <c r="AK26" s="109">
        <f>(0.5*(AC26+P26+J26)+ 0.3*(AD26+P26+J26))/10</f>
        <v>1.1638670859538771</v>
      </c>
      <c r="AL26" s="109">
        <f>(0.4*(Y26+P26+J26)+0.3*(AD26+P26+J26))/10</f>
        <v>1.0590759621144044</v>
      </c>
      <c r="AM26" s="105">
        <f>(AD26+P26+(LOG(I26)*4/3))*(Q26/7)^0.5</f>
        <v>16.661012664175779</v>
      </c>
      <c r="AN26" s="105">
        <f>(AD26+P26+(LOG(I26)*4/3))*(IF(Q26=7, (Q26/7)^0.5, ((Q26+1)/7)^0.5))</f>
        <v>18.627578445540959</v>
      </c>
      <c r="AO26" s="183">
        <v>4</v>
      </c>
      <c r="AP26" s="183">
        <v>2</v>
      </c>
      <c r="AQ26" s="248">
        <f>IF(AO26=4,IF(AP26=0,0.137+0.0697,0.137+0.02),IF(AO26=3,IF(AP26=0,0.0958+0.0697,0.0958+0.02),IF(AO26=2,IF(AP26=0,0.0415+0.0697,0.0415+0.02),IF(AO26=1,IF(AP26=0,0.0294+0.0697,0.0294+0.02),IF(AO26=0,IF(AP26=0,0.0063+0.0697,0.0063+0.02))))))</f>
        <v>0.157</v>
      </c>
      <c r="AR26" s="324"/>
      <c r="AS26" s="324"/>
      <c r="AT26" s="324"/>
      <c r="AU26" s="324"/>
      <c r="AV26" s="248"/>
      <c r="AW26" s="248"/>
      <c r="AX26" s="248"/>
      <c r="AY26" s="248"/>
      <c r="AZ26" s="248"/>
      <c r="BA26" s="248"/>
      <c r="BB26" s="248"/>
      <c r="BC26" s="248"/>
      <c r="BD26" s="248"/>
      <c r="BE26" s="248"/>
      <c r="BF26" s="248"/>
      <c r="BG26" s="116">
        <v>4570</v>
      </c>
      <c r="BH26" s="327"/>
      <c r="BJ26" s="141"/>
      <c r="BK26" s="144"/>
    </row>
    <row r="27" spans="1:63" s="82" customFormat="1" x14ac:dyDescent="0.25">
      <c r="A27" s="136" t="s">
        <v>250</v>
      </c>
      <c r="B27" s="136" t="s">
        <v>64</v>
      </c>
      <c r="C27" s="137">
        <f ca="1">((34*112)-(E27*112)-(F27))/112</f>
        <v>1.9196428571428572</v>
      </c>
      <c r="D27" s="303" t="s">
        <v>251</v>
      </c>
      <c r="E27" s="57">
        <v>32</v>
      </c>
      <c r="F27" s="58">
        <f ca="1">7-41471+$D$1-112-111-43-112-112-1-112-112-112-112-112-112-112-112-112-112-112-112-112-112-112</f>
        <v>9</v>
      </c>
      <c r="G27" s="80"/>
      <c r="H27" s="319">
        <v>5</v>
      </c>
      <c r="I27" s="59">
        <v>6.2</v>
      </c>
      <c r="J27" s="190">
        <f>LOG(I27+1)*4/3</f>
        <v>1.1431099952416914</v>
      </c>
      <c r="K27" s="98">
        <f>(H27)*(H27)*(I27)</f>
        <v>155</v>
      </c>
      <c r="L27" s="98">
        <f>(H27+1)*(H27+1)*I27</f>
        <v>223.20000000000002</v>
      </c>
      <c r="M27" s="92">
        <v>6.3</v>
      </c>
      <c r="N27" s="183">
        <f>M27*10+19</f>
        <v>82</v>
      </c>
      <c r="O27" s="183" t="s">
        <v>256</v>
      </c>
      <c r="P27" s="313">
        <v>1.5</v>
      </c>
      <c r="Q27" s="184">
        <v>4</v>
      </c>
      <c r="R27" s="204">
        <f>(Q27/7)^0.5</f>
        <v>0.7559289460184544</v>
      </c>
      <c r="S27" s="204">
        <f>IF(Q27=7,1,((Q27+0.99)/7)^0.5)</f>
        <v>0.84430867747355465</v>
      </c>
      <c r="T27" s="277">
        <v>10130</v>
      </c>
      <c r="U27" s="276">
        <f>T27-BG27</f>
        <v>-290</v>
      </c>
      <c r="V27" s="277">
        <v>2040</v>
      </c>
      <c r="W27" s="109">
        <f>T27/V27</f>
        <v>4.965686274509804</v>
      </c>
      <c r="X27" s="189">
        <v>0</v>
      </c>
      <c r="Y27" s="190">
        <f>4+0.01+0.01</f>
        <v>4.0199999999999996</v>
      </c>
      <c r="Z27" s="189">
        <v>5.95</v>
      </c>
      <c r="AA27" s="190">
        <f>4.9+0.25+0.05+0.05+0.05+0.04+0.03+0.03+0.03+0.02+0.02+0.02+0.02</f>
        <v>5.5099999999999989</v>
      </c>
      <c r="AB27" s="189">
        <v>10.95</v>
      </c>
      <c r="AC27" s="190">
        <v>7.95</v>
      </c>
      <c r="AD27" s="189">
        <v>14</v>
      </c>
      <c r="AE27" s="322">
        <v>938</v>
      </c>
      <c r="AF27" s="258">
        <f>(Z27+P27+J27)*(Q27/7)^0.5</f>
        <v>6.4957805817236975</v>
      </c>
      <c r="AG27" s="258">
        <f>(Z27+P27+J27)*(IF(Q27=7, (Q27/7)^0.5, ((Q27+1)/7)^0.5))</f>
        <v>7.2625034738286587</v>
      </c>
      <c r="AH27" s="109">
        <f>(((Y27+P27+J27)+(AB27+P27+J27)*2)/8)*(Q27/7)^0.5</f>
        <v>3.198461042442502</v>
      </c>
      <c r="AI27" s="109">
        <f>(1.66*(AC27+J27+P27)+0.55*(AD27+J27+P27)-7.6)*(Q27/7)^0.5</f>
        <v>14.467174605147093</v>
      </c>
      <c r="AJ27" s="109">
        <f>((AD27+J27+P27)*0.7+(AC27+J27+P27)*0.3)*(Q27/7)^0.5</f>
        <v>11.208997560148759</v>
      </c>
      <c r="AK27" s="109">
        <f>(0.5*(AC27+P27+J27)+ 0.3*(AD27+P27+J27))/10</f>
        <v>1.0289487996193352</v>
      </c>
      <c r="AL27" s="109">
        <f>(0.4*(Y27+P27+J27)+0.3*(AD27+P27+J27))/10</f>
        <v>0.76581769966691837</v>
      </c>
      <c r="AM27" s="105">
        <f>(AD27+P27+(LOG(I27)*4/3))*(Q27/7)^0.5</f>
        <v>12.515554416187639</v>
      </c>
      <c r="AN27" s="105">
        <f>(AD27+P27+(LOG(I27)*4/3))*(IF(Q27=7, (Q27/7)^0.5, ((Q27+1)/7)^0.5))</f>
        <v>13.992815225346629</v>
      </c>
      <c r="AO27" s="184">
        <v>2</v>
      </c>
      <c r="AP27" s="184">
        <v>1</v>
      </c>
      <c r="AQ27" s="248">
        <f>IF(AO27=4,IF(AP27=0,0.137+0.0697,0.137+0.02),IF(AO27=3,IF(AP27=0,0.0958+0.0697,0.0958+0.02),IF(AO27=2,IF(AP27=0,0.0415+0.0697,0.0415+0.02),IF(AO27=1,IF(AP27=0,0.0294+0.0697,0.0294+0.02),IF(AO27=0,IF(AP27=0,0.0063+0.0697,0.0063+0.02))))))</f>
        <v>6.1499999999999999E-2</v>
      </c>
      <c r="AR27" s="324"/>
      <c r="AS27" s="324"/>
      <c r="AT27" s="324"/>
      <c r="AU27" s="324"/>
      <c r="AV27" s="248"/>
      <c r="AW27" s="248"/>
      <c r="AX27" s="248"/>
      <c r="AY27" s="248"/>
      <c r="AZ27" s="248"/>
      <c r="BA27" s="248"/>
      <c r="BB27" s="248"/>
      <c r="BC27" s="248"/>
      <c r="BD27" s="248"/>
      <c r="BE27" s="248"/>
      <c r="BF27" s="248"/>
      <c r="BG27" s="277">
        <v>10420</v>
      </c>
      <c r="BH27" s="328"/>
      <c r="BJ27" s="141"/>
      <c r="BK27" s="144"/>
    </row>
    <row r="28" spans="1:63" x14ac:dyDescent="0.25">
      <c r="G28" s="2"/>
      <c r="H28"/>
      <c r="I28" s="84"/>
      <c r="J28" s="191"/>
      <c r="K28"/>
      <c r="T28" s="68">
        <f>SUM(T4:T27)</f>
        <v>361990</v>
      </c>
      <c r="U28" s="68">
        <f t="shared" ref="U28:V28" si="35">SUM(U4:U27)</f>
        <v>-18620</v>
      </c>
      <c r="V28" s="68">
        <f t="shared" si="35"/>
        <v>82356</v>
      </c>
      <c r="W28" s="108">
        <f t="shared" si="3"/>
        <v>4.3954295983292049</v>
      </c>
      <c r="X28"/>
      <c r="AD28" s="106"/>
      <c r="AE28" s="68"/>
      <c r="AH28" s="68"/>
      <c r="AI28" s="68"/>
      <c r="AJ28" s="68"/>
      <c r="AK28" s="68"/>
      <c r="AL28" s="68"/>
      <c r="AM28" s="68"/>
      <c r="AN28" s="68"/>
    </row>
    <row r="29" spans="1:63" x14ac:dyDescent="0.25">
      <c r="G29" s="186"/>
      <c r="K29" s="186"/>
      <c r="M29" s="186"/>
      <c r="N29" s="186"/>
      <c r="Q29" s="186"/>
      <c r="T29" s="107"/>
      <c r="U29" s="107"/>
      <c r="V29" s="107"/>
      <c r="W29" s="89"/>
      <c r="AE29" s="89"/>
      <c r="AH29" s="89"/>
      <c r="AI29" s="89"/>
      <c r="AJ29" s="89"/>
      <c r="AK29" s="89"/>
      <c r="AL29" s="89"/>
      <c r="AM29" s="89"/>
      <c r="AN29" s="89"/>
    </row>
    <row r="30" spans="1:63" x14ac:dyDescent="0.25">
      <c r="I30" s="83"/>
      <c r="Y30" s="48"/>
    </row>
    <row r="31" spans="1:63" x14ac:dyDescent="0.25">
      <c r="D31" s="259"/>
      <c r="I31" s="83"/>
      <c r="P31" s="49"/>
      <c r="Y31" s="48"/>
      <c r="AE31" s="304"/>
    </row>
    <row r="32" spans="1:63" x14ac:dyDescent="0.25">
      <c r="D32" s="259"/>
      <c r="I32" s="83"/>
      <c r="P32" s="49"/>
      <c r="V32" s="311"/>
      <c r="Y32" s="48"/>
    </row>
    <row r="33" spans="3:40" x14ac:dyDescent="0.25">
      <c r="D33" s="260"/>
      <c r="I33" s="83"/>
      <c r="V33" s="311"/>
      <c r="Y33" s="48"/>
    </row>
    <row r="34" spans="3:40" x14ac:dyDescent="0.25">
      <c r="I34" s="83"/>
      <c r="Y34" s="48"/>
    </row>
    <row r="35" spans="3:40" x14ac:dyDescent="0.25">
      <c r="I35" s="83"/>
      <c r="V35" s="311"/>
      <c r="Y35" s="48"/>
    </row>
    <row r="36" spans="3:40" x14ac:dyDescent="0.25">
      <c r="I36" s="83"/>
      <c r="Y36" s="48"/>
    </row>
    <row r="37" spans="3:40" x14ac:dyDescent="0.25">
      <c r="I37" s="83"/>
      <c r="Y37" s="48"/>
    </row>
    <row r="38" spans="3:40" x14ac:dyDescent="0.25">
      <c r="C38"/>
      <c r="D38"/>
      <c r="G38"/>
      <c r="H38"/>
      <c r="I38" s="83"/>
      <c r="K38"/>
      <c r="M38"/>
      <c r="N38"/>
      <c r="O38"/>
      <c r="P38"/>
      <c r="Q38"/>
      <c r="R38"/>
      <c r="S38"/>
      <c r="V38"/>
      <c r="W38"/>
      <c r="X38"/>
      <c r="AE38"/>
      <c r="AH38"/>
      <c r="AI38"/>
      <c r="AK38"/>
      <c r="AL38"/>
      <c r="AM38"/>
      <c r="AN38"/>
    </row>
    <row r="39" spans="3:40" x14ac:dyDescent="0.25">
      <c r="C39"/>
      <c r="D39"/>
      <c r="G39"/>
      <c r="H39"/>
      <c r="I39" s="83"/>
      <c r="K39"/>
      <c r="M39"/>
      <c r="N39"/>
      <c r="O39"/>
      <c r="P39"/>
      <c r="Q39"/>
      <c r="R39"/>
      <c r="S39"/>
      <c r="V39"/>
      <c r="W39"/>
      <c r="X39"/>
      <c r="AE39"/>
      <c r="AH39"/>
      <c r="AI39"/>
      <c r="AK39"/>
      <c r="AL39"/>
      <c r="AM39"/>
      <c r="AN39"/>
    </row>
    <row r="40" spans="3:40" x14ac:dyDescent="0.25">
      <c r="C40"/>
      <c r="D40"/>
      <c r="G40"/>
      <c r="H40"/>
      <c r="I40" s="83"/>
      <c r="K40"/>
      <c r="M40"/>
      <c r="N40"/>
      <c r="O40"/>
      <c r="P40"/>
      <c r="Q40"/>
      <c r="R40"/>
      <c r="S40"/>
      <c r="V40"/>
      <c r="W40"/>
      <c r="X40"/>
      <c r="AE40"/>
      <c r="AH40"/>
      <c r="AI40"/>
      <c r="AK40"/>
      <c r="AL40"/>
      <c r="AM40"/>
      <c r="AN40"/>
    </row>
    <row r="41" spans="3:40" x14ac:dyDescent="0.25">
      <c r="C41"/>
      <c r="D41"/>
      <c r="G41"/>
      <c r="H41"/>
      <c r="I41" s="83"/>
      <c r="K41"/>
      <c r="M41"/>
      <c r="N41"/>
      <c r="O41"/>
      <c r="P41"/>
      <c r="Q41"/>
      <c r="R41"/>
      <c r="S41"/>
      <c r="V41"/>
      <c r="W41"/>
      <c r="X41"/>
      <c r="AE41"/>
      <c r="AH41"/>
      <c r="AI41"/>
      <c r="AK41"/>
      <c r="AL41"/>
      <c r="AM41"/>
      <c r="AN41"/>
    </row>
  </sheetData>
  <sortState ref="A5:BG31">
    <sortCondition descending="1" ref="B5:B31"/>
  </sortState>
  <mergeCells count="1">
    <mergeCell ref="E1:G1"/>
  </mergeCells>
  <conditionalFormatting sqref="N5:N27">
    <cfRule type="cellIs" dxfId="77" priority="480" operator="greaterThan">
      <formula>82</formula>
    </cfRule>
    <cfRule type="cellIs" dxfId="76" priority="481" operator="lessThan">
      <formula>79</formula>
    </cfRule>
  </conditionalFormatting>
  <conditionalFormatting sqref="Q5:Q27">
    <cfRule type="cellIs" dxfId="75" priority="454" operator="greaterThan">
      <formula>6</formula>
    </cfRule>
    <cfRule type="cellIs" dxfId="74" priority="455" operator="lessThan">
      <formula>5</formula>
    </cfRule>
  </conditionalFormatting>
  <conditionalFormatting sqref="R5:S27">
    <cfRule type="cellIs" dxfId="73" priority="448" operator="greaterThan">
      <formula>0.95</formula>
    </cfRule>
    <cfRule type="cellIs" dxfId="72" priority="449" operator="lessThan">
      <formula>0.85</formula>
    </cfRule>
  </conditionalFormatting>
  <conditionalFormatting sqref="N4">
    <cfRule type="cellIs" dxfId="71" priority="329" operator="greaterThan">
      <formula>82</formula>
    </cfRule>
    <cfRule type="cellIs" dxfId="70" priority="330" operator="lessThan">
      <formula>79</formula>
    </cfRule>
  </conditionalFormatting>
  <conditionalFormatting sqref="Q4">
    <cfRule type="cellIs" dxfId="69" priority="327" operator="greaterThan">
      <formula>6</formula>
    </cfRule>
    <cfRule type="cellIs" dxfId="68" priority="328" operator="lessThan">
      <formula>5</formula>
    </cfRule>
  </conditionalFormatting>
  <conditionalFormatting sqref="R4:S4">
    <cfRule type="cellIs" dxfId="67" priority="325" operator="greaterThan">
      <formula>0.95</formula>
    </cfRule>
    <cfRule type="cellIs" dxfId="66" priority="326" operator="lessThan">
      <formula>0.85</formula>
    </cfRule>
  </conditionalFormatting>
  <conditionalFormatting sqref="AQ4:AQ27">
    <cfRule type="cellIs" dxfId="65" priority="43" operator="lessThan">
      <formula>0.07</formula>
    </cfRule>
    <cfRule type="cellIs" dxfId="64" priority="44" operator="greaterThan">
      <formula>0.1</formula>
    </cfRule>
  </conditionalFormatting>
  <conditionalFormatting sqref="V4:V27">
    <cfRule type="dataBar" priority="3457">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59">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1">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3">
      <dataBar>
        <cfvo type="min"/>
        <cfvo type="max"/>
        <color rgb="FF008AEF"/>
      </dataBar>
      <extLst>
        <ext xmlns:x14="http://schemas.microsoft.com/office/spreadsheetml/2009/9/main" uri="{B025F937-C7B1-47D3-B67F-A62EFF666E3E}">
          <x14:id>{9C1C1947-295C-4847-A125-212D9BCEE319}</x14:id>
        </ext>
      </extLst>
    </cfRule>
  </conditionalFormatting>
  <conditionalFormatting sqref="P4:P27">
    <cfRule type="colorScale" priority="3465">
      <colorScale>
        <cfvo type="min"/>
        <cfvo type="max"/>
        <color rgb="FFFFEF9C"/>
        <color rgb="FF63BE7B"/>
      </colorScale>
    </cfRule>
  </conditionalFormatting>
  <conditionalFormatting sqref="C4:C27">
    <cfRule type="colorScale" priority="3467">
      <colorScale>
        <cfvo type="min"/>
        <cfvo type="percentile" val="50"/>
        <cfvo type="max"/>
        <color rgb="FFF8696B"/>
        <color rgb="FFFFEB84"/>
        <color rgb="FF63BE7B"/>
      </colorScale>
    </cfRule>
  </conditionalFormatting>
  <conditionalFormatting sqref="AF4:AG27">
    <cfRule type="colorScale" priority="3469">
      <colorScale>
        <cfvo type="min"/>
        <cfvo type="percentile" val="50"/>
        <cfvo type="max"/>
        <color rgb="FFF8696B"/>
        <color rgb="FFFFEB84"/>
        <color rgb="FF63BE7B"/>
      </colorScale>
    </cfRule>
  </conditionalFormatting>
  <conditionalFormatting sqref="AH4:AH27">
    <cfRule type="colorScale" priority="3471">
      <colorScale>
        <cfvo type="min"/>
        <cfvo type="percentile" val="50"/>
        <cfvo type="max"/>
        <color rgb="FFF8696B"/>
        <color rgb="FFFCFCFF"/>
        <color rgb="FF5A8AC6"/>
      </colorScale>
    </cfRule>
  </conditionalFormatting>
  <conditionalFormatting sqref="AI4:AI27">
    <cfRule type="colorScale" priority="3473">
      <colorScale>
        <cfvo type="min"/>
        <cfvo type="percentile" val="50"/>
        <cfvo type="max"/>
        <color rgb="FFF8696B"/>
        <color rgb="FFFFEB84"/>
        <color rgb="FF63BE7B"/>
      </colorScale>
    </cfRule>
  </conditionalFormatting>
  <conditionalFormatting sqref="AJ4:AJ27">
    <cfRule type="colorScale" priority="3475">
      <colorScale>
        <cfvo type="min"/>
        <cfvo type="percentile" val="50"/>
        <cfvo type="max"/>
        <color rgb="FFF8696B"/>
        <color rgb="FFFCFCFF"/>
        <color rgb="FF5A8AC6"/>
      </colorScale>
    </cfRule>
  </conditionalFormatting>
  <conditionalFormatting sqref="AK4:AL27">
    <cfRule type="colorScale" priority="3477">
      <colorScale>
        <cfvo type="min"/>
        <cfvo type="percentile" val="50"/>
        <cfvo type="max"/>
        <color rgb="FFF8696B"/>
        <color rgb="FFFFEB84"/>
        <color rgb="FF63BE7B"/>
      </colorScale>
    </cfRule>
  </conditionalFormatting>
  <conditionalFormatting sqref="AM4:AN27">
    <cfRule type="colorScale" priority="3479">
      <colorScale>
        <cfvo type="min"/>
        <cfvo type="percentile" val="50"/>
        <cfvo type="max"/>
        <color rgb="FFF8696B"/>
        <color rgb="FFFCFCFF"/>
        <color rgb="FF5A8AC6"/>
      </colorScale>
    </cfRule>
  </conditionalFormatting>
  <conditionalFormatting sqref="X4:AD27">
    <cfRule type="cellIs" dxfId="63" priority="3481" operator="greaterThan">
      <formula>10</formula>
    </cfRule>
    <cfRule type="colorScale" priority="3482">
      <colorScale>
        <cfvo type="min"/>
        <cfvo type="max"/>
        <color rgb="FFFCFCFF"/>
        <color rgb="FF63BE7B"/>
      </colorScale>
    </cfRule>
  </conditionalFormatting>
  <conditionalFormatting sqref="I4:I27">
    <cfRule type="colorScale" priority="3485">
      <colorScale>
        <cfvo type="min"/>
        <cfvo type="percentile" val="50"/>
        <cfvo type="max"/>
        <color rgb="FFF8696B"/>
        <color rgb="FFFFEB84"/>
        <color rgb="FF63BE7B"/>
      </colorScale>
    </cfRule>
  </conditionalFormatting>
  <conditionalFormatting sqref="BH4:BH27">
    <cfRule type="dataBar" priority="3487">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89">
      <colorScale>
        <cfvo type="min"/>
        <cfvo type="max"/>
        <color rgb="FFFCFCFF"/>
        <color rgb="FFF8696B"/>
      </colorScale>
    </cfRule>
  </conditionalFormatting>
  <conditionalFormatting sqref="AV4:BF27">
    <cfRule type="colorScale" priority="3491">
      <colorScale>
        <cfvo type="min"/>
        <cfvo type="percentile" val="50"/>
        <cfvo type="max"/>
        <color rgb="FFF8696B"/>
        <color rgb="FFFFEB84"/>
        <color rgb="FF63BE7B"/>
      </colorScale>
    </cfRule>
  </conditionalFormatting>
  <conditionalFormatting sqref="BH4:BH27">
    <cfRule type="dataBar" priority="3493">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497">
      <dataBar>
        <cfvo type="min"/>
        <cfvo type="max"/>
        <color rgb="FFFFB628"/>
      </dataBar>
      <extLst>
        <ext xmlns:x14="http://schemas.microsoft.com/office/spreadsheetml/2009/9/main" uri="{B025F937-C7B1-47D3-B67F-A62EFF666E3E}">
          <x14:id>{7BB4ADAD-44ED-41C2-BB15-58651F3681AE}</x14:id>
        </ext>
      </extLst>
    </cfRule>
  </conditionalFormatting>
  <conditionalFormatting sqref="BG4:BG27">
    <cfRule type="dataBar" priority="1">
      <dataBar>
        <cfvo type="min"/>
        <cfvo type="max"/>
        <color rgb="FF638EC6"/>
      </dataBar>
      <extLst>
        <ext xmlns:x14="http://schemas.microsoft.com/office/spreadsheetml/2009/9/main" uri="{B025F937-C7B1-47D3-B67F-A62EFF666E3E}">
          <x14:id>{BBBB7350-4B2A-4601-B5E0-16CDE282B06E}</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BBBB7350-4B2A-4601-B5E0-16CDE282B06E}">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206" customWidth="1"/>
    <col min="2" max="2" width="14.28515625" style="206" bestFit="1" customWidth="1"/>
    <col min="3" max="9" width="8.28515625" style="206" bestFit="1" customWidth="1"/>
    <col min="10" max="10" width="8.28515625" style="229" bestFit="1" customWidth="1"/>
    <col min="11" max="11" width="9.28515625" style="229" bestFit="1" customWidth="1"/>
    <col min="12" max="12" width="8.28515625" style="206"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8"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350</v>
      </c>
      <c r="C1" s="239">
        <f t="shared" ref="C1:L1" si="0">MAX(C3:C27)</f>
        <v>7.6541020779221203E-2</v>
      </c>
      <c r="D1" s="239">
        <f t="shared" si="0"/>
        <v>9.516709370629349E-2</v>
      </c>
      <c r="E1" s="239">
        <f t="shared" si="0"/>
        <v>0.10114897692307692</v>
      </c>
      <c r="F1" s="239">
        <f t="shared" si="0"/>
        <v>5.254696863959811E-2</v>
      </c>
      <c r="G1" s="239">
        <f t="shared" si="0"/>
        <v>5.2239892473118138E-2</v>
      </c>
      <c r="H1" s="239">
        <f t="shared" si="0"/>
        <v>8.0176190476190248E-2</v>
      </c>
      <c r="I1" s="239">
        <f t="shared" si="0"/>
        <v>5.7961761904761842E-2</v>
      </c>
      <c r="J1" s="239">
        <f t="shared" si="0"/>
        <v>0</v>
      </c>
      <c r="K1" s="239">
        <f t="shared" si="0"/>
        <v>3.6222627372627408E-2</v>
      </c>
      <c r="L1" s="239">
        <f t="shared" si="0"/>
        <v>0.16964285714285698</v>
      </c>
      <c r="N1" s="206"/>
      <c r="O1" s="206"/>
      <c r="P1" s="209"/>
      <c r="Q1" s="209"/>
      <c r="R1" s="209"/>
      <c r="S1" s="209"/>
      <c r="T1" s="209"/>
      <c r="U1" s="209"/>
      <c r="V1" s="209"/>
      <c r="W1" s="209"/>
      <c r="X1" s="209"/>
      <c r="Y1" s="288"/>
      <c r="Z1" s="209"/>
      <c r="AA1" s="209"/>
      <c r="AB1" s="209"/>
      <c r="AC1" s="209"/>
      <c r="AD1" s="209"/>
      <c r="AE1" s="209"/>
      <c r="AF1" s="209"/>
      <c r="AG1" s="209"/>
    </row>
    <row r="2" spans="1:33" x14ac:dyDescent="0.25">
      <c r="A2" s="283" t="s">
        <v>342</v>
      </c>
      <c r="B2" s="284" t="s">
        <v>341</v>
      </c>
      <c r="C2" s="117" t="s">
        <v>204</v>
      </c>
      <c r="D2" s="212" t="s">
        <v>205</v>
      </c>
      <c r="E2" s="212" t="s">
        <v>215</v>
      </c>
      <c r="F2" s="212" t="s">
        <v>206</v>
      </c>
      <c r="G2" s="212" t="s">
        <v>207</v>
      </c>
      <c r="H2" s="212" t="s">
        <v>208</v>
      </c>
      <c r="I2" s="212" t="s">
        <v>209</v>
      </c>
      <c r="J2" s="212" t="s">
        <v>351</v>
      </c>
      <c r="K2" s="212" t="s">
        <v>352</v>
      </c>
      <c r="L2" s="212" t="s">
        <v>263</v>
      </c>
      <c r="N2" s="283" t="s">
        <v>342</v>
      </c>
      <c r="O2" s="284" t="s">
        <v>341</v>
      </c>
      <c r="P2" s="117" t="s">
        <v>204</v>
      </c>
      <c r="Q2" s="212" t="s">
        <v>392</v>
      </c>
      <c r="R2" s="212" t="s">
        <v>205</v>
      </c>
      <c r="S2" s="212" t="s">
        <v>392</v>
      </c>
      <c r="T2" s="212" t="s">
        <v>215</v>
      </c>
      <c r="U2" s="212" t="s">
        <v>392</v>
      </c>
      <c r="V2" s="212" t="s">
        <v>206</v>
      </c>
      <c r="W2" s="212" t="s">
        <v>392</v>
      </c>
      <c r="X2" s="212" t="s">
        <v>207</v>
      </c>
      <c r="Y2" s="212" t="s">
        <v>392</v>
      </c>
      <c r="Z2" s="212" t="s">
        <v>208</v>
      </c>
      <c r="AA2" s="212" t="s">
        <v>392</v>
      </c>
      <c r="AB2" s="212" t="s">
        <v>209</v>
      </c>
      <c r="AC2" s="212" t="s">
        <v>392</v>
      </c>
      <c r="AD2" s="236" t="s">
        <v>351</v>
      </c>
      <c r="AE2" s="236" t="s">
        <v>392</v>
      </c>
      <c r="AF2" s="236" t="s">
        <v>352</v>
      </c>
      <c r="AG2" s="236" t="s">
        <v>392</v>
      </c>
    </row>
    <row r="3" spans="1:33" x14ac:dyDescent="0.25">
      <c r="A3" s="211" t="s">
        <v>343</v>
      </c>
      <c r="B3" s="210" t="s">
        <v>70</v>
      </c>
      <c r="C3" s="220"/>
      <c r="D3" s="221"/>
      <c r="E3" s="221"/>
      <c r="F3" s="221"/>
      <c r="G3" s="221"/>
      <c r="H3" s="221"/>
      <c r="I3" s="221"/>
      <c r="J3" s="221"/>
      <c r="K3" s="221"/>
      <c r="L3" s="221"/>
      <c r="M3" s="7"/>
      <c r="N3" s="240" t="s">
        <v>343</v>
      </c>
      <c r="O3" s="241" t="s">
        <v>70</v>
      </c>
      <c r="P3" s="223">
        <f>C3/$C$4</f>
        <v>0</v>
      </c>
      <c r="Q3" s="296" t="e">
        <f>1/C3</f>
        <v>#DIV/0!</v>
      </c>
      <c r="R3" s="223">
        <f>D3/D1</f>
        <v>0</v>
      </c>
      <c r="S3" s="296" t="e">
        <f>1/D3</f>
        <v>#DIV/0!</v>
      </c>
      <c r="T3" s="223">
        <f>E3/E1</f>
        <v>0</v>
      </c>
      <c r="U3" s="296" t="e">
        <f>1/E3</f>
        <v>#DIV/0!</v>
      </c>
      <c r="V3" s="224"/>
      <c r="W3" s="224"/>
      <c r="X3" s="224"/>
      <c r="Y3" s="289"/>
      <c r="Z3" s="224"/>
      <c r="AA3" s="224"/>
      <c r="AB3" s="224"/>
      <c r="AC3" s="224"/>
      <c r="AD3" s="224"/>
      <c r="AE3" s="224"/>
      <c r="AF3" s="224">
        <f>K3/K1</f>
        <v>0</v>
      </c>
      <c r="AG3" s="289"/>
    </row>
    <row r="4" spans="1:33" x14ac:dyDescent="0.25">
      <c r="A4" s="677" t="s">
        <v>344</v>
      </c>
      <c r="B4" s="218" t="s">
        <v>309</v>
      </c>
      <c r="C4" s="242">
        <v>5.9340247552447711E-2</v>
      </c>
      <c r="D4" s="235">
        <v>6.8999559240759498E-2</v>
      </c>
      <c r="E4" s="235">
        <v>7.5579372027972075E-2</v>
      </c>
      <c r="F4" s="235"/>
      <c r="G4" s="235"/>
      <c r="H4" s="235"/>
      <c r="I4" s="235"/>
      <c r="J4" s="235">
        <v>0</v>
      </c>
      <c r="K4" s="235">
        <v>3.6222627372627408E-2</v>
      </c>
      <c r="L4" s="235"/>
      <c r="M4" s="7"/>
      <c r="N4" s="679" t="s">
        <v>344</v>
      </c>
      <c r="O4" s="243" t="s">
        <v>309</v>
      </c>
      <c r="P4" s="225">
        <f>C4/$C$1</f>
        <v>0.77527379369046734</v>
      </c>
      <c r="Q4" s="290">
        <f>1/C4</f>
        <v>16.851968794301925</v>
      </c>
      <c r="R4" s="226">
        <f>D4/$D$1</f>
        <v>0.72503589795131562</v>
      </c>
      <c r="S4" s="290">
        <f>1/D4</f>
        <v>14.492846200809916</v>
      </c>
      <c r="T4" s="226">
        <f>E4/$E$1</f>
        <v>0.74720846742176794</v>
      </c>
      <c r="U4" s="290">
        <f>1/E4</f>
        <v>13.231123429153367</v>
      </c>
      <c r="V4" s="226"/>
      <c r="W4" s="226"/>
      <c r="X4" s="225"/>
      <c r="Y4" s="290"/>
      <c r="Z4" s="226"/>
      <c r="AA4" s="226"/>
      <c r="AB4" s="226"/>
      <c r="AC4" s="226"/>
      <c r="AD4" s="225"/>
      <c r="AE4" s="225"/>
      <c r="AF4" s="225">
        <f>K4/K1</f>
        <v>1</v>
      </c>
      <c r="AG4" s="294"/>
    </row>
    <row r="5" spans="1:33" x14ac:dyDescent="0.25">
      <c r="A5" s="677"/>
      <c r="B5" s="218" t="s">
        <v>308</v>
      </c>
      <c r="C5" s="237"/>
      <c r="D5" s="222"/>
      <c r="E5" s="222"/>
      <c r="F5" s="222">
        <v>5.254696863959811E-2</v>
      </c>
      <c r="G5" s="222"/>
      <c r="H5" s="222"/>
      <c r="I5" s="222"/>
      <c r="J5" s="222"/>
      <c r="K5" s="222"/>
      <c r="L5" s="222"/>
      <c r="M5" s="7"/>
      <c r="N5" s="679"/>
      <c r="O5" s="243" t="s">
        <v>308</v>
      </c>
      <c r="P5" s="227"/>
      <c r="Q5" s="291"/>
      <c r="R5" s="214"/>
      <c r="S5" s="291"/>
      <c r="T5" s="214"/>
      <c r="U5" s="291"/>
      <c r="V5" s="214">
        <f>F5/F1</f>
        <v>1</v>
      </c>
      <c r="W5" s="291">
        <f>1/F5</f>
        <v>19.03059350309362</v>
      </c>
      <c r="X5" s="227"/>
      <c r="Y5" s="291"/>
      <c r="Z5" s="214"/>
      <c r="AA5" s="214"/>
      <c r="AB5" s="214"/>
      <c r="AC5" s="214"/>
      <c r="AD5" s="227"/>
      <c r="AE5" s="227"/>
      <c r="AF5" s="227"/>
      <c r="AG5" s="293"/>
    </row>
    <row r="6" spans="1:33" x14ac:dyDescent="0.25">
      <c r="A6" s="677"/>
      <c r="B6" s="218" t="s">
        <v>348</v>
      </c>
      <c r="C6" s="237"/>
      <c r="D6" s="222"/>
      <c r="E6" s="222"/>
      <c r="F6" s="222"/>
      <c r="G6" s="222">
        <v>3.9584999999999822E-2</v>
      </c>
      <c r="H6" s="222">
        <v>6.3542692307692147E-2</v>
      </c>
      <c r="I6" s="222">
        <v>0</v>
      </c>
      <c r="J6" s="222"/>
      <c r="K6" s="222"/>
      <c r="L6" s="222"/>
      <c r="M6" s="7"/>
      <c r="N6" s="679"/>
      <c r="O6" s="243" t="s">
        <v>348</v>
      </c>
      <c r="P6" s="227"/>
      <c r="Q6" s="291"/>
      <c r="R6" s="214"/>
      <c r="S6" s="291"/>
      <c r="T6" s="214"/>
      <c r="U6" s="291"/>
      <c r="V6" s="214"/>
      <c r="W6" s="291"/>
      <c r="X6" s="227">
        <f>G6/$G$1</f>
        <v>0.75775423964300204</v>
      </c>
      <c r="Y6" s="291">
        <f>1/G6</f>
        <v>25.262094227611584</v>
      </c>
      <c r="Z6" s="214">
        <f>H6/$H$1</f>
        <v>0.79253818284821453</v>
      </c>
      <c r="AA6" s="291">
        <f>1/H6</f>
        <v>15.737450896126811</v>
      </c>
      <c r="AB6" s="214">
        <f>I6/$I$1</f>
        <v>0</v>
      </c>
      <c r="AC6" s="214"/>
      <c r="AD6" s="227"/>
      <c r="AE6" s="227"/>
      <c r="AF6" s="227"/>
      <c r="AG6" s="293"/>
    </row>
    <row r="7" spans="1:33" x14ac:dyDescent="0.25">
      <c r="A7" s="677"/>
      <c r="B7" s="218" t="s">
        <v>349</v>
      </c>
      <c r="C7" s="237"/>
      <c r="D7" s="222"/>
      <c r="E7" s="222"/>
      <c r="F7" s="222"/>
      <c r="G7" s="222">
        <v>3.3714285714285648E-2</v>
      </c>
      <c r="H7" s="222">
        <v>3.433928571428569E-2</v>
      </c>
      <c r="I7" s="222">
        <v>4.9198011904761828E-2</v>
      </c>
      <c r="J7" s="222"/>
      <c r="K7" s="222"/>
      <c r="L7" s="222"/>
      <c r="M7" s="7"/>
      <c r="N7" s="679"/>
      <c r="O7" s="243" t="s">
        <v>349</v>
      </c>
      <c r="P7" s="227"/>
      <c r="Q7" s="291"/>
      <c r="R7" s="214"/>
      <c r="S7" s="291"/>
      <c r="T7" s="214"/>
      <c r="U7" s="291"/>
      <c r="V7" s="214"/>
      <c r="W7" s="291"/>
      <c r="X7" s="227">
        <f t="shared" ref="X7" si="1">G7/$G$1</f>
        <v>0.64537433210902018</v>
      </c>
      <c r="Y7" s="291">
        <f t="shared" ref="Y7" si="2">1/G7</f>
        <v>29.6610169491526</v>
      </c>
      <c r="Z7" s="214">
        <f t="shared" ref="Z7" si="3">H7/$H$1</f>
        <v>0.42829779651957089</v>
      </c>
      <c r="AA7" s="291">
        <f t="shared" ref="AA7" si="4">1/H7</f>
        <v>29.121164846593885</v>
      </c>
      <c r="AB7" s="214">
        <f t="shared" ref="AB7" si="5">I7/$I$1</f>
        <v>0.84880118008835015</v>
      </c>
      <c r="AC7" s="291">
        <f t="shared" ref="AC7" si="6">1/I7</f>
        <v>20.326024594973745</v>
      </c>
      <c r="AD7" s="227"/>
      <c r="AE7" s="227"/>
      <c r="AF7" s="227"/>
      <c r="AG7" s="293"/>
    </row>
    <row r="8" spans="1:33" x14ac:dyDescent="0.25">
      <c r="A8" s="677"/>
      <c r="B8" s="218" t="s">
        <v>327</v>
      </c>
      <c r="C8" s="237"/>
      <c r="D8" s="222"/>
      <c r="E8" s="222"/>
      <c r="F8" s="222"/>
      <c r="G8" s="222"/>
      <c r="H8" s="222"/>
      <c r="I8" s="222"/>
      <c r="J8" s="222"/>
      <c r="K8" s="222"/>
      <c r="L8" s="222"/>
      <c r="M8" s="7"/>
      <c r="N8" s="679"/>
      <c r="O8" s="243" t="s">
        <v>327</v>
      </c>
      <c r="P8" s="227"/>
      <c r="Q8" s="291"/>
      <c r="R8" s="214"/>
      <c r="S8" s="291"/>
      <c r="T8" s="214"/>
      <c r="U8" s="291"/>
      <c r="V8" s="214"/>
      <c r="W8" s="291"/>
      <c r="X8" s="227"/>
      <c r="Y8" s="291"/>
      <c r="Z8" s="214"/>
      <c r="AA8" s="291"/>
      <c r="AB8" s="214"/>
      <c r="AC8" s="291"/>
      <c r="AD8" s="227"/>
      <c r="AE8" s="293"/>
      <c r="AF8" s="227"/>
      <c r="AG8" s="293"/>
    </row>
    <row r="9" spans="1:33" x14ac:dyDescent="0.25">
      <c r="A9" s="677"/>
      <c r="B9" s="230" t="s">
        <v>0</v>
      </c>
      <c r="C9" s="238"/>
      <c r="D9" s="213"/>
      <c r="E9" s="213"/>
      <c r="F9" s="213"/>
      <c r="G9" s="213"/>
      <c r="H9" s="213"/>
      <c r="I9" s="213"/>
      <c r="J9" s="213"/>
      <c r="K9" s="213"/>
      <c r="L9" s="213"/>
      <c r="M9" s="7"/>
      <c r="N9" s="679"/>
      <c r="O9" s="243" t="s">
        <v>0</v>
      </c>
      <c r="P9" s="228"/>
      <c r="Q9" s="292"/>
      <c r="R9" s="215"/>
      <c r="S9" s="292"/>
      <c r="T9" s="215"/>
      <c r="U9" s="292"/>
      <c r="V9" s="215"/>
      <c r="W9" s="292"/>
      <c r="X9" s="228"/>
      <c r="Y9" s="292"/>
      <c r="Z9" s="215"/>
      <c r="AA9" s="215"/>
      <c r="AB9" s="215"/>
      <c r="AC9" s="215"/>
      <c r="AD9" s="228" t="e">
        <f>J9/$J$1</f>
        <v>#DIV/0!</v>
      </c>
      <c r="AE9" s="295" t="e">
        <f>1/J9</f>
        <v>#DIV/0!</v>
      </c>
      <c r="AF9" s="228">
        <f>K9/$K$1</f>
        <v>0</v>
      </c>
      <c r="AG9" s="295" t="e">
        <f>1/K9</f>
        <v>#DIV/0!</v>
      </c>
    </row>
    <row r="10" spans="1:33" x14ac:dyDescent="0.25">
      <c r="A10" s="678" t="s">
        <v>345</v>
      </c>
      <c r="B10" s="219" t="s">
        <v>309</v>
      </c>
      <c r="C10" s="242">
        <v>4.0980247552447779E-2</v>
      </c>
      <c r="D10" s="235">
        <v>7.0304873926074096E-2</v>
      </c>
      <c r="E10" s="235">
        <v>4.0579372027972196E-2</v>
      </c>
      <c r="F10" s="235"/>
      <c r="G10" s="235"/>
      <c r="H10" s="235"/>
      <c r="I10" s="235"/>
      <c r="J10" s="235">
        <v>0</v>
      </c>
      <c r="K10" s="235">
        <v>3.0871978021978067E-2</v>
      </c>
      <c r="L10" s="235"/>
      <c r="M10" s="7"/>
      <c r="N10" s="680" t="s">
        <v>345</v>
      </c>
      <c r="O10" s="244" t="s">
        <v>309</v>
      </c>
      <c r="P10" s="227">
        <f>C10/$C$1</f>
        <v>0.53540241736066307</v>
      </c>
      <c r="Q10" s="290">
        <f>1/C10</f>
        <v>24.40199998109258</v>
      </c>
      <c r="R10" s="226">
        <f>D10/$D$1</f>
        <v>0.73875192766788012</v>
      </c>
      <c r="S10" s="290">
        <f>1/D10</f>
        <v>14.223764927755999</v>
      </c>
      <c r="T10" s="226">
        <f>E10/$E$1</f>
        <v>0.40118420632996138</v>
      </c>
      <c r="U10" s="290">
        <f>1/E10</f>
        <v>24.643062472989463</v>
      </c>
      <c r="V10" s="214"/>
      <c r="W10" s="291"/>
      <c r="X10" s="227"/>
      <c r="Y10" s="291"/>
      <c r="Z10" s="214"/>
      <c r="AA10" s="214"/>
      <c r="AB10" s="214"/>
      <c r="AC10" s="214"/>
      <c r="AD10" s="227"/>
      <c r="AE10" s="214"/>
      <c r="AF10" s="214">
        <f>K10/K1</f>
        <v>0.85228433885796195</v>
      </c>
      <c r="AG10" s="291"/>
    </row>
    <row r="11" spans="1:33" x14ac:dyDescent="0.25">
      <c r="A11" s="677"/>
      <c r="B11" s="218" t="s">
        <v>308</v>
      </c>
      <c r="C11" s="237"/>
      <c r="D11" s="222"/>
      <c r="E11" s="222"/>
      <c r="F11" s="222">
        <v>5.1022557865187314E-2</v>
      </c>
      <c r="G11" s="222"/>
      <c r="H11" s="222"/>
      <c r="I11" s="222"/>
      <c r="J11" s="222"/>
      <c r="K11" s="222"/>
      <c r="L11" s="222"/>
      <c r="M11" s="7"/>
      <c r="N11" s="679"/>
      <c r="O11" s="243" t="s">
        <v>308</v>
      </c>
      <c r="P11" s="227"/>
      <c r="Q11" s="291"/>
      <c r="R11" s="214"/>
      <c r="S11" s="291"/>
      <c r="T11" s="214"/>
      <c r="U11" s="291"/>
      <c r="V11" s="214">
        <f>F11/F1</f>
        <v>0.97098955822045196</v>
      </c>
      <c r="W11" s="291">
        <f>1/F11</f>
        <v>19.599174205303804</v>
      </c>
      <c r="X11" s="227"/>
      <c r="Y11" s="291"/>
      <c r="Z11" s="214"/>
      <c r="AA11" s="214"/>
      <c r="AB11" s="214"/>
      <c r="AC11" s="214"/>
      <c r="AD11" s="227"/>
      <c r="AE11" s="214"/>
      <c r="AF11" s="214"/>
      <c r="AG11" s="291"/>
    </row>
    <row r="12" spans="1:33" x14ac:dyDescent="0.25">
      <c r="A12" s="677"/>
      <c r="B12" s="218" t="s">
        <v>348</v>
      </c>
      <c r="C12" s="237"/>
      <c r="D12" s="222"/>
      <c r="E12" s="222"/>
      <c r="F12" s="222"/>
      <c r="G12" s="222">
        <v>4.2215952380952187E-2</v>
      </c>
      <c r="H12" s="222">
        <v>6.617364468864452E-2</v>
      </c>
      <c r="I12" s="222">
        <v>0</v>
      </c>
      <c r="J12" s="222"/>
      <c r="K12" s="222"/>
      <c r="L12" s="222"/>
      <c r="M12" s="7"/>
      <c r="N12" s="679"/>
      <c r="O12" s="243" t="s">
        <v>348</v>
      </c>
      <c r="P12" s="227"/>
      <c r="Q12" s="291"/>
      <c r="R12" s="214"/>
      <c r="S12" s="291"/>
      <c r="T12" s="214"/>
      <c r="U12" s="291"/>
      <c r="V12" s="214"/>
      <c r="W12" s="291"/>
      <c r="X12" s="227">
        <f t="shared" ref="X12:X13" si="7">G12/$G$1</f>
        <v>0.80811713773484284</v>
      </c>
      <c r="Y12" s="291">
        <f t="shared" ref="Y12:Y13" si="8">1/G12</f>
        <v>23.687728064881924</v>
      </c>
      <c r="Z12" s="214">
        <f t="shared" ref="Z12:Z13" si="9">H12/$H$1</f>
        <v>0.82535281728427801</v>
      </c>
      <c r="AA12" s="291">
        <f t="shared" ref="AA12:AA13" si="10">1/H12</f>
        <v>15.111756420628305</v>
      </c>
      <c r="AB12" s="214">
        <f t="shared" ref="AB12:AB13" si="11">I12/$I$1</f>
        <v>0</v>
      </c>
      <c r="AC12" s="291"/>
      <c r="AD12" s="227"/>
      <c r="AE12" s="214"/>
      <c r="AF12" s="214"/>
      <c r="AG12" s="291"/>
    </row>
    <row r="13" spans="1:33" x14ac:dyDescent="0.25">
      <c r="A13" s="677"/>
      <c r="B13" s="218" t="s">
        <v>349</v>
      </c>
      <c r="C13" s="237"/>
      <c r="D13" s="222"/>
      <c r="E13" s="222"/>
      <c r="F13" s="222"/>
      <c r="G13" s="222">
        <v>3.8151785714285652E-2</v>
      </c>
      <c r="H13" s="222">
        <v>3.8776785714285687E-2</v>
      </c>
      <c r="I13" s="222">
        <v>5.7961761904761842E-2</v>
      </c>
      <c r="J13" s="222"/>
      <c r="K13" s="222"/>
      <c r="L13" s="222"/>
      <c r="M13" s="7"/>
      <c r="N13" s="679"/>
      <c r="O13" s="243" t="s">
        <v>349</v>
      </c>
      <c r="P13" s="227"/>
      <c r="Q13" s="291"/>
      <c r="R13" s="214"/>
      <c r="S13" s="291"/>
      <c r="T13" s="214"/>
      <c r="U13" s="291"/>
      <c r="V13" s="214"/>
      <c r="W13" s="291"/>
      <c r="X13" s="227">
        <f t="shared" si="7"/>
        <v>0.73031899393586974</v>
      </c>
      <c r="Y13" s="291">
        <f t="shared" si="8"/>
        <v>26.211092908963302</v>
      </c>
      <c r="Z13" s="214">
        <f t="shared" si="9"/>
        <v>0.48364465166003551</v>
      </c>
      <c r="AA13" s="291">
        <f t="shared" si="10"/>
        <v>25.788625374165342</v>
      </c>
      <c r="AB13" s="214">
        <f t="shared" si="11"/>
        <v>1</v>
      </c>
      <c r="AC13" s="291">
        <f t="shared" ref="AC13" si="12">1/I13</f>
        <v>17.252753662718543</v>
      </c>
      <c r="AD13" s="227"/>
      <c r="AE13" s="214"/>
      <c r="AF13" s="214"/>
      <c r="AG13" s="291"/>
    </row>
    <row r="14" spans="1:33" x14ac:dyDescent="0.25">
      <c r="A14" s="677"/>
      <c r="B14" s="218" t="s">
        <v>327</v>
      </c>
      <c r="C14" s="237"/>
      <c r="D14" s="222"/>
      <c r="E14" s="222"/>
      <c r="F14" s="222"/>
      <c r="G14" s="222"/>
      <c r="H14" s="222"/>
      <c r="I14" s="222"/>
      <c r="J14" s="222"/>
      <c r="K14" s="222"/>
      <c r="L14" s="222"/>
      <c r="M14" s="7"/>
      <c r="N14" s="679"/>
      <c r="O14" s="243" t="s">
        <v>327</v>
      </c>
      <c r="P14" s="227"/>
      <c r="Q14" s="291"/>
      <c r="R14" s="214"/>
      <c r="S14" s="291"/>
      <c r="T14" s="214"/>
      <c r="U14" s="291"/>
      <c r="V14" s="214"/>
      <c r="W14" s="291"/>
      <c r="X14" s="227"/>
      <c r="Y14" s="291"/>
      <c r="Z14" s="214"/>
      <c r="AA14" s="291"/>
      <c r="AB14" s="214"/>
      <c r="AC14" s="291"/>
      <c r="AD14" s="227"/>
      <c r="AE14" s="293"/>
      <c r="AF14" s="227"/>
      <c r="AG14" s="293"/>
    </row>
    <row r="15" spans="1:33" x14ac:dyDescent="0.25">
      <c r="A15" s="677"/>
      <c r="B15" s="230" t="s">
        <v>0</v>
      </c>
      <c r="C15" s="238"/>
      <c r="D15" s="213"/>
      <c r="E15" s="213"/>
      <c r="F15" s="213"/>
      <c r="G15" s="213"/>
      <c r="H15" s="213"/>
      <c r="I15" s="213"/>
      <c r="J15" s="213"/>
      <c r="K15" s="213"/>
      <c r="L15" s="213"/>
      <c r="M15" s="7"/>
      <c r="N15" s="679"/>
      <c r="O15" s="243" t="s">
        <v>0</v>
      </c>
      <c r="P15" s="228"/>
      <c r="Q15" s="292"/>
      <c r="R15" s="215"/>
      <c r="S15" s="292"/>
      <c r="T15" s="215"/>
      <c r="U15" s="292"/>
      <c r="V15" s="215"/>
      <c r="W15" s="292"/>
      <c r="X15" s="228"/>
      <c r="Y15" s="292"/>
      <c r="Z15" s="215"/>
      <c r="AA15" s="215"/>
      <c r="AB15" s="215"/>
      <c r="AC15" s="215"/>
      <c r="AD15" s="228" t="e">
        <f>J15/$J$1</f>
        <v>#DIV/0!</v>
      </c>
      <c r="AE15" s="295" t="e">
        <f>1/J15</f>
        <v>#DIV/0!</v>
      </c>
      <c r="AF15" s="228">
        <f>K15/$K$1</f>
        <v>0</v>
      </c>
      <c r="AG15" s="295" t="e">
        <f>1/K15</f>
        <v>#DIV/0!</v>
      </c>
    </row>
    <row r="16" spans="1:33" x14ac:dyDescent="0.25">
      <c r="A16" s="678" t="s">
        <v>346</v>
      </c>
      <c r="B16" s="219" t="s">
        <v>309</v>
      </c>
      <c r="C16" s="237">
        <v>5.8181020779221264E-2</v>
      </c>
      <c r="D16" s="222">
        <v>7.6807093706293558E-2</v>
      </c>
      <c r="E16" s="222">
        <v>6.6148976923077044E-2</v>
      </c>
      <c r="F16" s="222"/>
      <c r="G16" s="222"/>
      <c r="H16" s="222"/>
      <c r="I16" s="222"/>
      <c r="J16" s="222">
        <v>0</v>
      </c>
      <c r="K16" s="222">
        <v>2.9990859140859215E-2</v>
      </c>
      <c r="L16" s="222">
        <v>4.1477272727272974E-2</v>
      </c>
      <c r="M16" s="7"/>
      <c r="N16" s="680" t="s">
        <v>346</v>
      </c>
      <c r="O16" s="244" t="s">
        <v>309</v>
      </c>
      <c r="P16" s="227">
        <f>C16/$C$1</f>
        <v>0.76012862367019574</v>
      </c>
      <c r="Q16" s="290">
        <f>1/C16</f>
        <v>17.18773556405424</v>
      </c>
      <c r="R16" s="226">
        <f>D16/$D$1</f>
        <v>0.80707617218339234</v>
      </c>
      <c r="S16" s="290">
        <f>1/D16</f>
        <v>13.019630762543228</v>
      </c>
      <c r="T16" s="226">
        <f>E16/$E$1</f>
        <v>0.65397573890819349</v>
      </c>
      <c r="U16" s="290">
        <f>1/E16</f>
        <v>15.117391780115881</v>
      </c>
      <c r="V16" s="214"/>
      <c r="W16" s="291"/>
      <c r="X16" s="214"/>
      <c r="Y16" s="291"/>
      <c r="Z16" s="214"/>
      <c r="AA16" s="214"/>
      <c r="AB16" s="214"/>
      <c r="AC16" s="214"/>
      <c r="AD16" s="214"/>
      <c r="AE16" s="214"/>
      <c r="AF16" s="214">
        <f>K16/K1</f>
        <v>0.827959243053766</v>
      </c>
      <c r="AG16" s="291"/>
    </row>
    <row r="17" spans="1:33" x14ac:dyDescent="0.25">
      <c r="A17" s="677"/>
      <c r="B17" s="218" t="s">
        <v>308</v>
      </c>
      <c r="C17" s="237"/>
      <c r="D17" s="222"/>
      <c r="E17" s="222"/>
      <c r="F17" s="222">
        <v>4.2273232055429683E-2</v>
      </c>
      <c r="G17" s="222"/>
      <c r="H17" s="222"/>
      <c r="I17" s="222"/>
      <c r="J17" s="222"/>
      <c r="K17" s="222"/>
      <c r="L17" s="222"/>
      <c r="M17" s="7"/>
      <c r="N17" s="679"/>
      <c r="O17" s="243" t="s">
        <v>308</v>
      </c>
      <c r="P17" s="227"/>
      <c r="Q17" s="291"/>
      <c r="R17" s="214"/>
      <c r="S17" s="291"/>
      <c r="T17" s="214"/>
      <c r="U17" s="291"/>
      <c r="V17" s="214">
        <f>F17/F1</f>
        <v>0.80448469530882905</v>
      </c>
      <c r="W17" s="291">
        <f>1/F17</f>
        <v>23.655631504323487</v>
      </c>
      <c r="X17" s="214"/>
      <c r="Y17" s="291"/>
      <c r="Z17" s="214"/>
      <c r="AA17" s="214"/>
      <c r="AB17" s="214"/>
      <c r="AC17" s="214"/>
      <c r="AD17" s="214"/>
      <c r="AE17" s="214"/>
      <c r="AF17" s="214"/>
      <c r="AG17" s="291"/>
    </row>
    <row r="18" spans="1:33" x14ac:dyDescent="0.25">
      <c r="A18" s="677"/>
      <c r="B18" s="218" t="s">
        <v>348</v>
      </c>
      <c r="C18" s="237"/>
      <c r="D18" s="222"/>
      <c r="E18" s="222"/>
      <c r="F18" s="222"/>
      <c r="G18" s="222">
        <v>5.2239892473118138E-2</v>
      </c>
      <c r="H18" s="222">
        <v>8.0176190476190248E-2</v>
      </c>
      <c r="I18" s="222">
        <v>0</v>
      </c>
      <c r="J18" s="222"/>
      <c r="K18" s="222"/>
      <c r="L18" s="222"/>
      <c r="M18" s="7"/>
      <c r="N18" s="679"/>
      <c r="O18" s="243" t="s">
        <v>348</v>
      </c>
      <c r="P18" s="227"/>
      <c r="Q18" s="291"/>
      <c r="R18" s="214"/>
      <c r="S18" s="291"/>
      <c r="T18" s="214"/>
      <c r="U18" s="291"/>
      <c r="V18" s="214"/>
      <c r="W18" s="291"/>
      <c r="X18" s="214">
        <f t="shared" ref="X18:X19" si="13">G18/$G$1</f>
        <v>1</v>
      </c>
      <c r="Y18" s="291">
        <f t="shared" ref="Y18:Y19" si="14">1/G18</f>
        <v>19.142459003233686</v>
      </c>
      <c r="Z18" s="214">
        <f t="shared" ref="Z18:Z19" si="15">H18/$H$1</f>
        <v>1</v>
      </c>
      <c r="AA18" s="291">
        <f t="shared" ref="AA18:AA19" si="16">1/H18</f>
        <v>12.472530735879349</v>
      </c>
      <c r="AB18" s="214">
        <f t="shared" ref="AB18:AB19" si="17">I18/$I$1</f>
        <v>0</v>
      </c>
      <c r="AC18" s="291"/>
      <c r="AD18" s="214"/>
      <c r="AE18" s="214"/>
      <c r="AF18" s="214"/>
      <c r="AG18" s="291"/>
    </row>
    <row r="19" spans="1:33" x14ac:dyDescent="0.25">
      <c r="A19" s="677"/>
      <c r="B19" s="218" t="s">
        <v>349</v>
      </c>
      <c r="C19" s="237"/>
      <c r="D19" s="222"/>
      <c r="E19" s="222"/>
      <c r="F19" s="222"/>
      <c r="G19" s="222">
        <v>2.5968749999999961E-2</v>
      </c>
      <c r="H19" s="222">
        <v>2.5281249999999998E-2</v>
      </c>
      <c r="I19" s="222">
        <v>3.0639083333333313E-2</v>
      </c>
      <c r="J19" s="222"/>
      <c r="K19" s="222"/>
      <c r="L19" s="222">
        <v>0.1339285714285714</v>
      </c>
      <c r="M19" s="301">
        <f>1/L19</f>
        <v>7.4666666666666686</v>
      </c>
      <c r="N19" s="679"/>
      <c r="O19" s="243" t="s">
        <v>349</v>
      </c>
      <c r="P19" s="227"/>
      <c r="Q19" s="291"/>
      <c r="R19" s="214"/>
      <c r="S19" s="291"/>
      <c r="T19" s="214"/>
      <c r="U19" s="291"/>
      <c r="V19" s="214"/>
      <c r="W19" s="291"/>
      <c r="X19" s="214">
        <f t="shared" si="13"/>
        <v>0.49710573224022403</v>
      </c>
      <c r="Y19" s="291">
        <f t="shared" si="14"/>
        <v>38.507821901323766</v>
      </c>
      <c r="Z19" s="214">
        <f t="shared" si="15"/>
        <v>0.31532116766644974</v>
      </c>
      <c r="AA19" s="291">
        <f t="shared" si="16"/>
        <v>39.555006180469718</v>
      </c>
      <c r="AB19" s="214">
        <f t="shared" si="17"/>
        <v>0.52860855720150501</v>
      </c>
      <c r="AC19" s="291">
        <f t="shared" ref="AC19" si="18">1/I19</f>
        <v>32.63805216104705</v>
      </c>
      <c r="AD19" s="214"/>
      <c r="AE19" s="214"/>
      <c r="AF19" s="214"/>
      <c r="AG19" s="291"/>
    </row>
    <row r="20" spans="1:33" x14ac:dyDescent="0.25">
      <c r="A20" s="677"/>
      <c r="B20" s="218" t="s">
        <v>327</v>
      </c>
      <c r="C20" s="237"/>
      <c r="D20" s="222"/>
      <c r="E20" s="222"/>
      <c r="F20" s="222"/>
      <c r="G20" s="222"/>
      <c r="H20" s="222"/>
      <c r="I20" s="222"/>
      <c r="J20" s="222"/>
      <c r="K20" s="222"/>
      <c r="L20" s="222"/>
      <c r="M20" s="7"/>
      <c r="N20" s="679"/>
      <c r="O20" s="243" t="s">
        <v>327</v>
      </c>
      <c r="P20" s="227"/>
      <c r="Q20" s="291"/>
      <c r="R20" s="214"/>
      <c r="S20" s="291"/>
      <c r="T20" s="214"/>
      <c r="U20" s="291"/>
      <c r="V20" s="214"/>
      <c r="W20" s="291"/>
      <c r="X20" s="214"/>
      <c r="Y20" s="291"/>
      <c r="Z20" s="214"/>
      <c r="AA20" s="291"/>
      <c r="AB20" s="214"/>
      <c r="AC20" s="291"/>
      <c r="AD20" s="214"/>
      <c r="AE20" s="293"/>
      <c r="AF20" s="227"/>
      <c r="AG20" s="293"/>
    </row>
    <row r="21" spans="1:33" x14ac:dyDescent="0.25">
      <c r="A21" s="677"/>
      <c r="B21" s="230" t="s">
        <v>0</v>
      </c>
      <c r="C21" s="237"/>
      <c r="D21" s="222"/>
      <c r="E21" s="222"/>
      <c r="F21" s="222"/>
      <c r="G21" s="222"/>
      <c r="H21" s="222"/>
      <c r="I21" s="222"/>
      <c r="J21" s="222"/>
      <c r="K21" s="222"/>
      <c r="L21" s="222"/>
      <c r="M21" s="7"/>
      <c r="N21" s="679"/>
      <c r="O21" s="243" t="s">
        <v>0</v>
      </c>
      <c r="P21" s="228"/>
      <c r="Q21" s="292"/>
      <c r="R21" s="215"/>
      <c r="S21" s="292"/>
      <c r="T21" s="215"/>
      <c r="U21" s="292"/>
      <c r="V21" s="215"/>
      <c r="W21" s="292"/>
      <c r="X21" s="215"/>
      <c r="Y21" s="292"/>
      <c r="Z21" s="215"/>
      <c r="AA21" s="215"/>
      <c r="AB21" s="215"/>
      <c r="AC21" s="214"/>
      <c r="AD21" s="214" t="e">
        <f>J21/$J$1</f>
        <v>#DIV/0!</v>
      </c>
      <c r="AE21" s="295" t="e">
        <f>1/J21</f>
        <v>#DIV/0!</v>
      </c>
      <c r="AF21" s="228">
        <f>K21/$K$1</f>
        <v>0</v>
      </c>
      <c r="AG21" s="295" t="e">
        <f>1/K21</f>
        <v>#DIV/0!</v>
      </c>
    </row>
    <row r="22" spans="1:33" x14ac:dyDescent="0.25">
      <c r="A22" s="678" t="s">
        <v>347</v>
      </c>
      <c r="B22" s="233" t="s">
        <v>309</v>
      </c>
      <c r="C22" s="242">
        <v>7.6541020779221203E-2</v>
      </c>
      <c r="D22" s="235">
        <v>9.516709370629349E-2</v>
      </c>
      <c r="E22" s="235">
        <v>0.10114897692307692</v>
      </c>
      <c r="F22" s="235"/>
      <c r="G22" s="235"/>
      <c r="H22" s="235"/>
      <c r="I22" s="235"/>
      <c r="J22" s="235">
        <v>0</v>
      </c>
      <c r="K22" s="235">
        <v>3.3705144855144913E-2</v>
      </c>
      <c r="L22" s="235">
        <v>5.9334415584415767E-2</v>
      </c>
      <c r="M22" s="7"/>
      <c r="N22" s="680" t="s">
        <v>347</v>
      </c>
      <c r="O22" s="244" t="s">
        <v>309</v>
      </c>
      <c r="P22" s="227">
        <f>C22/$C$1</f>
        <v>1</v>
      </c>
      <c r="Q22" s="290">
        <f>1/C22</f>
        <v>13.064889778311823</v>
      </c>
      <c r="R22" s="226">
        <f>D22/$D$1</f>
        <v>1</v>
      </c>
      <c r="S22" s="290">
        <f>1/D22</f>
        <v>10.507833759074531</v>
      </c>
      <c r="T22" s="226">
        <f>E22/$E$1</f>
        <v>1</v>
      </c>
      <c r="U22" s="297">
        <f>1/E22</f>
        <v>9.8864074597659339</v>
      </c>
      <c r="V22" s="285"/>
      <c r="W22" s="294"/>
      <c r="X22" s="227"/>
      <c r="Y22" s="291"/>
      <c r="Z22" s="214"/>
      <c r="AA22" s="214"/>
      <c r="AB22" s="227"/>
      <c r="AC22" s="225"/>
      <c r="AD22" s="225"/>
      <c r="AE22" s="214"/>
      <c r="AF22" s="214">
        <f>K22/K1</f>
        <v>0.93049972627372424</v>
      </c>
      <c r="AG22" s="291"/>
    </row>
    <row r="23" spans="1:33" x14ac:dyDescent="0.25">
      <c r="A23" s="677"/>
      <c r="B23" s="234" t="s">
        <v>308</v>
      </c>
      <c r="C23" s="237"/>
      <c r="D23" s="222"/>
      <c r="E23" s="222"/>
      <c r="F23" s="222">
        <v>4.3797642829840472E-2</v>
      </c>
      <c r="G23" s="222"/>
      <c r="H23" s="222"/>
      <c r="I23" s="222"/>
      <c r="J23" s="222"/>
      <c r="K23" s="222"/>
      <c r="L23" s="222"/>
      <c r="M23" s="7"/>
      <c r="N23" s="679"/>
      <c r="O23" s="243" t="s">
        <v>308</v>
      </c>
      <c r="P23" s="227"/>
      <c r="Q23" s="291"/>
      <c r="R23" s="214"/>
      <c r="S23" s="291"/>
      <c r="T23" s="214"/>
      <c r="U23" s="298"/>
      <c r="V23" s="286">
        <f>F23/F1</f>
        <v>0.83349513708837697</v>
      </c>
      <c r="W23" s="293">
        <f>1/F23</f>
        <v>22.832278985541066</v>
      </c>
      <c r="X23" s="227"/>
      <c r="Y23" s="291"/>
      <c r="Z23" s="214"/>
      <c r="AA23" s="214"/>
      <c r="AB23" s="227"/>
      <c r="AC23" s="227"/>
      <c r="AD23" s="227"/>
      <c r="AE23" s="214"/>
      <c r="AF23" s="214"/>
      <c r="AG23" s="291"/>
    </row>
    <row r="24" spans="1:33" x14ac:dyDescent="0.25">
      <c r="A24" s="677"/>
      <c r="B24" s="234" t="s">
        <v>348</v>
      </c>
      <c r="C24" s="237"/>
      <c r="D24" s="222"/>
      <c r="E24" s="222"/>
      <c r="F24" s="222"/>
      <c r="G24" s="222">
        <v>4.8379892473118219E-2</v>
      </c>
      <c r="H24" s="222">
        <v>7.5159999999999741E-2</v>
      </c>
      <c r="I24" s="222">
        <v>0</v>
      </c>
      <c r="J24" s="222"/>
      <c r="K24" s="222"/>
      <c r="L24" s="222"/>
      <c r="M24" s="7"/>
      <c r="N24" s="679"/>
      <c r="O24" s="243" t="s">
        <v>348</v>
      </c>
      <c r="P24" s="227"/>
      <c r="Q24" s="291"/>
      <c r="R24" s="214"/>
      <c r="S24" s="291"/>
      <c r="T24" s="214"/>
      <c r="U24" s="298"/>
      <c r="V24" s="286"/>
      <c r="W24" s="293"/>
      <c r="X24" s="227">
        <f t="shared" ref="X24:X25" si="19">G24/$G$1</f>
        <v>0.92611010824751949</v>
      </c>
      <c r="Y24" s="291">
        <f t="shared" ref="Y24:Y25" si="20">1/G24</f>
        <v>20.669744161908575</v>
      </c>
      <c r="Z24" s="214">
        <f t="shared" ref="Z24:Z25" si="21">H24/$H$1</f>
        <v>0.93743541010868858</v>
      </c>
      <c r="AA24" s="291">
        <f t="shared" ref="AA24:AA25" si="22">1/H24</f>
        <v>13.30494944119217</v>
      </c>
      <c r="AB24" s="214">
        <f t="shared" ref="AB24:AB25" si="23">I24/$I$1</f>
        <v>0</v>
      </c>
      <c r="AC24" s="293"/>
      <c r="AD24" s="227"/>
      <c r="AE24" s="214"/>
      <c r="AF24" s="214"/>
      <c r="AG24" s="291"/>
    </row>
    <row r="25" spans="1:33" x14ac:dyDescent="0.25">
      <c r="A25" s="677"/>
      <c r="B25" s="234" t="s">
        <v>349</v>
      </c>
      <c r="C25" s="237"/>
      <c r="D25" s="222"/>
      <c r="E25" s="222"/>
      <c r="F25" s="222"/>
      <c r="G25" s="222">
        <v>2.3874999999999962E-2</v>
      </c>
      <c r="H25" s="222">
        <v>2.31875E-2</v>
      </c>
      <c r="I25" s="222">
        <v>2.7005333333333312E-2</v>
      </c>
      <c r="J25" s="222"/>
      <c r="K25" s="222"/>
      <c r="L25" s="222">
        <v>0.16964285714285698</v>
      </c>
      <c r="M25" s="301">
        <f>1/L25</f>
        <v>5.894736842105269</v>
      </c>
      <c r="N25" s="679"/>
      <c r="O25" s="243" t="s">
        <v>349</v>
      </c>
      <c r="P25" s="227"/>
      <c r="Q25" s="291"/>
      <c r="R25" s="214"/>
      <c r="S25" s="291"/>
      <c r="T25" s="214"/>
      <c r="U25" s="298"/>
      <c r="V25" s="286"/>
      <c r="W25" s="293"/>
      <c r="X25" s="227">
        <f t="shared" si="19"/>
        <v>0.45702620870220356</v>
      </c>
      <c r="Y25" s="291">
        <f t="shared" si="20"/>
        <v>41.884816753926771</v>
      </c>
      <c r="Z25" s="214">
        <f t="shared" si="21"/>
        <v>0.2892068064382024</v>
      </c>
      <c r="AA25" s="291">
        <f t="shared" si="22"/>
        <v>43.126684636118597</v>
      </c>
      <c r="AB25" s="214">
        <f t="shared" si="23"/>
        <v>0.46591636357960148</v>
      </c>
      <c r="AC25" s="293">
        <f t="shared" ref="AC25" si="24">1/I25</f>
        <v>37.029722523945914</v>
      </c>
      <c r="AD25" s="227"/>
      <c r="AE25" s="214"/>
      <c r="AF25" s="214"/>
      <c r="AG25" s="291"/>
    </row>
    <row r="26" spans="1:33" x14ac:dyDescent="0.25">
      <c r="A26" s="677"/>
      <c r="B26" s="234" t="s">
        <v>327</v>
      </c>
      <c r="C26" s="237"/>
      <c r="D26" s="222"/>
      <c r="E26" s="222"/>
      <c r="F26" s="222"/>
      <c r="G26" s="222"/>
      <c r="H26" s="222"/>
      <c r="I26" s="222"/>
      <c r="J26" s="222"/>
      <c r="K26" s="222"/>
      <c r="L26" s="222"/>
      <c r="M26" s="7"/>
      <c r="N26" s="679"/>
      <c r="O26" s="243" t="s">
        <v>327</v>
      </c>
      <c r="P26" s="227"/>
      <c r="Q26" s="291"/>
      <c r="R26" s="214"/>
      <c r="S26" s="291"/>
      <c r="T26" s="214"/>
      <c r="U26" s="298"/>
      <c r="V26" s="286"/>
      <c r="W26" s="227"/>
      <c r="X26" s="227"/>
      <c r="Y26" s="291"/>
      <c r="Z26" s="214"/>
      <c r="AA26" s="291"/>
      <c r="AB26" s="214"/>
      <c r="AC26" s="293"/>
      <c r="AD26" s="227"/>
      <c r="AE26" s="293"/>
      <c r="AF26" s="227"/>
      <c r="AG26" s="293"/>
    </row>
    <row r="27" spans="1:33" x14ac:dyDescent="0.25">
      <c r="A27" s="677"/>
      <c r="B27" s="230" t="s">
        <v>0</v>
      </c>
      <c r="C27" s="238"/>
      <c r="D27" s="213"/>
      <c r="E27" s="213"/>
      <c r="F27" s="213"/>
      <c r="G27" s="213"/>
      <c r="H27" s="213"/>
      <c r="I27" s="213"/>
      <c r="J27" s="213"/>
      <c r="K27" s="213"/>
      <c r="L27" s="213"/>
      <c r="M27" s="7"/>
      <c r="N27" s="679"/>
      <c r="O27" s="243" t="s">
        <v>0</v>
      </c>
      <c r="P27" s="228"/>
      <c r="Q27" s="292"/>
      <c r="R27" s="215"/>
      <c r="S27" s="292"/>
      <c r="T27" s="215"/>
      <c r="U27" s="299"/>
      <c r="V27" s="287"/>
      <c r="W27" s="228"/>
      <c r="X27" s="228"/>
      <c r="Y27" s="292"/>
      <c r="Z27" s="215"/>
      <c r="AA27" s="215"/>
      <c r="AB27" s="228"/>
      <c r="AC27" s="228"/>
      <c r="AD27" s="228" t="e">
        <f>J27/$J$1</f>
        <v>#DIV/0!</v>
      </c>
      <c r="AE27" s="295" t="e">
        <f>1/J27</f>
        <v>#DIV/0!</v>
      </c>
      <c r="AF27" s="228">
        <f>K27/$K$1</f>
        <v>0</v>
      </c>
      <c r="AG27" s="295" t="e">
        <f>1/K27</f>
        <v>#DIV/0!</v>
      </c>
    </row>
    <row r="28" spans="1:33" x14ac:dyDescent="0.25">
      <c r="Q28" s="188"/>
      <c r="S28" s="188"/>
      <c r="U28" s="188"/>
      <c r="AD28" s="7"/>
      <c r="AE28" s="7"/>
      <c r="AF28" s="7"/>
      <c r="AG28" s="7"/>
    </row>
    <row r="29" spans="1:33" x14ac:dyDescent="0.25">
      <c r="Q29" s="188"/>
      <c r="S29" s="188"/>
      <c r="U29" s="188"/>
    </row>
    <row r="30" spans="1:33" x14ac:dyDescent="0.25">
      <c r="B30" s="216" t="s">
        <v>336</v>
      </c>
      <c r="H30" s="280"/>
      <c r="I30" s="280"/>
      <c r="Q30" s="188"/>
      <c r="S30" s="188"/>
      <c r="U30" s="188"/>
    </row>
    <row r="31" spans="1:33" x14ac:dyDescent="0.25">
      <c r="B31" s="217">
        <v>42724</v>
      </c>
      <c r="G31" s="280"/>
      <c r="H31" s="280"/>
      <c r="I31" s="280"/>
      <c r="Q31" s="188"/>
      <c r="S31" s="188"/>
    </row>
    <row r="32" spans="1:33" x14ac:dyDescent="0.25">
      <c r="G32" s="280"/>
      <c r="H32" s="280"/>
      <c r="I32" s="280"/>
      <c r="Q32" s="188"/>
    </row>
    <row r="33" spans="17:17" x14ac:dyDescent="0.25">
      <c r="Q33" s="188"/>
    </row>
    <row r="34" spans="17:17" x14ac:dyDescent="0.25">
      <c r="Q34" s="188"/>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6" t="s">
        <v>100</v>
      </c>
      <c r="C2" s="196" t="s">
        <v>71</v>
      </c>
      <c r="D2" s="196" t="s">
        <v>319</v>
      </c>
      <c r="E2" s="196" t="s">
        <v>1</v>
      </c>
      <c r="F2" s="196" t="s">
        <v>2</v>
      </c>
      <c r="G2" s="196" t="s">
        <v>326</v>
      </c>
      <c r="H2" s="196" t="s">
        <v>63</v>
      </c>
      <c r="I2" s="196" t="s">
        <v>262</v>
      </c>
      <c r="J2" s="196" t="s">
        <v>327</v>
      </c>
      <c r="K2" s="196" t="s">
        <v>0</v>
      </c>
      <c r="M2" s="249">
        <v>352</v>
      </c>
      <c r="N2" s="181" t="s">
        <v>364</v>
      </c>
      <c r="O2" s="46" t="s">
        <v>330</v>
      </c>
      <c r="P2" s="46" t="s">
        <v>365</v>
      </c>
      <c r="Q2" s="46" t="s">
        <v>330</v>
      </c>
      <c r="R2" s="46" t="s">
        <v>62</v>
      </c>
      <c r="S2" s="46" t="s">
        <v>332</v>
      </c>
      <c r="T2" s="46" t="s">
        <v>333</v>
      </c>
      <c r="U2" s="46" t="s">
        <v>332</v>
      </c>
      <c r="V2" s="46" t="s">
        <v>257</v>
      </c>
      <c r="W2" s="46" t="s">
        <v>366</v>
      </c>
      <c r="X2" s="46" t="s">
        <v>367</v>
      </c>
    </row>
    <row r="3" spans="2:25" x14ac:dyDescent="0.25">
      <c r="B3" t="s">
        <v>1</v>
      </c>
      <c r="C3" t="str">
        <f>Evaluacion!A3</f>
        <v>D. Gehmacher</v>
      </c>
      <c r="D3" s="282"/>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50">
        <v>1</v>
      </c>
      <c r="O3" s="251">
        <f ca="1">Evaluacion!X3</f>
        <v>15.721407074755762</v>
      </c>
      <c r="P3" s="251">
        <f ca="1">Evaluacion!Y3</f>
        <v>23.169483486265392</v>
      </c>
      <c r="Q3" s="251">
        <f ca="1">Evaluacion!Z3</f>
        <v>15.721407074755762</v>
      </c>
      <c r="R3" s="251">
        <v>0</v>
      </c>
      <c r="S3" s="251">
        <v>0</v>
      </c>
      <c r="T3" s="251">
        <v>0</v>
      </c>
      <c r="U3" s="251">
        <v>0</v>
      </c>
      <c r="V3" s="251">
        <v>0</v>
      </c>
      <c r="W3" s="251">
        <f>Evaluacion!T3</f>
        <v>0.54600000000000004</v>
      </c>
      <c r="X3" s="251">
        <f>Evaluacion!U3</f>
        <v>1.024</v>
      </c>
      <c r="Y3" s="255"/>
    </row>
    <row r="4" spans="2:25" x14ac:dyDescent="0.25">
      <c r="B4" t="s">
        <v>360</v>
      </c>
      <c r="C4" t="str">
        <f>Evaluacion!A6</f>
        <v>B. Bartolache</v>
      </c>
      <c r="D4" s="282"/>
      <c r="E4" s="83">
        <f>Evaluacion!K6</f>
        <v>0</v>
      </c>
      <c r="F4" s="83">
        <f>Evaluacion!L6</f>
        <v>11.95</v>
      </c>
      <c r="G4" s="83">
        <f>Evaluacion!M6</f>
        <v>5.95</v>
      </c>
      <c r="H4" s="83">
        <f>Evaluacion!N6</f>
        <v>6.95</v>
      </c>
      <c r="I4" s="83">
        <f>Evaluacion!O6</f>
        <v>7.95</v>
      </c>
      <c r="J4" s="83">
        <f>Evaluacion!P6</f>
        <v>2.95</v>
      </c>
      <c r="K4" s="83">
        <f>Evaluacion!Q6</f>
        <v>16</v>
      </c>
      <c r="M4" t="s">
        <v>360</v>
      </c>
      <c r="N4" s="250">
        <v>1</v>
      </c>
      <c r="O4" s="251">
        <f>Evaluacion!AI6</f>
        <v>13.68884192896218</v>
      </c>
      <c r="P4" s="251">
        <f>Evaluacion!AJ6</f>
        <v>6.1599788680329803</v>
      </c>
      <c r="Q4" s="251">
        <v>0</v>
      </c>
      <c r="R4" s="251">
        <f>Evaluacion!AK6</f>
        <v>1.4828223936268308</v>
      </c>
      <c r="S4" s="251">
        <f>Evaluacion!AL6</f>
        <v>5.8089554937280017</v>
      </c>
      <c r="T4" s="251">
        <v>0</v>
      </c>
      <c r="U4" s="251">
        <v>0</v>
      </c>
      <c r="V4" s="251">
        <f>Evaluacion!R6</f>
        <v>3.8562499999999997</v>
      </c>
      <c r="W4" s="251">
        <f>Evaluacion!T6</f>
        <v>0.62750000000000006</v>
      </c>
      <c r="X4" s="251">
        <f>Evaluacion!U6</f>
        <v>0.95799999999999996</v>
      </c>
    </row>
    <row r="5" spans="2:25" x14ac:dyDescent="0.25">
      <c r="B5" t="s">
        <v>361</v>
      </c>
      <c r="C5" t="str">
        <f>Evaluacion!A14</f>
        <v>G. Piscaer</v>
      </c>
      <c r="D5" s="282"/>
      <c r="E5" s="83">
        <f>Evaluacion!K14</f>
        <v>0</v>
      </c>
      <c r="F5" s="83">
        <f>Evaluacion!L14</f>
        <v>4</v>
      </c>
      <c r="G5" s="83">
        <f>Evaluacion!M14</f>
        <v>8.4</v>
      </c>
      <c r="H5" s="83">
        <f>Evaluacion!N14</f>
        <v>3</v>
      </c>
      <c r="I5" s="83">
        <f>Evaluacion!O14</f>
        <v>2</v>
      </c>
      <c r="J5" s="83">
        <f>Evaluacion!P14</f>
        <v>8</v>
      </c>
      <c r="K5" s="83">
        <f>Evaluacion!Q14</f>
        <v>0</v>
      </c>
      <c r="M5" t="s">
        <v>361</v>
      </c>
      <c r="N5" s="250">
        <v>1</v>
      </c>
      <c r="O5" s="251">
        <f ca="1">(Evaluacion!AA14+Evaluacion!AC14)/2</f>
        <v>1.7303468639054016</v>
      </c>
      <c r="P5" s="251">
        <f ca="1">Evaluacion!AB14</f>
        <v>4.4711805268873421</v>
      </c>
      <c r="Q5" s="251">
        <f ca="1">O5</f>
        <v>1.7303468639054016</v>
      </c>
      <c r="R5" s="251">
        <f ca="1">Evaluacion!AD14</f>
        <v>2.1113409653991875</v>
      </c>
      <c r="S5" s="251">
        <v>0</v>
      </c>
      <c r="T5" s="251">
        <v>0</v>
      </c>
      <c r="U5" s="251">
        <v>0</v>
      </c>
      <c r="V5" s="251">
        <f>Evaluacion!R14</f>
        <v>1.375</v>
      </c>
      <c r="W5" s="251">
        <f>Evaluacion!T14</f>
        <v>0.4</v>
      </c>
      <c r="X5" s="251">
        <f>Evaluacion!U14</f>
        <v>0.16</v>
      </c>
    </row>
    <row r="6" spans="2:25" x14ac:dyDescent="0.25">
      <c r="B6" t="s">
        <v>360</v>
      </c>
      <c r="C6" t="str">
        <f>Evaluacion!A9</f>
        <v>S. Buschelman</v>
      </c>
      <c r="D6" s="282"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360</v>
      </c>
      <c r="N6" s="250">
        <v>1</v>
      </c>
      <c r="O6" s="251">
        <v>0</v>
      </c>
      <c r="P6" s="251">
        <f>Evaluacion!AJ9</f>
        <v>5.1187024668980152</v>
      </c>
      <c r="Q6" s="251">
        <f>Evaluacion!AI9</f>
        <v>11.37489437088448</v>
      </c>
      <c r="R6" s="251">
        <f>Evaluacion!AK9</f>
        <v>2.8490782752946107</v>
      </c>
      <c r="S6" s="251">
        <v>0</v>
      </c>
      <c r="T6" s="251">
        <f>0</f>
        <v>0</v>
      </c>
      <c r="U6" s="251">
        <f>Evaluacion!AL9</f>
        <v>9.4111451848696461</v>
      </c>
      <c r="V6" s="251">
        <f>Evaluacion!R9</f>
        <v>4.0254583333333329</v>
      </c>
      <c r="W6" s="251">
        <f>Evaluacion!T9</f>
        <v>0.67749999999999999</v>
      </c>
      <c r="X6" s="251">
        <f>Evaluacion!U9</f>
        <v>0.8521466666666665</v>
      </c>
    </row>
    <row r="7" spans="2:25" x14ac:dyDescent="0.25">
      <c r="B7" t="s">
        <v>221</v>
      </c>
      <c r="C7" t="str">
        <f>Evaluacion!A12</f>
        <v>I. Vanags</v>
      </c>
      <c r="D7" s="282" t="str">
        <f>Evaluacion!D12</f>
        <v>CAB</v>
      </c>
      <c r="E7" s="83">
        <f>Evaluacion!K12</f>
        <v>0</v>
      </c>
      <c r="F7" s="83">
        <f>Evaluacion!L12</f>
        <v>4</v>
      </c>
      <c r="G7" s="83">
        <f>Evaluacion!M12</f>
        <v>7.6</v>
      </c>
      <c r="H7" s="83">
        <f>Evaluacion!N12</f>
        <v>3</v>
      </c>
      <c r="I7" s="83">
        <f>Evaluacion!O12</f>
        <v>4</v>
      </c>
      <c r="J7" s="83">
        <f>Evaluacion!P12</f>
        <v>7</v>
      </c>
      <c r="K7" s="83">
        <f>Evaluacion!Q12</f>
        <v>6</v>
      </c>
      <c r="M7" t="s">
        <v>221</v>
      </c>
      <c r="N7" s="250">
        <v>0.82499999999999996</v>
      </c>
      <c r="O7" s="251">
        <f ca="1">Evaluacion!BE12*N7</f>
        <v>0.86980562756322077</v>
      </c>
      <c r="P7" s="251">
        <f ca="1">Evaluacion!BF12*N7</f>
        <v>1.0401799257457072</v>
      </c>
      <c r="Q7" s="251">
        <v>0</v>
      </c>
      <c r="R7" s="251">
        <f ca="1">Evaluacion!BG12*N7</f>
        <v>5.2498990648907125</v>
      </c>
      <c r="S7" s="251">
        <f ca="1">Evaluacion!BH12*N7</f>
        <v>2.183691247091764</v>
      </c>
      <c r="T7" s="251">
        <f ca="1">Evaluacion!BI12*N7</f>
        <v>0.72035448880665365</v>
      </c>
      <c r="U7" s="251">
        <v>0</v>
      </c>
      <c r="V7" s="251">
        <v>0</v>
      </c>
      <c r="W7" s="251">
        <f>Evaluacion!T12*N7</f>
        <v>0.43724999999999997</v>
      </c>
      <c r="X7" s="251">
        <f>Evaluacion!U12*N7</f>
        <v>0.28049999999999997</v>
      </c>
    </row>
    <row r="8" spans="2:25" x14ac:dyDescent="0.25">
      <c r="B8" t="s">
        <v>362</v>
      </c>
      <c r="C8" t="str">
        <f>Evaluacion!A15</f>
        <v>M. Bondarewski</v>
      </c>
      <c r="D8" s="282"/>
      <c r="E8" s="83">
        <f>Evaluacion!K15</f>
        <v>0</v>
      </c>
      <c r="F8" s="83">
        <f>Evaluacion!L15</f>
        <v>2</v>
      </c>
      <c r="G8" s="83">
        <f>Evaluacion!M15</f>
        <v>8.6</v>
      </c>
      <c r="H8" s="83">
        <f>Evaluacion!N15</f>
        <v>5</v>
      </c>
      <c r="I8" s="83">
        <f>Evaluacion!O15</f>
        <v>4</v>
      </c>
      <c r="J8" s="83">
        <f>Evaluacion!P15</f>
        <v>8</v>
      </c>
      <c r="K8" s="83">
        <f>Evaluacion!Q15</f>
        <v>6</v>
      </c>
      <c r="M8" t="s">
        <v>362</v>
      </c>
      <c r="N8" s="250">
        <v>0.82499999999999996</v>
      </c>
      <c r="O8" s="251">
        <f ca="1">((Evaluacion!AX15+Evaluacion!AZ15)/2)*N8</f>
        <v>0.28303727341035578</v>
      </c>
      <c r="P8" s="251">
        <f ca="1">Evaluacion!AY15*N8</f>
        <v>0.79869424595514871</v>
      </c>
      <c r="Q8" s="251">
        <f ca="1">O8</f>
        <v>0.28303727341035578</v>
      </c>
      <c r="R8" s="251">
        <f ca="1">Evaluacion!BA15*N8</f>
        <v>7.4417356148878726</v>
      </c>
      <c r="S8" s="251">
        <f ca="1">((Evaluacion!BB15+Evaluacion!BD15)/2)*N8</f>
        <v>0.69196808292497369</v>
      </c>
      <c r="T8" s="251">
        <f ca="1">Evaluacion!BC15*N8</f>
        <v>2.7023513238032173</v>
      </c>
      <c r="U8" s="251">
        <f ca="1">S8</f>
        <v>0.69196808292497369</v>
      </c>
      <c r="V8" s="251">
        <v>0</v>
      </c>
      <c r="W8" s="251">
        <f>Evaluacion!T15*N8</f>
        <v>0.47849999999999993</v>
      </c>
      <c r="X8" s="251">
        <f>Evaluacion!U15*N8</f>
        <v>0.21449999999999994</v>
      </c>
    </row>
    <row r="9" spans="2:25" x14ac:dyDescent="0.25">
      <c r="B9" t="s">
        <v>221</v>
      </c>
      <c r="C9" t="str">
        <f>Evaluacion!A13</f>
        <v>I. Stone</v>
      </c>
      <c r="D9" s="282" t="str">
        <f>Evaluacion!D13</f>
        <v>RAP</v>
      </c>
      <c r="E9" s="83">
        <f>Evaluacion!K13</f>
        <v>0</v>
      </c>
      <c r="F9" s="83">
        <f>Evaluacion!L13</f>
        <v>3</v>
      </c>
      <c r="G9" s="83">
        <f>Evaluacion!M13</f>
        <v>6</v>
      </c>
      <c r="H9" s="83">
        <f>Evaluacion!N13</f>
        <v>2</v>
      </c>
      <c r="I9" s="83">
        <f>Evaluacion!O13</f>
        <v>6</v>
      </c>
      <c r="J9" s="83">
        <f>Evaluacion!P13</f>
        <v>9</v>
      </c>
      <c r="K9" s="83">
        <f>Evaluacion!Q13</f>
        <v>2</v>
      </c>
      <c r="M9" t="s">
        <v>221</v>
      </c>
      <c r="N9" s="250">
        <v>0.82499999999999996</v>
      </c>
      <c r="O9" s="251">
        <v>0</v>
      </c>
      <c r="P9" s="251">
        <f ca="1">Evaluacion!BF13*N9</f>
        <v>0.92379660815026299</v>
      </c>
      <c r="Q9" s="251">
        <f ca="1">Evaluacion!BE13*N9</f>
        <v>0.77248509474634064</v>
      </c>
      <c r="R9" s="251">
        <f ca="1">Evaluacion!BG13*N9</f>
        <v>4.5191669878746605</v>
      </c>
      <c r="S9" s="251">
        <v>0</v>
      </c>
      <c r="T9" s="251">
        <f ca="1">Evaluacion!BI13*N9</f>
        <v>1.2362306970236017</v>
      </c>
      <c r="U9" s="251">
        <f ca="1">Evaluacion!BH13*N9</f>
        <v>2.6660036915102983</v>
      </c>
      <c r="V9" s="251">
        <v>0</v>
      </c>
      <c r="W9" s="251">
        <f>Evaluacion!T13*N9</f>
        <v>0.42074999999999996</v>
      </c>
      <c r="X9" s="251">
        <f>Evaluacion!U13*N9</f>
        <v>0.14850000000000002</v>
      </c>
    </row>
    <row r="10" spans="2:25" x14ac:dyDescent="0.25">
      <c r="B10" t="s">
        <v>363</v>
      </c>
      <c r="C10" t="e">
        <f>Evaluacion!#REF!</f>
        <v>#REF!</v>
      </c>
      <c r="D10" s="282"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363</v>
      </c>
      <c r="N10" s="250">
        <v>1</v>
      </c>
      <c r="O10" s="251" t="e">
        <f>Evaluacion!#REF!</f>
        <v>#REF!</v>
      </c>
      <c r="P10" s="251" t="e">
        <f>Evaluacion!#REF!</f>
        <v>#REF!</v>
      </c>
      <c r="Q10" s="251">
        <v>0</v>
      </c>
      <c r="R10" s="251" t="e">
        <f>Evaluacion!#REF!</f>
        <v>#REF!</v>
      </c>
      <c r="S10" s="251" t="e">
        <f>Evaluacion!#REF!</f>
        <v>#REF!</v>
      </c>
      <c r="T10" s="251" t="e">
        <f>Evaluacion!#REF!</f>
        <v>#REF!</v>
      </c>
      <c r="U10" s="251">
        <v>0</v>
      </c>
      <c r="V10" s="251">
        <v>0</v>
      </c>
      <c r="W10" s="251" t="e">
        <f>Evaluacion!#REF!*N10</f>
        <v>#REF!</v>
      </c>
      <c r="X10" s="251" t="e">
        <f>Evaluacion!#REF!*N10</f>
        <v>#REF!</v>
      </c>
    </row>
    <row r="11" spans="2:25" x14ac:dyDescent="0.25">
      <c r="B11" t="s">
        <v>363</v>
      </c>
      <c r="C11" t="str">
        <f>Evaluacion!A10</f>
        <v>E. Gross</v>
      </c>
      <c r="D11" s="282">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363</v>
      </c>
      <c r="N11" s="250">
        <v>1</v>
      </c>
      <c r="O11" s="251">
        <v>0</v>
      </c>
      <c r="P11" s="251">
        <f>Evaluacion!BU10</f>
        <v>3.3036855948533406</v>
      </c>
      <c r="Q11" s="251">
        <f>Evaluacion!BT10</f>
        <v>3.8452733972883144</v>
      </c>
      <c r="R11" s="251">
        <f>Evaluacion!BV10</f>
        <v>7.2525612526978298</v>
      </c>
      <c r="S11" s="251">
        <v>0</v>
      </c>
      <c r="T11" s="251">
        <f>Evaluacion!BX10</f>
        <v>1.4447031023657964</v>
      </c>
      <c r="U11" s="251">
        <f>Evaluacion!BW10</f>
        <v>8.9091821274487817</v>
      </c>
      <c r="V11" s="251">
        <v>0</v>
      </c>
      <c r="W11" s="251">
        <f>Evaluacion!T10*N11</f>
        <v>0.5665</v>
      </c>
      <c r="X11" s="251">
        <f>Evaluacion!U10*N11</f>
        <v>0.94099999999999984</v>
      </c>
    </row>
    <row r="12" spans="2:25" x14ac:dyDescent="0.25">
      <c r="B12" t="s">
        <v>64</v>
      </c>
      <c r="C12">
        <f>Evaluacion!A18</f>
        <v>0</v>
      </c>
      <c r="D12" s="282">
        <f>Evaluacion!D18</f>
        <v>0</v>
      </c>
      <c r="E12" s="83">
        <f>Evaluacion!K18</f>
        <v>0</v>
      </c>
      <c r="F12" s="83">
        <f>Evaluacion!L18</f>
        <v>5</v>
      </c>
      <c r="G12" s="83">
        <f>Evaluacion!M18</f>
        <v>6.1583333333333332</v>
      </c>
      <c r="H12" s="83">
        <f>Evaluacion!N18</f>
        <v>2</v>
      </c>
      <c r="I12" s="83">
        <f>Evaluacion!O18</f>
        <v>3</v>
      </c>
      <c r="J12" s="83">
        <f>Evaluacion!P18</f>
        <v>9</v>
      </c>
      <c r="K12" s="83">
        <f>Evaluacion!Q18</f>
        <v>1</v>
      </c>
      <c r="M12" t="s">
        <v>64</v>
      </c>
      <c r="N12" s="250">
        <v>0.94499999999999995</v>
      </c>
      <c r="O12" s="251">
        <v>0</v>
      </c>
      <c r="P12" s="251">
        <v>0</v>
      </c>
      <c r="Q12" s="251">
        <v>0</v>
      </c>
      <c r="R12" s="251">
        <f ca="1">N12*Evaluacion!CK18</f>
        <v>1.5741476690506728</v>
      </c>
      <c r="S12" s="251">
        <f ca="1">N12*Evaluacion!CH18</f>
        <v>3.5340258131334208</v>
      </c>
      <c r="T12" s="251">
        <f ca="1">N12*Evaluacion!CI18</f>
        <v>10.204081010721486</v>
      </c>
      <c r="U12" s="251">
        <f ca="1">S12</f>
        <v>3.5340258131334208</v>
      </c>
      <c r="V12" s="251">
        <v>0</v>
      </c>
      <c r="W12" s="251">
        <f>Evaluacion!T18*N12</f>
        <v>0.45359999999999995</v>
      </c>
      <c r="X12" s="251">
        <f>Evaluacion!U18*N12</f>
        <v>0.21734999999999996</v>
      </c>
    </row>
    <row r="13" spans="2:25" x14ac:dyDescent="0.25">
      <c r="B13" t="s">
        <v>277</v>
      </c>
      <c r="C13" t="str">
        <f>Evaluacion!A19</f>
        <v>V. Godoi</v>
      </c>
      <c r="D13" s="282">
        <f>Evaluacion!D19</f>
        <v>0</v>
      </c>
      <c r="E13" s="83">
        <f>Evaluacion!K19</f>
        <v>0</v>
      </c>
      <c r="F13" s="83">
        <f>Evaluacion!L19</f>
        <v>3</v>
      </c>
      <c r="G13" s="83">
        <f>Evaluacion!M19</f>
        <v>9.0769230769230766</v>
      </c>
      <c r="H13" s="83">
        <f>Evaluacion!N19</f>
        <v>9</v>
      </c>
      <c r="I13" s="83">
        <f>Evaluacion!O19</f>
        <v>5</v>
      </c>
      <c r="J13" s="83">
        <f>Evaluacion!P19</f>
        <v>5</v>
      </c>
      <c r="K13" s="83">
        <f>Evaluacion!Q19</f>
        <v>1</v>
      </c>
      <c r="M13" t="s">
        <v>277</v>
      </c>
      <c r="N13" s="250">
        <f>1-0.055</f>
        <v>0.94499999999999995</v>
      </c>
      <c r="O13" s="251">
        <v>0</v>
      </c>
      <c r="P13" s="251">
        <v>0</v>
      </c>
      <c r="Q13" s="251">
        <v>0</v>
      </c>
      <c r="R13" s="251">
        <f ca="1">N13*Evaluacion!CD19</f>
        <v>3.8426686501411926</v>
      </c>
      <c r="S13" s="251">
        <f ca="1">N13*Evaluacion!CE19</f>
        <v>3.4681765853365465</v>
      </c>
      <c r="T13" s="251">
        <f ca="1">N13*Evaluacion!CF19</f>
        <v>6.3191219099596001</v>
      </c>
      <c r="U13" s="251">
        <f ca="1">S13</f>
        <v>3.4681765853365465</v>
      </c>
      <c r="V13" s="251">
        <v>0</v>
      </c>
      <c r="W13" s="251">
        <f>Evaluacion!T19*N13</f>
        <v>0.26459999999999995</v>
      </c>
      <c r="X13" s="251">
        <f>Evaluacion!U19*N13</f>
        <v>0.14175000000000001</v>
      </c>
    </row>
    <row r="14" spans="2:25" x14ac:dyDescent="0.25">
      <c r="M14" s="81"/>
      <c r="N14" s="181"/>
      <c r="O14" s="252" t="e">
        <f ca="1">SUM(O3:O13)</f>
        <v>#REF!</v>
      </c>
      <c r="P14" s="252" t="e">
        <f t="shared" ref="P14:X14" ca="1" si="0">SUM(P3:P13)</f>
        <v>#REF!</v>
      </c>
      <c r="Q14" s="252">
        <f t="shared" ca="1" si="0"/>
        <v>33.72744407499065</v>
      </c>
      <c r="R14" s="252" t="e">
        <f t="shared" ca="1" si="0"/>
        <v>#REF!</v>
      </c>
      <c r="S14" s="252" t="e">
        <f t="shared" ca="1" si="0"/>
        <v>#REF!</v>
      </c>
      <c r="T14" s="252" t="e">
        <f t="shared" ca="1" si="0"/>
        <v>#REF!</v>
      </c>
      <c r="U14" s="252">
        <f t="shared" ca="1" si="0"/>
        <v>28.680501485223665</v>
      </c>
      <c r="V14" s="300">
        <f t="shared" si="0"/>
        <v>9.2567083333333322</v>
      </c>
      <c r="W14" s="300" t="e">
        <f t="shared" si="0"/>
        <v>#REF!</v>
      </c>
      <c r="X14" s="300" t="e">
        <f t="shared" si="0"/>
        <v>#REF!</v>
      </c>
    </row>
    <row r="15" spans="2:25" ht="15.75" x14ac:dyDescent="0.25">
      <c r="M15" s="81"/>
      <c r="N15" s="81" t="s">
        <v>368</v>
      </c>
      <c r="O15" s="254" t="e">
        <f ca="1">O14*0.34</f>
        <v>#REF!</v>
      </c>
      <c r="P15" s="254" t="e">
        <f ca="1">P14*0.245</f>
        <v>#REF!</v>
      </c>
      <c r="Q15" s="254">
        <f ca="1">Q14*0.34</f>
        <v>11.467330985496822</v>
      </c>
      <c r="R15" s="254" t="e">
        <f ca="1">R14*0.125</f>
        <v>#REF!</v>
      </c>
      <c r="S15" s="254" t="e">
        <f ca="1">S14*0.25</f>
        <v>#REF!</v>
      </c>
      <c r="T15" s="254" t="e">
        <f ca="1">T14*0.19</f>
        <v>#REF!</v>
      </c>
      <c r="U15" s="254">
        <f ca="1">U14*0.25</f>
        <v>7.1701253713059163</v>
      </c>
    </row>
    <row r="16" spans="2:25" ht="15.75" x14ac:dyDescent="0.25">
      <c r="M16" s="81"/>
      <c r="N16" s="81" t="s">
        <v>369</v>
      </c>
      <c r="O16" s="263" t="e">
        <f ca="1">O15*1.2/1.05</f>
        <v>#REF!</v>
      </c>
      <c r="P16" s="263" t="e">
        <f t="shared" ref="P16:Q16" ca="1" si="1">P15*1.2/1.05</f>
        <v>#REF!</v>
      </c>
      <c r="Q16" s="263">
        <f t="shared" ca="1" si="1"/>
        <v>13.105521126282083</v>
      </c>
      <c r="R16" s="263" t="e">
        <f ca="1">R15</f>
        <v>#REF!</v>
      </c>
      <c r="S16" s="263" t="e">
        <f ca="1">S15*0.925/1.05</f>
        <v>#REF!</v>
      </c>
      <c r="T16" s="263" t="e">
        <f t="shared" ref="T16:U16" ca="1" si="2">T15*0.925/1.05</f>
        <v>#REF!</v>
      </c>
      <c r="U16" s="263">
        <f t="shared" ca="1" si="2"/>
        <v>6.3165390175790215</v>
      </c>
    </row>
    <row r="17" spans="13:21" ht="15.75" x14ac:dyDescent="0.25">
      <c r="M17" s="81"/>
      <c r="N17" s="81" t="s">
        <v>370</v>
      </c>
      <c r="O17" s="263" t="e">
        <f ca="1">O15*0.925/1.05</f>
        <v>#REF!</v>
      </c>
      <c r="P17" s="263" t="e">
        <f t="shared" ref="P17:Q17" ca="1" si="3">P15*0.925/1.05</f>
        <v>#REF!</v>
      </c>
      <c r="Q17" s="263">
        <f t="shared" ca="1" si="3"/>
        <v>10.102172534842438</v>
      </c>
      <c r="R17" s="263" t="e">
        <f ca="1">R16</f>
        <v>#REF!</v>
      </c>
      <c r="S17" s="263" t="e">
        <f ca="1">S15*1.135/1.05</f>
        <v>#REF!</v>
      </c>
      <c r="T17" s="263" t="e">
        <f t="shared" ref="T17:U17" ca="1" si="4">T15*1.135/1.05</f>
        <v>#REF!</v>
      </c>
      <c r="U17" s="263">
        <f t="shared" ca="1" si="4"/>
        <v>7.7505640918402037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6" t="s">
        <v>100</v>
      </c>
      <c r="B1" s="196" t="s">
        <v>71</v>
      </c>
      <c r="C1" s="196" t="s">
        <v>319</v>
      </c>
      <c r="D1" s="196" t="s">
        <v>1</v>
      </c>
      <c r="E1" s="196" t="s">
        <v>2</v>
      </c>
      <c r="F1" s="196" t="s">
        <v>326</v>
      </c>
      <c r="G1" s="196" t="s">
        <v>63</v>
      </c>
      <c r="H1" s="196" t="s">
        <v>262</v>
      </c>
      <c r="I1" s="196" t="s">
        <v>327</v>
      </c>
      <c r="J1" s="196" t="s">
        <v>0</v>
      </c>
      <c r="L1" s="249">
        <v>541</v>
      </c>
      <c r="M1" s="181" t="s">
        <v>364</v>
      </c>
      <c r="N1" s="46" t="s">
        <v>330</v>
      </c>
      <c r="O1" s="46" t="s">
        <v>365</v>
      </c>
      <c r="P1" s="46" t="s">
        <v>330</v>
      </c>
      <c r="Q1" s="46" t="s">
        <v>62</v>
      </c>
      <c r="R1" s="46" t="s">
        <v>332</v>
      </c>
      <c r="S1" s="46" t="s">
        <v>333</v>
      </c>
      <c r="T1" s="46" t="s">
        <v>332</v>
      </c>
      <c r="U1" s="46" t="s">
        <v>257</v>
      </c>
      <c r="V1" s="46" t="s">
        <v>366</v>
      </c>
      <c r="W1" s="46" t="s">
        <v>367</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50">
        <v>1</v>
      </c>
      <c r="N2" s="251">
        <f ca="1">Evaluacion!X3</f>
        <v>15.721407074755762</v>
      </c>
      <c r="O2" s="251">
        <f ca="1">Evaluacion!Y3</f>
        <v>23.169483486265392</v>
      </c>
      <c r="P2" s="251">
        <f ca="1">Evaluacion!Z3</f>
        <v>15.721407074755762</v>
      </c>
      <c r="Q2" s="251">
        <v>0</v>
      </c>
      <c r="R2" s="251">
        <v>0</v>
      </c>
      <c r="S2" s="251">
        <v>0</v>
      </c>
      <c r="T2" s="251">
        <v>0</v>
      </c>
      <c r="U2" s="251">
        <v>0</v>
      </c>
      <c r="V2" s="251">
        <f>Evaluacion!T3</f>
        <v>0.54600000000000004</v>
      </c>
      <c r="W2" s="251">
        <f>Evaluacion!U3</f>
        <v>1.024</v>
      </c>
      <c r="AA2" s="256"/>
    </row>
    <row r="3" spans="1:27" x14ac:dyDescent="0.25">
      <c r="A3" t="s">
        <v>360</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50">
        <v>1</v>
      </c>
      <c r="N3" s="251">
        <f>Evaluacion!AI9</f>
        <v>11.37489437088448</v>
      </c>
      <c r="O3" s="251">
        <f>Evaluacion!AJ9</f>
        <v>5.1187024668980152</v>
      </c>
      <c r="P3" s="251">
        <v>0</v>
      </c>
      <c r="Q3" s="251">
        <f>Evaluacion!AK9</f>
        <v>2.8490782752946107</v>
      </c>
      <c r="R3" s="251">
        <f>Evaluacion!AL9</f>
        <v>9.4111451848696461</v>
      </c>
      <c r="S3" s="251">
        <v>0</v>
      </c>
      <c r="T3" s="251">
        <v>0</v>
      </c>
      <c r="U3" s="251">
        <f>Evaluacion!R9</f>
        <v>4.0254583333333329</v>
      </c>
      <c r="V3" s="251">
        <f>Evaluacion!T9</f>
        <v>0.67749999999999999</v>
      </c>
      <c r="W3" s="251">
        <f>Evaluacion!U9</f>
        <v>0.8521466666666665</v>
      </c>
      <c r="AA3" s="257"/>
    </row>
    <row r="4" spans="1:27" x14ac:dyDescent="0.25">
      <c r="A4" t="s">
        <v>372</v>
      </c>
      <c r="B4" t="str">
        <f>Evaluacion!A7</f>
        <v>F. Lasprilla</v>
      </c>
      <c r="C4">
        <f>Evaluacion!D7</f>
        <v>0</v>
      </c>
      <c r="D4" s="83">
        <f>Evaluacion!K7</f>
        <v>0</v>
      </c>
      <c r="E4" s="83">
        <f>Evaluacion!L7</f>
        <v>9.6046666666666667</v>
      </c>
      <c r="F4" s="83">
        <f>Evaluacion!M7</f>
        <v>7.7607222222222223</v>
      </c>
      <c r="G4" s="83">
        <f>Evaluacion!N7</f>
        <v>6.1599999999999984</v>
      </c>
      <c r="H4" s="83">
        <f>Evaluacion!O7</f>
        <v>8.8633333333333315</v>
      </c>
      <c r="I4" s="83">
        <f>Evaluacion!P7</f>
        <v>2.95</v>
      </c>
      <c r="J4" s="83">
        <f>Evaluacion!Q7</f>
        <v>13.33611111111111</v>
      </c>
      <c r="L4" t="str">
        <f t="shared" si="0"/>
        <v>DCHL</v>
      </c>
      <c r="M4" s="250">
        <v>0.9</v>
      </c>
      <c r="N4" s="251">
        <f>M4*Evaluacion!AM7</f>
        <v>8.2588701291456008</v>
      </c>
      <c r="O4" s="251">
        <f>M4*Evaluacion!AN7</f>
        <v>7.755013330815764</v>
      </c>
      <c r="P4" s="251">
        <v>0</v>
      </c>
      <c r="Q4" s="251">
        <f>M4*Evaluacion!AO7</f>
        <v>2.3900553461104979</v>
      </c>
      <c r="R4" s="251">
        <f>M4*Evaluacion!AP7</f>
        <v>1.6477872938911577</v>
      </c>
      <c r="S4" s="251">
        <v>0</v>
      </c>
      <c r="T4" s="251">
        <v>0</v>
      </c>
      <c r="U4" s="251">
        <f>Evaluacion!R7</f>
        <v>3.7914166666666662</v>
      </c>
      <c r="V4" s="251">
        <f>Evaluacion!T7*M4</f>
        <v>0.4928249999999999</v>
      </c>
      <c r="W4" s="251">
        <f>Evaluacion!U7*M4</f>
        <v>0.70584299999999989</v>
      </c>
      <c r="AA4" s="257"/>
    </row>
    <row r="5" spans="1:27" x14ac:dyDescent="0.25">
      <c r="A5" t="s">
        <v>371</v>
      </c>
      <c r="B5" t="str">
        <f>Evaluacion!A6</f>
        <v>B. Bartolache</v>
      </c>
      <c r="C5">
        <f>Evaluacion!D6</f>
        <v>0</v>
      </c>
      <c r="D5" s="83">
        <f>Evaluacion!K6</f>
        <v>0</v>
      </c>
      <c r="E5" s="83">
        <f>Evaluacion!L6</f>
        <v>11.95</v>
      </c>
      <c r="F5" s="83">
        <f>Evaluacion!M6</f>
        <v>5.95</v>
      </c>
      <c r="G5" s="83">
        <f>Evaluacion!N6</f>
        <v>6.95</v>
      </c>
      <c r="H5" s="83">
        <f>Evaluacion!O6</f>
        <v>7.95</v>
      </c>
      <c r="I5" s="83">
        <f>Evaluacion!P6</f>
        <v>2.95</v>
      </c>
      <c r="J5" s="83">
        <f>Evaluacion!Q6</f>
        <v>16</v>
      </c>
      <c r="L5" t="str">
        <f t="shared" si="0"/>
        <v>DCN</v>
      </c>
      <c r="M5" s="250">
        <v>0.9</v>
      </c>
      <c r="N5" s="251">
        <f>M5*(Evaluacion!AA6+Evaluacion!AC6)/2</f>
        <v>5.1824170041929651</v>
      </c>
      <c r="O5" s="251">
        <f>M5*Evaluacion!AB6</f>
        <v>13.391258408767349</v>
      </c>
      <c r="P5" s="251">
        <f>N5</f>
        <v>5.1824170041929651</v>
      </c>
      <c r="Q5" s="251">
        <f>M5*Evaluacion!AD6</f>
        <v>1.9019195012866297</v>
      </c>
      <c r="R5" s="251">
        <v>0</v>
      </c>
      <c r="S5" s="251">
        <f>0</f>
        <v>0</v>
      </c>
      <c r="T5" s="251">
        <v>0</v>
      </c>
      <c r="U5" s="251">
        <f>Evaluacion!R6</f>
        <v>3.8562499999999997</v>
      </c>
      <c r="V5" s="251">
        <f>Evaluacion!T6*M5</f>
        <v>0.56475000000000009</v>
      </c>
      <c r="W5" s="251">
        <f>Evaluacion!U6*M5</f>
        <v>0.86219999999999997</v>
      </c>
      <c r="AA5" s="257"/>
    </row>
    <row r="6" spans="1:27" x14ac:dyDescent="0.25">
      <c r="A6" t="s">
        <v>372</v>
      </c>
      <c r="B6" t="str">
        <f>Evaluacion!A5</f>
        <v>E. Toney</v>
      </c>
      <c r="C6">
        <f>Evaluacion!D5</f>
        <v>0</v>
      </c>
      <c r="D6" s="83">
        <f>Evaluacion!K5</f>
        <v>0</v>
      </c>
      <c r="E6" s="83">
        <f>Evaluacion!L5</f>
        <v>11.95</v>
      </c>
      <c r="F6" s="83">
        <f>Evaluacion!M5</f>
        <v>12.95</v>
      </c>
      <c r="G6" s="83">
        <f>Evaluacion!N5</f>
        <v>8.9499999999999993</v>
      </c>
      <c r="H6" s="83">
        <f>Evaluacion!O5</f>
        <v>8.9499999999999993</v>
      </c>
      <c r="I6" s="83">
        <f>Evaluacion!P5</f>
        <v>1.95</v>
      </c>
      <c r="J6" s="83">
        <f>Evaluacion!Q5</f>
        <v>17.177777777777774</v>
      </c>
      <c r="L6" t="str">
        <f t="shared" si="0"/>
        <v>DCHL</v>
      </c>
      <c r="M6" s="250">
        <v>0.9</v>
      </c>
      <c r="N6" s="251">
        <v>0</v>
      </c>
      <c r="O6" s="251">
        <f>M6*Evaluacion!AN5</f>
        <v>9.6368195203357683</v>
      </c>
      <c r="P6" s="251">
        <f>M6*Evaluacion!AM5</f>
        <v>10.262940562617469</v>
      </c>
      <c r="Q6" s="251">
        <f>M6*Evaluacion!AO5</f>
        <v>3.0588266100227024</v>
      </c>
      <c r="R6" s="251">
        <v>0</v>
      </c>
      <c r="S6" s="251">
        <v>0</v>
      </c>
      <c r="T6" s="251">
        <f>M6*Evaluacion!AP5</f>
        <v>1.8869621777637025</v>
      </c>
      <c r="U6" s="251">
        <f>Evaluacion!R5</f>
        <v>4.1062499999999993</v>
      </c>
      <c r="V6" s="251">
        <f>Evaluacion!T5*M6</f>
        <v>0.55154999999999987</v>
      </c>
      <c r="W6" s="251">
        <f>Evaluacion!U5*M6</f>
        <v>0.89399999999999991</v>
      </c>
      <c r="AA6" s="257"/>
    </row>
    <row r="7" spans="1:27" x14ac:dyDescent="0.25">
      <c r="A7" t="s">
        <v>360</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50">
        <v>1</v>
      </c>
      <c r="N7" s="251">
        <v>0</v>
      </c>
      <c r="O7" s="251" t="e">
        <f>Evaluacion!#REF!</f>
        <v>#REF!</v>
      </c>
      <c r="P7" s="251" t="e">
        <f>Evaluacion!#REF!</f>
        <v>#REF!</v>
      </c>
      <c r="Q7" s="251" t="e">
        <f>Evaluacion!#REF!</f>
        <v>#REF!</v>
      </c>
      <c r="R7" s="251">
        <v>0</v>
      </c>
      <c r="S7" s="251">
        <v>0</v>
      </c>
      <c r="T7" s="251" t="e">
        <f>Evaluacion!#REF!</f>
        <v>#REF!</v>
      </c>
      <c r="U7" s="251" t="e">
        <f>Evaluacion!#REF!</f>
        <v>#REF!</v>
      </c>
      <c r="V7" s="251" t="e">
        <f>Evaluacion!#REF!</f>
        <v>#REF!</v>
      </c>
      <c r="W7" s="251" t="e">
        <f>Evaluacion!#REF!</f>
        <v>#REF!</v>
      </c>
      <c r="AA7" s="257"/>
    </row>
    <row r="8" spans="1:27" x14ac:dyDescent="0.25">
      <c r="A8" t="s">
        <v>221</v>
      </c>
      <c r="B8" t="str">
        <f>Evaluacion!A13</f>
        <v>I. Stone</v>
      </c>
      <c r="C8" t="str">
        <f>Evaluacion!D13</f>
        <v>RAP</v>
      </c>
      <c r="D8" s="83">
        <f>Evaluacion!K13</f>
        <v>0</v>
      </c>
      <c r="E8" s="83">
        <f>Evaluacion!L13</f>
        <v>3</v>
      </c>
      <c r="F8" s="83">
        <f>Evaluacion!M13</f>
        <v>6</v>
      </c>
      <c r="G8" s="83">
        <f>Evaluacion!N13</f>
        <v>2</v>
      </c>
      <c r="H8" s="83">
        <f>Evaluacion!O13</f>
        <v>6</v>
      </c>
      <c r="I8" s="83">
        <f>Evaluacion!P13</f>
        <v>9</v>
      </c>
      <c r="J8" s="83">
        <f>Evaluacion!Q13</f>
        <v>2</v>
      </c>
      <c r="L8" t="str">
        <f t="shared" si="0"/>
        <v>IHL</v>
      </c>
      <c r="M8" s="250">
        <f>1-0.065</f>
        <v>0.93500000000000005</v>
      </c>
      <c r="N8" s="251">
        <f ca="1">M8*Evaluacion!BE13</f>
        <v>0.87548310737918611</v>
      </c>
      <c r="O8" s="251">
        <f ca="1">M8*Evaluacion!BF13</f>
        <v>1.0469694892369648</v>
      </c>
      <c r="P8" s="251">
        <v>0</v>
      </c>
      <c r="Q8" s="251">
        <f ca="1">Evaluacion!BG13*M8</f>
        <v>5.121722586257949</v>
      </c>
      <c r="R8" s="251">
        <f ca="1">Evaluacion!BH13*M8</f>
        <v>3.0214708503783383</v>
      </c>
      <c r="S8" s="251">
        <f ca="1">Evaluacion!BI13*M8</f>
        <v>1.4010614566267487</v>
      </c>
      <c r="T8" s="251">
        <v>0</v>
      </c>
      <c r="U8" s="251">
        <v>0</v>
      </c>
      <c r="V8" s="251">
        <f>Evaluacion!T13*M8</f>
        <v>0.47685000000000005</v>
      </c>
      <c r="W8" s="251">
        <f>Evaluacion!U13*M8</f>
        <v>0.16830000000000003</v>
      </c>
      <c r="AA8" s="257"/>
    </row>
    <row r="9" spans="1:27" x14ac:dyDescent="0.25">
      <c r="A9" t="s">
        <v>221</v>
      </c>
      <c r="B9" t="str">
        <f>Evaluacion!A12</f>
        <v>I. Vanags</v>
      </c>
      <c r="C9" t="str">
        <f>Evaluacion!D12</f>
        <v>CAB</v>
      </c>
      <c r="D9" s="83">
        <f>Evaluacion!K12</f>
        <v>0</v>
      </c>
      <c r="E9" s="83">
        <f>Evaluacion!L12</f>
        <v>4</v>
      </c>
      <c r="F9" s="83">
        <f>Evaluacion!M12</f>
        <v>7.6</v>
      </c>
      <c r="G9" s="83">
        <f>Evaluacion!N12</f>
        <v>3</v>
      </c>
      <c r="H9" s="83">
        <f>Evaluacion!O12</f>
        <v>4</v>
      </c>
      <c r="I9" s="83">
        <f>Evaluacion!P12</f>
        <v>7</v>
      </c>
      <c r="J9" s="83">
        <f>Evaluacion!Q12</f>
        <v>6</v>
      </c>
      <c r="L9" t="str">
        <f t="shared" si="0"/>
        <v>IHL</v>
      </c>
      <c r="M9" s="250">
        <f>1-0.065</f>
        <v>0.93500000000000005</v>
      </c>
      <c r="N9" s="251">
        <v>0</v>
      </c>
      <c r="O9" s="251">
        <f ca="1">M9*Evaluacion!BF12</f>
        <v>1.1788705825118015</v>
      </c>
      <c r="P9" s="251">
        <f ca="1">M9*Evaluacion!BE12</f>
        <v>0.98577971123831698</v>
      </c>
      <c r="Q9" s="251">
        <f ca="1">Evaluacion!BG12*M9</f>
        <v>5.9498856068761414</v>
      </c>
      <c r="R9" s="251">
        <v>0</v>
      </c>
      <c r="S9" s="251">
        <f ca="1">Evaluacion!BI12*M9</f>
        <v>0.81640175398087411</v>
      </c>
      <c r="T9" s="251">
        <f ca="1">Evaluacion!BH12*M9</f>
        <v>2.4748500800373328</v>
      </c>
      <c r="U9" s="251">
        <v>0</v>
      </c>
      <c r="V9" s="251">
        <f>Evaluacion!T12*M9</f>
        <v>0.49555000000000005</v>
      </c>
      <c r="W9" s="251">
        <f>Evaluacion!U12*M9</f>
        <v>0.31790000000000002</v>
      </c>
      <c r="AA9" s="257"/>
    </row>
    <row r="10" spans="1:27" x14ac:dyDescent="0.25">
      <c r="A10" t="s">
        <v>363</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50">
        <v>1</v>
      </c>
      <c r="N10" s="251">
        <f>Evaluacion!BT10</f>
        <v>3.8452733972883144</v>
      </c>
      <c r="O10" s="251">
        <f>Evaluacion!BU10</f>
        <v>3.3036855948533406</v>
      </c>
      <c r="P10" s="251">
        <v>0</v>
      </c>
      <c r="Q10" s="251">
        <f>Evaluacion!BV10</f>
        <v>7.2525612526978298</v>
      </c>
      <c r="R10" s="251">
        <f>Evaluacion!BW10</f>
        <v>8.9091821274487817</v>
      </c>
      <c r="S10" s="251">
        <f>Evaluacion!BX10</f>
        <v>1.4447031023657964</v>
      </c>
      <c r="T10" s="251">
        <v>0</v>
      </c>
      <c r="U10" s="251">
        <v>0</v>
      </c>
      <c r="V10" s="251">
        <f>Evaluacion!T10</f>
        <v>0.5665</v>
      </c>
      <c r="W10" s="251">
        <f>Evaluacion!U10</f>
        <v>0.94099999999999984</v>
      </c>
      <c r="AA10" s="257"/>
    </row>
    <row r="11" spans="1:27" x14ac:dyDescent="0.25">
      <c r="A11" t="s">
        <v>363</v>
      </c>
      <c r="B11" t="str">
        <f>Evaluacion!A11</f>
        <v>W. Gelifini</v>
      </c>
      <c r="C11">
        <f>Evaluacion!D11</f>
        <v>0</v>
      </c>
      <c r="D11" s="83">
        <f>Evaluacion!K11</f>
        <v>0</v>
      </c>
      <c r="E11" s="83">
        <f>Evaluacion!L11</f>
        <v>5.6515555555555519</v>
      </c>
      <c r="F11" s="83">
        <f>Evaluacion!M11</f>
        <v>8.9499999999999993</v>
      </c>
      <c r="G11" s="83">
        <f>Evaluacion!N11</f>
        <v>6.95</v>
      </c>
      <c r="H11" s="83">
        <f>Evaluacion!O11</f>
        <v>9.2666666666666639</v>
      </c>
      <c r="I11" s="83">
        <f>Evaluacion!P11</f>
        <v>2.95</v>
      </c>
      <c r="J11" s="83">
        <f>Evaluacion!Q11</f>
        <v>12.847222222222223</v>
      </c>
      <c r="L11" t="str">
        <f t="shared" si="0"/>
        <v>EXTN</v>
      </c>
      <c r="M11" s="250">
        <v>1</v>
      </c>
      <c r="N11" s="251">
        <v>0</v>
      </c>
      <c r="O11" s="251">
        <f>Evaluacion!BU11</f>
        <v>1.9574913600371331</v>
      </c>
      <c r="P11" s="251">
        <f>Evaluacion!BT11</f>
        <v>2.2783915829940402</v>
      </c>
      <c r="Q11" s="251">
        <f>Evaluacion!BV11</f>
        <v>5.1510322583570423</v>
      </c>
      <c r="R11" s="251">
        <v>0</v>
      </c>
      <c r="S11" s="251">
        <f>Evaluacion!BX11</f>
        <v>1.4081516188890884</v>
      </c>
      <c r="T11" s="251">
        <f>Evaluacion!BW11</f>
        <v>10.89287928701744</v>
      </c>
      <c r="U11" s="251">
        <v>0</v>
      </c>
      <c r="V11" s="251">
        <f>Evaluacion!T11</f>
        <v>0.53291666666666671</v>
      </c>
      <c r="W11" s="251">
        <f>Evaluacion!U11</f>
        <v>0.61147888888888879</v>
      </c>
      <c r="AA11" s="257"/>
    </row>
    <row r="12" spans="1:27" x14ac:dyDescent="0.25">
      <c r="A12" t="s">
        <v>277</v>
      </c>
      <c r="B12" t="str">
        <f>Evaluacion!A19</f>
        <v>V. Godoi</v>
      </c>
      <c r="C12">
        <f>Evaluacion!D19</f>
        <v>0</v>
      </c>
      <c r="D12" s="83">
        <f>Evaluacion!K19</f>
        <v>0</v>
      </c>
      <c r="E12" s="83">
        <f>Evaluacion!L19</f>
        <v>3</v>
      </c>
      <c r="F12" s="83">
        <f>Evaluacion!M19</f>
        <v>9.0769230769230766</v>
      </c>
      <c r="G12" s="83">
        <f>Evaluacion!N19</f>
        <v>9</v>
      </c>
      <c r="H12" s="83">
        <f>Evaluacion!O19</f>
        <v>5</v>
      </c>
      <c r="I12" s="83">
        <f>Evaluacion!P19</f>
        <v>5</v>
      </c>
      <c r="J12" s="83">
        <f>Evaluacion!Q19</f>
        <v>1</v>
      </c>
      <c r="L12" t="str">
        <f t="shared" si="0"/>
        <v>DD</v>
      </c>
      <c r="M12" s="250">
        <v>1</v>
      </c>
      <c r="N12" s="251">
        <v>0</v>
      </c>
      <c r="O12" s="251">
        <v>0</v>
      </c>
      <c r="P12" s="251">
        <v>0</v>
      </c>
      <c r="Q12" s="251">
        <f ca="1">M12*Evaluacion!CD19</f>
        <v>4.0663160318954423</v>
      </c>
      <c r="R12" s="251">
        <f ca="1">M12*Evaluacion!CE19</f>
        <v>3.6700281326312663</v>
      </c>
      <c r="S12" s="251">
        <f ca="1">M12*Evaluacion!CF19</f>
        <v>6.6869014920207412</v>
      </c>
      <c r="T12" s="251">
        <f ca="1">R12</f>
        <v>3.6700281326312663</v>
      </c>
      <c r="U12" s="251">
        <v>0</v>
      </c>
      <c r="V12" s="251">
        <f>Evaluacion!T19*M12</f>
        <v>0.27999999999999997</v>
      </c>
      <c r="W12" s="251">
        <f>Evaluacion!U19*M12</f>
        <v>0.15000000000000002</v>
      </c>
      <c r="AA12" s="257"/>
    </row>
    <row r="13" spans="1:27" x14ac:dyDescent="0.25">
      <c r="L13" s="81"/>
      <c r="M13" s="181"/>
      <c r="N13" s="252">
        <f ca="1">SUM(N2:N12)</f>
        <v>45.258345083646311</v>
      </c>
      <c r="O13" s="252" t="e">
        <f t="shared" ref="O13:W13" ca="1" si="1">SUM(O2:O12)</f>
        <v>#REF!</v>
      </c>
      <c r="P13" s="252" t="e">
        <f t="shared" ca="1" si="1"/>
        <v>#REF!</v>
      </c>
      <c r="Q13" s="252" t="e">
        <f t="shared" si="1"/>
        <v>#REF!</v>
      </c>
      <c r="R13" s="252">
        <f t="shared" ca="1" si="1"/>
        <v>26.659613589219191</v>
      </c>
      <c r="S13" s="252">
        <f t="shared" ca="1" si="1"/>
        <v>11.757219423883249</v>
      </c>
      <c r="T13" s="252" t="e">
        <f t="shared" si="1"/>
        <v>#REF!</v>
      </c>
      <c r="U13" s="253" t="e">
        <f t="shared" si="1"/>
        <v>#REF!</v>
      </c>
      <c r="V13" s="253" t="e">
        <f t="shared" si="1"/>
        <v>#REF!</v>
      </c>
      <c r="W13" s="253" t="e">
        <f t="shared" si="1"/>
        <v>#REF!</v>
      </c>
    </row>
    <row r="14" spans="1:27" ht="15.75" x14ac:dyDescent="0.25">
      <c r="L14" s="81"/>
      <c r="M14" s="81" t="s">
        <v>368</v>
      </c>
      <c r="N14" s="254">
        <f ca="1">N13*0.34</f>
        <v>15.387837328439748</v>
      </c>
      <c r="O14" s="254" t="e">
        <f ca="1">O13*0.245</f>
        <v>#REF!</v>
      </c>
      <c r="P14" s="254" t="e">
        <f ca="1">P13*0.34</f>
        <v>#REF!</v>
      </c>
      <c r="Q14" s="254" t="e">
        <f>Q13*0.125</f>
        <v>#REF!</v>
      </c>
      <c r="R14" s="254">
        <f ca="1">R13*0.25</f>
        <v>6.6649033973047977</v>
      </c>
      <c r="S14" s="254">
        <f ca="1">S13*0.19</f>
        <v>2.2338716905378173</v>
      </c>
      <c r="T14" s="254" t="e">
        <f>T13*0.25</f>
        <v>#REF!</v>
      </c>
    </row>
    <row r="15" spans="1:27" ht="15.75" x14ac:dyDescent="0.25">
      <c r="L15" s="81"/>
      <c r="M15" s="81" t="s">
        <v>369</v>
      </c>
      <c r="N15" s="263">
        <f ca="1">N14*1.2/1.05</f>
        <v>17.586099803931138</v>
      </c>
      <c r="O15" s="263" t="e">
        <f t="shared" ref="O15:P15" ca="1" si="2">O14*1.2/1.05</f>
        <v>#REF!</v>
      </c>
      <c r="P15" s="263" t="e">
        <f t="shared" ca="1" si="2"/>
        <v>#REF!</v>
      </c>
      <c r="Q15" s="263" t="e">
        <f>Q14</f>
        <v>#REF!</v>
      </c>
      <c r="R15" s="263">
        <f ca="1">R14*0.925/1.05</f>
        <v>5.8714625166732741</v>
      </c>
      <c r="S15" s="263">
        <f t="shared" ref="S15:T15" ca="1" si="3">S14*0.925/1.05</f>
        <v>1.9679345845214107</v>
      </c>
      <c r="T15" s="263" t="e">
        <f t="shared" si="3"/>
        <v>#REF!</v>
      </c>
    </row>
    <row r="16" spans="1:27" ht="15.75" x14ac:dyDescent="0.25">
      <c r="L16" s="81"/>
      <c r="M16" s="81" t="s">
        <v>370</v>
      </c>
      <c r="N16" s="263">
        <f ca="1">N14*0.925/1.05</f>
        <v>13.555951932196921</v>
      </c>
      <c r="O16" s="263" t="e">
        <f t="shared" ref="O16:P16" ca="1" si="4">O14*0.925/1.05</f>
        <v>#REF!</v>
      </c>
      <c r="P16" s="263" t="e">
        <f t="shared" ca="1" si="4"/>
        <v>#REF!</v>
      </c>
      <c r="Q16" s="263" t="e">
        <f>Q15</f>
        <v>#REF!</v>
      </c>
      <c r="R16" s="263">
        <f ca="1">R14*1.135/1.05</f>
        <v>7.2044431961342337</v>
      </c>
      <c r="S16" s="263">
        <f t="shared" ref="S16:T16" ca="1" si="5">S14*1.135/1.05</f>
        <v>2.4147089226289737</v>
      </c>
      <c r="T16" s="263"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64" bestFit="1" customWidth="1"/>
    <col min="13" max="13" width="6.5703125" style="270" customWidth="1"/>
    <col min="14" max="14" width="8.28515625" style="26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43060</v>
      </c>
      <c r="Y2" s="272">
        <f>SUM(Y4:Y12)</f>
        <v>0.23658764552873529</v>
      </c>
      <c r="Z2" s="272">
        <f>SUM(Z4:Z12)</f>
        <v>0.33824859010884656</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9" t="s">
        <v>1</v>
      </c>
      <c r="P3" s="267" t="s">
        <v>361</v>
      </c>
      <c r="Q3" s="266" t="s">
        <v>379</v>
      </c>
      <c r="R3" s="266" t="s">
        <v>385</v>
      </c>
      <c r="S3" s="266" t="s">
        <v>380</v>
      </c>
      <c r="T3" s="266" t="s">
        <v>362</v>
      </c>
      <c r="U3" s="266" t="s">
        <v>221</v>
      </c>
      <c r="V3" s="266" t="s">
        <v>384</v>
      </c>
      <c r="W3" s="267" t="s">
        <v>277</v>
      </c>
      <c r="X3" s="267" t="s">
        <v>64</v>
      </c>
      <c r="Y3" s="266" t="s">
        <v>382</v>
      </c>
      <c r="Z3" s="269" t="s">
        <v>383</v>
      </c>
      <c r="AA3" s="269" t="s">
        <v>387</v>
      </c>
      <c r="AD3" t="s">
        <v>1</v>
      </c>
      <c r="AE3" t="s">
        <v>353</v>
      </c>
      <c r="AG3" t="s">
        <v>1</v>
      </c>
      <c r="AH3" t="s">
        <v>353</v>
      </c>
    </row>
    <row r="4" spans="1:34" x14ac:dyDescent="0.25">
      <c r="A4" s="86" t="str">
        <f>Plantilla!A11</f>
        <v>#12</v>
      </c>
      <c r="B4" s="52" t="str">
        <f>Plantilla!D11</f>
        <v>E. Gross</v>
      </c>
      <c r="C4" s="3">
        <f>Plantilla!E11</f>
        <v>35</v>
      </c>
      <c r="D4" s="3">
        <f ca="1">Plantilla!F11</f>
        <v>78</v>
      </c>
      <c r="E4" s="49">
        <f>Plantilla!X11</f>
        <v>0</v>
      </c>
      <c r="F4" s="49">
        <f>Plantilla!Y11</f>
        <v>10.549999999999995</v>
      </c>
      <c r="G4" s="49">
        <f>Plantilla!Z11</f>
        <v>12.95</v>
      </c>
      <c r="H4" s="49">
        <f>Plantilla!AA11</f>
        <v>3.95</v>
      </c>
      <c r="I4" s="49">
        <f>Plantilla!AB11</f>
        <v>8.9499999999999993</v>
      </c>
      <c r="J4" s="49">
        <f>Plantilla!AC11</f>
        <v>0.95</v>
      </c>
      <c r="K4" s="49">
        <f>Plantilla!AD11</f>
        <v>17.3</v>
      </c>
      <c r="L4" s="119">
        <f>1/13</f>
        <v>7.6923076923076927E-2</v>
      </c>
      <c r="M4" s="119"/>
      <c r="N4" s="119">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6">
        <f>P4</f>
        <v>6.6819197896120994E-2</v>
      </c>
      <c r="Z4" s="146">
        <f>P4</f>
        <v>6.6819197896120994E-2</v>
      </c>
      <c r="AA4" s="146">
        <f t="shared" ref="AA4:AA23" si="9">MAX(Z4,Y4)</f>
        <v>6.6819197896120994E-2</v>
      </c>
      <c r="AD4" t="s">
        <v>360</v>
      </c>
      <c r="AE4" s="281" t="s">
        <v>390</v>
      </c>
      <c r="AG4" t="s">
        <v>360</v>
      </c>
      <c r="AH4" s="281" t="str">
        <f>AE4</f>
        <v>B. Pinczehelyi</v>
      </c>
    </row>
    <row r="5" spans="1:34" x14ac:dyDescent="0.25">
      <c r="A5" s="86" t="str">
        <f>Plantilla!A7</f>
        <v>#24</v>
      </c>
      <c r="B5" s="52" t="str">
        <f>Plantilla!D7</f>
        <v>B. Bartolache</v>
      </c>
      <c r="C5" s="3">
        <f>Plantilla!E7</f>
        <v>36</v>
      </c>
      <c r="D5" s="3">
        <f ca="1">Plantilla!F7</f>
        <v>2</v>
      </c>
      <c r="E5" s="49">
        <f>Plantilla!X7</f>
        <v>0</v>
      </c>
      <c r="F5" s="49">
        <f>Plantilla!Y7</f>
        <v>11.95</v>
      </c>
      <c r="G5" s="49">
        <f>Plantilla!Z7</f>
        <v>5.95</v>
      </c>
      <c r="H5" s="49">
        <f>Plantilla!AA7</f>
        <v>6.95</v>
      </c>
      <c r="I5" s="49">
        <f>Plantilla!AB7</f>
        <v>7.95</v>
      </c>
      <c r="J5" s="49">
        <f>Plantilla!AC7</f>
        <v>2.95</v>
      </c>
      <c r="K5" s="49">
        <f>Plantilla!AD7</f>
        <v>16</v>
      </c>
      <c r="L5" s="119">
        <f>1/15</f>
        <v>6.6666666666666666E-2</v>
      </c>
      <c r="M5" s="119"/>
      <c r="N5" s="119">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6"/>
      <c r="Z5" s="146">
        <f>R5</f>
        <v>4.8982336182336182E-2</v>
      </c>
      <c r="AA5" s="146">
        <f t="shared" si="9"/>
        <v>4.8982336182336182E-2</v>
      </c>
      <c r="AD5" t="s">
        <v>361</v>
      </c>
      <c r="AE5" t="s">
        <v>97</v>
      </c>
      <c r="AG5" t="s">
        <v>372</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9">
        <f>1/15</f>
        <v>6.6666666666666666E-2</v>
      </c>
      <c r="M6" s="119"/>
      <c r="N6" s="119">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6"/>
      <c r="Z6" s="146">
        <f>R6</f>
        <v>4.8982336182336182E-2</v>
      </c>
      <c r="AA6" s="146">
        <f t="shared" si="9"/>
        <v>4.8982336182336182E-2</v>
      </c>
      <c r="AD6" t="s">
        <v>360</v>
      </c>
      <c r="AE6" t="s">
        <v>95</v>
      </c>
      <c r="AG6" t="s">
        <v>371</v>
      </c>
      <c r="AH6" t="s">
        <v>95</v>
      </c>
    </row>
    <row r="7" spans="1:34" x14ac:dyDescent="0.25">
      <c r="A7" s="86" t="str">
        <f>Plantilla!A6</f>
        <v>#2</v>
      </c>
      <c r="B7" s="52" t="str">
        <f>Plantilla!D6</f>
        <v>E. Toney</v>
      </c>
      <c r="C7" s="3">
        <f>Plantilla!E6</f>
        <v>36</v>
      </c>
      <c r="D7" s="3">
        <f ca="1">Plantilla!F6</f>
        <v>17</v>
      </c>
      <c r="E7" s="49">
        <f>Plantilla!X6</f>
        <v>0</v>
      </c>
      <c r="F7" s="49">
        <f>Plantilla!Y6</f>
        <v>11.95</v>
      </c>
      <c r="G7" s="49">
        <f>Plantilla!Z6</f>
        <v>12.95</v>
      </c>
      <c r="H7" s="49">
        <f>Plantilla!AA6</f>
        <v>8.9499999999999993</v>
      </c>
      <c r="I7" s="49">
        <f>Plantilla!AB6</f>
        <v>8.9499999999999993</v>
      </c>
      <c r="J7" s="49">
        <f>Plantilla!AC6</f>
        <v>1.95</v>
      </c>
      <c r="K7" s="49">
        <f>Plantilla!AD6</f>
        <v>17.177777777777774</v>
      </c>
      <c r="L7" s="119">
        <f>1/18</f>
        <v>5.5555555555555552E-2</v>
      </c>
      <c r="M7" s="119"/>
      <c r="N7" s="119">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6">
        <f>S7</f>
        <v>3.930579297245964E-2</v>
      </c>
      <c r="Z7" s="146">
        <f>R7</f>
        <v>4.0818613485280153E-2</v>
      </c>
      <c r="AA7" s="146">
        <f t="shared" si="9"/>
        <v>4.0818613485280153E-2</v>
      </c>
      <c r="AD7" t="s">
        <v>221</v>
      </c>
      <c r="AE7" t="s">
        <v>291</v>
      </c>
      <c r="AG7" t="s">
        <v>372</v>
      </c>
      <c r="AH7" t="s">
        <v>99</v>
      </c>
    </row>
    <row r="8" spans="1:34" x14ac:dyDescent="0.25">
      <c r="A8" s="86" t="str">
        <f>Plantilla!A9</f>
        <v>#7</v>
      </c>
      <c r="B8" s="52" t="str">
        <f>Plantilla!D9</f>
        <v>E. Romweber</v>
      </c>
      <c r="C8" s="3">
        <f>Plantilla!E9</f>
        <v>35</v>
      </c>
      <c r="D8" s="3">
        <f ca="1">Plantilla!F9</f>
        <v>91</v>
      </c>
      <c r="E8" s="49">
        <f>Plantilla!X9</f>
        <v>0</v>
      </c>
      <c r="F8" s="49">
        <f>Plantilla!Y9</f>
        <v>11.95</v>
      </c>
      <c r="G8" s="49">
        <f>Plantilla!Z9</f>
        <v>12.614111111111114</v>
      </c>
      <c r="H8" s="49">
        <f>Plantilla!AA9</f>
        <v>12.95</v>
      </c>
      <c r="I8" s="49">
        <f>Plantilla!AB9</f>
        <v>10.95</v>
      </c>
      <c r="J8" s="49">
        <f>Plantilla!AC9</f>
        <v>5.95</v>
      </c>
      <c r="K8" s="49">
        <f>Plantilla!AD9</f>
        <v>17.529999999999998</v>
      </c>
      <c r="L8" s="119">
        <f>1/18</f>
        <v>5.5555555555555552E-2</v>
      </c>
      <c r="M8" s="119"/>
      <c r="N8" s="119">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6">
        <f>V8</f>
        <v>9.3280555555555547E-3</v>
      </c>
      <c r="Z8" s="146">
        <f>S8</f>
        <v>3.930579297245964E-2</v>
      </c>
      <c r="AA8" s="146">
        <f t="shared" si="9"/>
        <v>3.930579297245964E-2</v>
      </c>
      <c r="AD8" t="s">
        <v>362</v>
      </c>
      <c r="AE8" t="s">
        <v>169</v>
      </c>
      <c r="AG8" t="s">
        <v>360</v>
      </c>
      <c r="AH8" t="s">
        <v>373</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9">
        <f>1/5</f>
        <v>0.2</v>
      </c>
      <c r="M9" s="119"/>
      <c r="N9" s="119">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6">
        <f>U9</f>
        <v>3.6839999999999998E-2</v>
      </c>
      <c r="Z9" s="146">
        <f>U9</f>
        <v>3.6839999999999998E-2</v>
      </c>
      <c r="AA9" s="146">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9">
        <f>1/25</f>
        <v>0.04</v>
      </c>
      <c r="M10" s="119"/>
      <c r="N10" s="119">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6">
        <f>S10</f>
        <v>2.8300170940170941E-2</v>
      </c>
      <c r="Z10" s="146">
        <f>S10</f>
        <v>2.8300170940170941E-2</v>
      </c>
      <c r="AA10" s="146">
        <f t="shared" si="9"/>
        <v>2.8300170940170941E-2</v>
      </c>
      <c r="AD10" t="s">
        <v>363</v>
      </c>
      <c r="AE10" t="s">
        <v>373</v>
      </c>
      <c r="AG10" t="s">
        <v>221</v>
      </c>
      <c r="AH10" t="s">
        <v>291</v>
      </c>
    </row>
    <row r="11" spans="1:34" x14ac:dyDescent="0.25">
      <c r="A11" s="86" t="str">
        <f>Plantilla!A4</f>
        <v>#1</v>
      </c>
      <c r="B11" s="52" t="str">
        <f>Plantilla!D4</f>
        <v>D. Gehmacher</v>
      </c>
      <c r="C11" s="3">
        <f>Plantilla!E4</f>
        <v>35</v>
      </c>
      <c r="D11" s="3">
        <f ca="1">Plantilla!F4</f>
        <v>6</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9">
        <f>1/12</f>
        <v>8.3333333333333329E-2</v>
      </c>
      <c r="M11" s="119"/>
      <c r="N11" s="119">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6">
        <f>O11</f>
        <v>2.8200142450142449E-2</v>
      </c>
      <c r="Z11" s="146">
        <f>O11</f>
        <v>2.8200142450142449E-2</v>
      </c>
      <c r="AA11" s="146">
        <f t="shared" si="9"/>
        <v>2.8200142450142449E-2</v>
      </c>
      <c r="AD11" t="s">
        <v>363</v>
      </c>
      <c r="AE11" t="s">
        <v>107</v>
      </c>
      <c r="AG11" t="s">
        <v>363</v>
      </c>
      <c r="AH11" t="s">
        <v>107</v>
      </c>
    </row>
    <row r="12" spans="1:34" x14ac:dyDescent="0.25">
      <c r="A12" s="86" t="str">
        <f>Plantilla!A25</f>
        <v>#5</v>
      </c>
      <c r="B12" s="52" t="str">
        <f>Plantilla!D25</f>
        <v>L. Bauman</v>
      </c>
      <c r="C12" s="3">
        <f>Plantilla!E25</f>
        <v>35</v>
      </c>
      <c r="D12" s="3">
        <f ca="1">Plantilla!F25</f>
        <v>53</v>
      </c>
      <c r="E12" s="49">
        <f>Plantilla!X25</f>
        <v>0</v>
      </c>
      <c r="F12" s="49">
        <f>Plantilla!Y25</f>
        <v>5.95</v>
      </c>
      <c r="G12" s="49">
        <f>Plantilla!Z25</f>
        <v>14.1</v>
      </c>
      <c r="H12" s="49">
        <f>Plantilla!AA25</f>
        <v>2.95</v>
      </c>
      <c r="I12" s="49">
        <f>Plantilla!AB25</f>
        <v>8.9499999999999993</v>
      </c>
      <c r="J12" s="49">
        <f>Plantilla!AC25</f>
        <v>5.95</v>
      </c>
      <c r="K12" s="49">
        <f>Plantilla!AD25</f>
        <v>16.95</v>
      </c>
      <c r="L12" s="119">
        <f>1/7</f>
        <v>0.14285714285714285</v>
      </c>
      <c r="M12" s="119"/>
      <c r="N12" s="119">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6">
        <f>T12</f>
        <v>2.7794285714285716E-2</v>
      </c>
      <c r="Z12" s="146">
        <f>W12</f>
        <v>0</v>
      </c>
      <c r="AA12" s="146">
        <f t="shared" si="9"/>
        <v>2.7794285714285716E-2</v>
      </c>
      <c r="AD12" t="s">
        <v>64</v>
      </c>
      <c r="AE12" t="s">
        <v>102</v>
      </c>
      <c r="AG12" t="s">
        <v>363</v>
      </c>
      <c r="AH12" t="s">
        <v>225</v>
      </c>
    </row>
    <row r="13" spans="1:34" x14ac:dyDescent="0.25">
      <c r="A13" s="86" t="str">
        <f>Plantilla!A23</f>
        <v>#11</v>
      </c>
      <c r="B13" s="52" t="str">
        <f>Plantilla!D23</f>
        <v>K. Helms</v>
      </c>
      <c r="C13" s="3">
        <f>Plantilla!E23</f>
        <v>35</v>
      </c>
      <c r="D13" s="3">
        <f ca="1">Plantilla!F23</f>
        <v>38</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9">
        <f>1/8</f>
        <v>0.125</v>
      </c>
      <c r="M13" s="119"/>
      <c r="N13" s="119">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6">
        <f>V13</f>
        <v>2.0988125E-2</v>
      </c>
      <c r="Z13" s="146">
        <f>V13</f>
        <v>2.0988125E-2</v>
      </c>
      <c r="AA13" s="146">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53</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9">
        <f>1/9</f>
        <v>0.1111111111111111</v>
      </c>
      <c r="M14" s="119"/>
      <c r="N14" s="119">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6">
        <f>V14</f>
        <v>1.8656111111111109E-2</v>
      </c>
      <c r="Z14" s="146">
        <f>V14</f>
        <v>1.8656111111111109E-2</v>
      </c>
      <c r="AA14" s="146">
        <f t="shared" si="9"/>
        <v>1.8656111111111109E-2</v>
      </c>
    </row>
    <row r="15" spans="1:34" x14ac:dyDescent="0.25">
      <c r="A15" s="86" t="str">
        <f>Plantilla!A10</f>
        <v>#6</v>
      </c>
      <c r="B15" s="62" t="str">
        <f>Plantilla!D10</f>
        <v>S. Buschelman</v>
      </c>
      <c r="C15" s="3">
        <f>Plantilla!E10</f>
        <v>34</v>
      </c>
      <c r="D15" s="3">
        <f ca="1">Plantilla!F10</f>
        <v>50</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9">
        <f>1/10</f>
        <v>0.1</v>
      </c>
      <c r="M15" s="119"/>
      <c r="N15" s="119">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6">
        <f>U15</f>
        <v>1.8419999999999999E-2</v>
      </c>
      <c r="Z15" s="146">
        <f>U15</f>
        <v>1.8419999999999999E-2</v>
      </c>
      <c r="AA15" s="146">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9">
        <f>1/11</f>
        <v>9.0909090909090912E-2</v>
      </c>
      <c r="M16" s="119"/>
      <c r="N16" s="119">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6">
        <f>U16</f>
        <v>1.6745454545454543E-2</v>
      </c>
      <c r="Z16" s="146">
        <f>U16</f>
        <v>1.6745454545454543E-2</v>
      </c>
      <c r="AA16" s="146">
        <f t="shared" si="9"/>
        <v>1.6745454545454543E-2</v>
      </c>
    </row>
    <row r="17" spans="1:27" x14ac:dyDescent="0.25">
      <c r="A17" s="86" t="str">
        <f>Plantilla!A26</f>
        <v>#9</v>
      </c>
      <c r="B17" s="86" t="str">
        <f>Plantilla!D26</f>
        <v>J. Limon</v>
      </c>
      <c r="C17" s="3">
        <f>Plantilla!E26</f>
        <v>34</v>
      </c>
      <c r="D17" s="3">
        <f ca="1">Plantilla!F26</f>
        <v>90</v>
      </c>
      <c r="E17" s="49">
        <f>Plantilla!X26</f>
        <v>0</v>
      </c>
      <c r="F17" s="49">
        <f>Plantilla!Y26</f>
        <v>6.8376190476190493</v>
      </c>
      <c r="G17" s="49">
        <f>Plantilla!Z26</f>
        <v>8.9499999999999993</v>
      </c>
      <c r="H17" s="49">
        <f>Plantilla!AA26</f>
        <v>8.7399999999999967</v>
      </c>
      <c r="I17" s="49">
        <f>Plantilla!AB26</f>
        <v>9.9499999999999993</v>
      </c>
      <c r="J17" s="49">
        <f>Plantilla!AC26</f>
        <v>6.95</v>
      </c>
      <c r="K17" s="49">
        <f>Plantilla!AD26</f>
        <v>18.999999999999993</v>
      </c>
      <c r="L17" s="119">
        <f>1/8</f>
        <v>0.125</v>
      </c>
      <c r="M17" s="119"/>
      <c r="N17" s="119">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6">
        <v>0</v>
      </c>
      <c r="Z17" s="146">
        <v>0</v>
      </c>
      <c r="AA17" s="146">
        <f t="shared" si="9"/>
        <v>0</v>
      </c>
    </row>
    <row r="18" spans="1:27" x14ac:dyDescent="0.25">
      <c r="A18" s="86" t="str">
        <f>Plantilla!A27</f>
        <v>#15</v>
      </c>
      <c r="B18" s="86" t="str">
        <f>Plantilla!D27</f>
        <v>P .Trivadi</v>
      </c>
      <c r="C18" s="3">
        <f>Plantilla!E27</f>
        <v>32</v>
      </c>
      <c r="D18" s="3">
        <f ca="1">Plantilla!F27</f>
        <v>9</v>
      </c>
      <c r="E18" s="49">
        <f>Plantilla!X27</f>
        <v>0</v>
      </c>
      <c r="F18" s="49">
        <f>Plantilla!Y27</f>
        <v>4.0199999999999996</v>
      </c>
      <c r="G18" s="49">
        <f>Plantilla!Z27</f>
        <v>5.95</v>
      </c>
      <c r="H18" s="49">
        <f>Plantilla!AA27</f>
        <v>5.5099999999999989</v>
      </c>
      <c r="I18" s="49">
        <f>Plantilla!AB27</f>
        <v>10.95</v>
      </c>
      <c r="J18" s="49">
        <f>Plantilla!AC27</f>
        <v>7.95</v>
      </c>
      <c r="K18" s="49">
        <f>Plantilla!AD27</f>
        <v>14</v>
      </c>
      <c r="L18" s="119">
        <f>1/6</f>
        <v>0.16666666666666666</v>
      </c>
      <c r="M18" s="119"/>
      <c r="N18" s="119">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6">
        <v>0</v>
      </c>
      <c r="Z18" s="146">
        <v>0</v>
      </c>
      <c r="AA18" s="146">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9">
        <f>1/5</f>
        <v>0.2</v>
      </c>
      <c r="M19" s="119"/>
      <c r="N19" s="119">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6">
        <v>0</v>
      </c>
      <c r="Z19" s="146">
        <v>0</v>
      </c>
      <c r="AA19" s="146">
        <f t="shared" si="9"/>
        <v>0</v>
      </c>
    </row>
    <row r="20" spans="1:27" x14ac:dyDescent="0.25">
      <c r="A20" s="86" t="str">
        <f>Plantilla!A8</f>
        <v>#13</v>
      </c>
      <c r="B20" s="86" t="str">
        <f>Plantilla!D8</f>
        <v>F. Lasprilla</v>
      </c>
      <c r="C20" s="3">
        <f>Plantilla!E8</f>
        <v>32</v>
      </c>
      <c r="D20" s="3">
        <f ca="1">Plantilla!F8</f>
        <v>25</v>
      </c>
      <c r="E20" s="49">
        <f>Plantilla!X8</f>
        <v>0</v>
      </c>
      <c r="F20" s="49">
        <f>Plantilla!Y8</f>
        <v>9.6046666666666667</v>
      </c>
      <c r="G20" s="49">
        <f>Plantilla!Z8</f>
        <v>7.7607222222222223</v>
      </c>
      <c r="H20" s="49">
        <f>Plantilla!AA8</f>
        <v>6.1599999999999984</v>
      </c>
      <c r="I20" s="49">
        <f>Plantilla!AB8</f>
        <v>8.8633333333333315</v>
      </c>
      <c r="J20" s="49">
        <f>Plantilla!AC8</f>
        <v>2.95</v>
      </c>
      <c r="K20" s="49">
        <f>Plantilla!AD8</f>
        <v>13.33611111111111</v>
      </c>
      <c r="L20" s="119"/>
      <c r="M20" s="119"/>
      <c r="N20" s="119">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6"/>
      <c r="Z20" s="146"/>
      <c r="AA20" s="146">
        <f t="shared" si="9"/>
        <v>0</v>
      </c>
    </row>
    <row r="21" spans="1:27" x14ac:dyDescent="0.25">
      <c r="A21" s="86" t="str">
        <f>Plantilla!A12</f>
        <v>#23</v>
      </c>
      <c r="B21" s="86" t="str">
        <f>Plantilla!D12</f>
        <v>W. Gelifini</v>
      </c>
      <c r="C21" s="3">
        <f>Plantilla!E12</f>
        <v>34</v>
      </c>
      <c r="D21" s="3">
        <f ca="1">Plantilla!F12</f>
        <v>3</v>
      </c>
      <c r="E21" s="49">
        <f>Plantilla!X12</f>
        <v>0</v>
      </c>
      <c r="F21" s="49">
        <f>Plantilla!Y12</f>
        <v>5.6515555555555519</v>
      </c>
      <c r="G21" s="49">
        <f>Plantilla!Z12</f>
        <v>8.9499999999999993</v>
      </c>
      <c r="H21" s="49">
        <f>Plantilla!AA12</f>
        <v>6.95</v>
      </c>
      <c r="I21" s="49">
        <f>Plantilla!AB12</f>
        <v>9.2666666666666639</v>
      </c>
      <c r="J21" s="49">
        <f>Plantilla!AC12</f>
        <v>2.95</v>
      </c>
      <c r="K21" s="49">
        <f>Plantilla!AD12</f>
        <v>12.847222222222223</v>
      </c>
      <c r="L21" s="119"/>
      <c r="M21" s="119"/>
      <c r="N21" s="119">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6"/>
      <c r="Z21" s="146"/>
      <c r="AA21" s="146">
        <f t="shared" si="9"/>
        <v>0</v>
      </c>
    </row>
    <row r="22" spans="1:27" x14ac:dyDescent="0.25">
      <c r="A22" s="86" t="str">
        <f>Plantilla!A5</f>
        <v>#25</v>
      </c>
      <c r="B22" s="86" t="str">
        <f>Plantilla!D5</f>
        <v>T. Hammond</v>
      </c>
      <c r="C22" s="3">
        <f>Plantilla!E5</f>
        <v>39</v>
      </c>
      <c r="D22" s="3">
        <f ca="1">Plantilla!F5</f>
        <v>15</v>
      </c>
      <c r="E22" s="49">
        <f>Plantilla!X5</f>
        <v>7.95</v>
      </c>
      <c r="F22" s="49">
        <f>Plantilla!Y5</f>
        <v>7.95</v>
      </c>
      <c r="G22" s="49">
        <f>Plantilla!Z5</f>
        <v>0.95</v>
      </c>
      <c r="H22" s="49">
        <f>Plantilla!AA5</f>
        <v>0.95</v>
      </c>
      <c r="I22" s="49">
        <f>Plantilla!AB5</f>
        <v>1.95</v>
      </c>
      <c r="J22" s="49">
        <f>Plantilla!AC5</f>
        <v>0</v>
      </c>
      <c r="K22" s="49">
        <f>Plantilla!AD5</f>
        <v>14.95</v>
      </c>
      <c r="L22" s="119"/>
      <c r="M22" s="119"/>
      <c r="N22" s="119">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6"/>
      <c r="Z22" s="146"/>
      <c r="AA22" s="146">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c r="N23" s="119">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6"/>
      <c r="Z23" s="146"/>
      <c r="AA23" s="146">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64" bestFit="1" customWidth="1"/>
    <col min="14" max="14" width="8.28515625" style="264"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42584</v>
      </c>
      <c r="Y2" s="272">
        <f>SUM(Y4:Y22)</f>
        <v>0.38669362836502424</v>
      </c>
      <c r="Z2" s="272">
        <f>SUM(Z4:Z22)</f>
        <v>0.36442744206594319</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378</v>
      </c>
      <c r="O3" s="267" t="s">
        <v>1</v>
      </c>
      <c r="P3" s="267" t="s">
        <v>361</v>
      </c>
      <c r="Q3" s="266" t="s">
        <v>379</v>
      </c>
      <c r="R3" s="266" t="s">
        <v>385</v>
      </c>
      <c r="S3" s="266" t="s">
        <v>380</v>
      </c>
      <c r="T3" s="266" t="s">
        <v>362</v>
      </c>
      <c r="U3" s="266" t="s">
        <v>221</v>
      </c>
      <c r="V3" s="266" t="s">
        <v>384</v>
      </c>
      <c r="W3" s="267" t="s">
        <v>277</v>
      </c>
      <c r="X3" s="271" t="s">
        <v>64</v>
      </c>
      <c r="Y3" s="269" t="s">
        <v>382</v>
      </c>
      <c r="Z3" s="269" t="s">
        <v>383</v>
      </c>
      <c r="AA3" s="269" t="s">
        <v>387</v>
      </c>
      <c r="AD3" t="s">
        <v>1</v>
      </c>
      <c r="AE3" t="s">
        <v>353</v>
      </c>
      <c r="AG3" t="s">
        <v>1</v>
      </c>
      <c r="AH3" t="s">
        <v>353</v>
      </c>
    </row>
    <row r="4" spans="1:34" x14ac:dyDescent="0.25">
      <c r="A4" s="86" t="str">
        <f>Plantilla!A10</f>
        <v>#6</v>
      </c>
      <c r="B4" s="52" t="str">
        <f>Plantilla!D10</f>
        <v>S. Buschelman</v>
      </c>
      <c r="C4" s="86">
        <f>Plantilla!E10</f>
        <v>34</v>
      </c>
      <c r="D4" s="86">
        <f ca="1">Plantilla!F10</f>
        <v>50</v>
      </c>
      <c r="E4" s="49">
        <f>Plantilla!X10</f>
        <v>0</v>
      </c>
      <c r="F4" s="49">
        <f>Plantilla!Y10</f>
        <v>9.3036666666666648</v>
      </c>
      <c r="G4" s="49">
        <f>Plantilla!Z10</f>
        <v>14</v>
      </c>
      <c r="H4" s="49">
        <f>Plantilla!AA10</f>
        <v>12.945</v>
      </c>
      <c r="I4" s="49">
        <f>Plantilla!AB10</f>
        <v>9.9499999999999993</v>
      </c>
      <c r="J4" s="49">
        <f>Plantilla!AC10</f>
        <v>3.95</v>
      </c>
      <c r="K4" s="49">
        <f>Plantilla!AD10</f>
        <v>16</v>
      </c>
      <c r="L4" s="268">
        <f>1/16</f>
        <v>6.25E-2</v>
      </c>
      <c r="M4" s="119">
        <f t="shared" ref="M4:M23" si="0">L4*0.5</f>
        <v>3.125E-2</v>
      </c>
      <c r="N4" s="119">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6">
        <f>U4</f>
        <v>5.50625E-2</v>
      </c>
      <c r="Z4" s="146">
        <f>U4</f>
        <v>5.50625E-2</v>
      </c>
      <c r="AA4" s="146">
        <f t="shared" ref="AA4:AA23" si="11">MAX(Z4,Y4)</f>
        <v>5.50625E-2</v>
      </c>
      <c r="AD4" t="s">
        <v>360</v>
      </c>
      <c r="AE4" s="281" t="s">
        <v>390</v>
      </c>
      <c r="AG4" t="s">
        <v>360</v>
      </c>
      <c r="AH4" s="281" t="str">
        <f>AE4</f>
        <v>B. Pinczehelyi</v>
      </c>
    </row>
    <row r="5" spans="1:34" x14ac:dyDescent="0.25">
      <c r="A5" s="86" t="str">
        <f>Plantilla!A25</f>
        <v>#5</v>
      </c>
      <c r="B5" s="52" t="str">
        <f>Plantilla!D25</f>
        <v>L. Bauman</v>
      </c>
      <c r="C5" s="86">
        <f>Plantilla!E25</f>
        <v>35</v>
      </c>
      <c r="D5" s="86">
        <f ca="1">Plantilla!F25</f>
        <v>53</v>
      </c>
      <c r="E5" s="49">
        <f>Plantilla!X25</f>
        <v>0</v>
      </c>
      <c r="F5" s="49">
        <f>Plantilla!Y25</f>
        <v>5.95</v>
      </c>
      <c r="G5" s="49">
        <f>Plantilla!Z25</f>
        <v>14.1</v>
      </c>
      <c r="H5" s="49">
        <f>Plantilla!AA25</f>
        <v>2.95</v>
      </c>
      <c r="I5" s="49">
        <f>Plantilla!AB25</f>
        <v>8.9499999999999993</v>
      </c>
      <c r="J5" s="49">
        <f>Plantilla!AC25</f>
        <v>5.95</v>
      </c>
      <c r="K5" s="49">
        <f>Plantilla!AD25</f>
        <v>16.95</v>
      </c>
      <c r="L5" s="268">
        <f>1/21</f>
        <v>4.7619047619047616E-2</v>
      </c>
      <c r="M5" s="119">
        <f t="shared" si="0"/>
        <v>2.3809523809523808E-2</v>
      </c>
      <c r="N5" s="119">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6">
        <f>T5</f>
        <v>4.7619047619047616E-2</v>
      </c>
      <c r="Z5" s="146">
        <f>W5</f>
        <v>1.9333333333333334E-2</v>
      </c>
      <c r="AA5" s="146">
        <f t="shared" si="11"/>
        <v>4.7619047619047616E-2</v>
      </c>
      <c r="AD5" t="s">
        <v>361</v>
      </c>
      <c r="AE5" t="s">
        <v>97</v>
      </c>
      <c r="AG5" t="s">
        <v>372</v>
      </c>
      <c r="AH5" t="s">
        <v>98</v>
      </c>
    </row>
    <row r="6" spans="1:34" x14ac:dyDescent="0.25">
      <c r="A6" s="86" t="str">
        <f>Plantilla!A26</f>
        <v>#9</v>
      </c>
      <c r="B6" s="52" t="str">
        <f>Plantilla!D26</f>
        <v>J. Limon</v>
      </c>
      <c r="C6" s="86">
        <f>Plantilla!E26</f>
        <v>34</v>
      </c>
      <c r="D6" s="86">
        <f ca="1">Plantilla!F26</f>
        <v>90</v>
      </c>
      <c r="E6" s="49">
        <f>Plantilla!X26</f>
        <v>0</v>
      </c>
      <c r="F6" s="49">
        <f>Plantilla!Y26</f>
        <v>6.8376190476190493</v>
      </c>
      <c r="G6" s="49">
        <f>Plantilla!Z26</f>
        <v>8.9499999999999993</v>
      </c>
      <c r="H6" s="49">
        <f>Plantilla!AA26</f>
        <v>8.7399999999999967</v>
      </c>
      <c r="I6" s="49">
        <f>Plantilla!AB26</f>
        <v>9.9499999999999993</v>
      </c>
      <c r="J6" s="49">
        <f>Plantilla!AC26</f>
        <v>6.95</v>
      </c>
      <c r="K6" s="49">
        <f>Plantilla!AD26</f>
        <v>18.999999999999993</v>
      </c>
      <c r="L6" s="119">
        <f>1/9</f>
        <v>0.1111111111111111</v>
      </c>
      <c r="M6" s="119">
        <f t="shared" si="0"/>
        <v>5.5555555555555552E-2</v>
      </c>
      <c r="N6" s="119">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6">
        <f>W6</f>
        <v>4.5111111111111109E-2</v>
      </c>
      <c r="Z6" s="146"/>
      <c r="AA6" s="146">
        <f t="shared" si="11"/>
        <v>4.5111111111111109E-2</v>
      </c>
      <c r="AD6" t="s">
        <v>360</v>
      </c>
      <c r="AE6" t="s">
        <v>95</v>
      </c>
      <c r="AG6" t="s">
        <v>371</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9">
        <f t="shared" si="0"/>
        <v>2.5000000000000001E-2</v>
      </c>
      <c r="N7" s="119">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6">
        <f>U7</f>
        <v>4.4050000000000006E-2</v>
      </c>
      <c r="Z7" s="146">
        <f>U7</f>
        <v>4.4050000000000006E-2</v>
      </c>
      <c r="AA7" s="146">
        <f t="shared" si="11"/>
        <v>4.4050000000000006E-2</v>
      </c>
      <c r="AD7" t="s">
        <v>221</v>
      </c>
      <c r="AE7" t="s">
        <v>291</v>
      </c>
      <c r="AG7" t="s">
        <v>372</v>
      </c>
      <c r="AH7" t="s">
        <v>99</v>
      </c>
    </row>
    <row r="8" spans="1:34" x14ac:dyDescent="0.25">
      <c r="A8" s="86" t="str">
        <f>Plantilla!A23</f>
        <v>#11</v>
      </c>
      <c r="B8" s="52" t="str">
        <f>Plantilla!D23</f>
        <v>K. Helms</v>
      </c>
      <c r="C8" s="86">
        <f>Plantilla!E23</f>
        <v>35</v>
      </c>
      <c r="D8" s="86">
        <f ca="1">Plantilla!F23</f>
        <v>38</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8">
        <f>1/12</f>
        <v>8.3333333333333329E-2</v>
      </c>
      <c r="M8" s="119">
        <f t="shared" si="0"/>
        <v>4.1666666666666664E-2</v>
      </c>
      <c r="N8" s="119">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6">
        <f>V8</f>
        <v>3.7916666666666668E-2</v>
      </c>
      <c r="Z8" s="146">
        <f>V8</f>
        <v>3.7916666666666668E-2</v>
      </c>
      <c r="AA8" s="146">
        <f t="shared" si="11"/>
        <v>3.7916666666666668E-2</v>
      </c>
      <c r="AD8" t="s">
        <v>362</v>
      </c>
      <c r="AE8" t="s">
        <v>169</v>
      </c>
      <c r="AG8" t="s">
        <v>360</v>
      </c>
      <c r="AH8" t="s">
        <v>373</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8">
        <f>1/26</f>
        <v>3.8461538461538464E-2</v>
      </c>
      <c r="M9" s="119">
        <f t="shared" si="0"/>
        <v>1.9230769230769232E-2</v>
      </c>
      <c r="N9" s="119">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6">
        <f>U9</f>
        <v>3.3884615384615388E-2</v>
      </c>
      <c r="Z9" s="146">
        <f>U9</f>
        <v>3.3884615384615388E-2</v>
      </c>
      <c r="AA9" s="146">
        <f t="shared" si="11"/>
        <v>3.3884615384615388E-2</v>
      </c>
      <c r="AD9" t="s">
        <v>221</v>
      </c>
      <c r="AE9" t="s">
        <v>101</v>
      </c>
      <c r="AG9" t="s">
        <v>221</v>
      </c>
      <c r="AH9" t="s">
        <v>101</v>
      </c>
    </row>
    <row r="10" spans="1:34" x14ac:dyDescent="0.25">
      <c r="A10" s="86" t="str">
        <f>Plantilla!A24</f>
        <v>#10</v>
      </c>
      <c r="B10" s="308" t="str">
        <f>Plantilla!D24</f>
        <v>S. Zobbe</v>
      </c>
      <c r="C10" s="86">
        <f>Plantilla!E24</f>
        <v>32</v>
      </c>
      <c r="D10" s="86">
        <f ca="1">Plantilla!F24</f>
        <v>53</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8">
        <f>1/14</f>
        <v>7.1428571428571425E-2</v>
      </c>
      <c r="M10" s="119">
        <f t="shared" si="0"/>
        <v>3.5714285714285712E-2</v>
      </c>
      <c r="N10" s="119">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6">
        <f>V10</f>
        <v>3.2500000000000001E-2</v>
      </c>
      <c r="Z10" s="146">
        <f>V10</f>
        <v>3.2500000000000001E-2</v>
      </c>
      <c r="AA10" s="146">
        <f t="shared" si="11"/>
        <v>3.2500000000000001E-2</v>
      </c>
      <c r="AD10" t="s">
        <v>363</v>
      </c>
      <c r="AE10" t="s">
        <v>373</v>
      </c>
      <c r="AG10" t="s">
        <v>221</v>
      </c>
      <c r="AH10" t="s">
        <v>291</v>
      </c>
    </row>
    <row r="11" spans="1:34" x14ac:dyDescent="0.25">
      <c r="A11" s="86" t="str">
        <f>Plantilla!A9</f>
        <v>#7</v>
      </c>
      <c r="B11" s="308" t="str">
        <f>Plantilla!D9</f>
        <v>E. Romweber</v>
      </c>
      <c r="C11" s="86">
        <f>Plantilla!E9</f>
        <v>35</v>
      </c>
      <c r="D11" s="86">
        <f ca="1">Plantilla!F9</f>
        <v>91</v>
      </c>
      <c r="E11" s="49">
        <f>Plantilla!X9</f>
        <v>0</v>
      </c>
      <c r="F11" s="49">
        <f>Plantilla!Y9</f>
        <v>11.95</v>
      </c>
      <c r="G11" s="49">
        <f>Plantilla!Z9</f>
        <v>12.614111111111114</v>
      </c>
      <c r="H11" s="49">
        <f>Plantilla!AA9</f>
        <v>12.95</v>
      </c>
      <c r="I11" s="49">
        <f>Plantilla!AB9</f>
        <v>10.95</v>
      </c>
      <c r="J11" s="49">
        <f>Plantilla!AC9</f>
        <v>5.95</v>
      </c>
      <c r="K11" s="49">
        <f>Plantilla!AD9</f>
        <v>17.529999999999998</v>
      </c>
      <c r="L11" s="268">
        <f>1/16</f>
        <v>6.25E-2</v>
      </c>
      <c r="M11" s="119">
        <f t="shared" si="0"/>
        <v>3.125E-2</v>
      </c>
      <c r="N11" s="119">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6">
        <f>V11</f>
        <v>2.8437500000000001E-2</v>
      </c>
      <c r="Z11" s="146">
        <f>V11</f>
        <v>2.8437500000000001E-2</v>
      </c>
      <c r="AA11" s="146">
        <f t="shared" si="11"/>
        <v>2.8437500000000001E-2</v>
      </c>
      <c r="AD11" t="s">
        <v>363</v>
      </c>
      <c r="AE11" t="s">
        <v>107</v>
      </c>
      <c r="AG11" t="s">
        <v>363</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8">
        <f>1/7</f>
        <v>0.14285714285714285</v>
      </c>
      <c r="M12" s="119">
        <f t="shared" si="0"/>
        <v>7.1428571428571425E-2</v>
      </c>
      <c r="N12" s="119">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6"/>
      <c r="Z12" s="146">
        <f>R12</f>
        <v>2.357142857142857E-2</v>
      </c>
      <c r="AA12" s="146">
        <f t="shared" si="11"/>
        <v>2.357142857142857E-2</v>
      </c>
      <c r="AD12" t="s">
        <v>64</v>
      </c>
      <c r="AE12" t="s">
        <v>102</v>
      </c>
      <c r="AG12" t="s">
        <v>363</v>
      </c>
      <c r="AH12" t="s">
        <v>225</v>
      </c>
    </row>
    <row r="13" spans="1:34" x14ac:dyDescent="0.25">
      <c r="A13" s="86" t="str">
        <f>Plantilla!A7</f>
        <v>#24</v>
      </c>
      <c r="B13" s="62" t="str">
        <f>Plantilla!D7</f>
        <v>B. Bartolache</v>
      </c>
      <c r="C13" s="86">
        <f>Plantilla!E7</f>
        <v>36</v>
      </c>
      <c r="D13" s="86">
        <f ca="1">Plantilla!F7</f>
        <v>2</v>
      </c>
      <c r="E13" s="49">
        <f>Plantilla!X7</f>
        <v>0</v>
      </c>
      <c r="F13" s="49">
        <f>Plantilla!Y7</f>
        <v>11.95</v>
      </c>
      <c r="G13" s="49">
        <f>Plantilla!Z7</f>
        <v>5.95</v>
      </c>
      <c r="H13" s="49">
        <f>Plantilla!AA7</f>
        <v>6.95</v>
      </c>
      <c r="I13" s="49">
        <f>Plantilla!AB7</f>
        <v>7.95</v>
      </c>
      <c r="J13" s="49">
        <f>Plantilla!AC7</f>
        <v>2.95</v>
      </c>
      <c r="K13" s="49">
        <f>Plantilla!AD7</f>
        <v>16</v>
      </c>
      <c r="L13" s="268">
        <f>1/8</f>
        <v>0.125</v>
      </c>
      <c r="M13" s="119">
        <f t="shared" si="0"/>
        <v>6.25E-2</v>
      </c>
      <c r="N13" s="119">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6"/>
      <c r="Z13" s="146">
        <f>S13</f>
        <v>2.0875000000000001E-2</v>
      </c>
      <c r="AA13" s="146">
        <f t="shared" si="11"/>
        <v>2.0875000000000001E-2</v>
      </c>
      <c r="AD13" t="s">
        <v>64</v>
      </c>
      <c r="AE13" t="s">
        <v>225</v>
      </c>
      <c r="AG13" t="s">
        <v>64</v>
      </c>
      <c r="AH13" t="s">
        <v>102</v>
      </c>
    </row>
    <row r="14" spans="1:34" x14ac:dyDescent="0.25">
      <c r="A14" s="86" t="str">
        <f>Plantilla!A6</f>
        <v>#2</v>
      </c>
      <c r="B14" s="308" t="str">
        <f>Plantilla!D6</f>
        <v>E. Toney</v>
      </c>
      <c r="C14" s="86">
        <f>Plantilla!E6</f>
        <v>36</v>
      </c>
      <c r="D14" s="86">
        <f ca="1">Plantilla!F6</f>
        <v>17</v>
      </c>
      <c r="E14" s="49">
        <f>Plantilla!X6</f>
        <v>0</v>
      </c>
      <c r="F14" s="49">
        <f>Plantilla!Y6</f>
        <v>11.95</v>
      </c>
      <c r="G14" s="49">
        <f>Plantilla!Z6</f>
        <v>12.95</v>
      </c>
      <c r="H14" s="49">
        <f>Plantilla!AA6</f>
        <v>8.9499999999999993</v>
      </c>
      <c r="I14" s="49">
        <f>Plantilla!AB6</f>
        <v>8.9499999999999993</v>
      </c>
      <c r="J14" s="49">
        <f>Plantilla!AC6</f>
        <v>1.95</v>
      </c>
      <c r="K14" s="49">
        <f>Plantilla!AD6</f>
        <v>17.177777777777774</v>
      </c>
      <c r="L14" s="268">
        <f>1/19</f>
        <v>5.2631578947368418E-2</v>
      </c>
      <c r="M14" s="119">
        <f t="shared" si="0"/>
        <v>2.6315789473684209E-2</v>
      </c>
      <c r="N14" s="119">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6">
        <f>P14</f>
        <v>1.2421052631578946E-2</v>
      </c>
      <c r="Z14" s="146">
        <f>Q14</f>
        <v>1.9105263157894736E-2</v>
      </c>
      <c r="AA14" s="146">
        <f t="shared" si="11"/>
        <v>1.9105263157894736E-2</v>
      </c>
    </row>
    <row r="15" spans="1:34" x14ac:dyDescent="0.25">
      <c r="A15" s="86" t="e">
        <f>Plantilla!#REF!</f>
        <v>#REF!</v>
      </c>
      <c r="B15" s="30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8">
        <f>1/23</f>
        <v>4.3478260869565216E-2</v>
      </c>
      <c r="M15" s="119">
        <f t="shared" si="0"/>
        <v>2.1739130434782608E-2</v>
      </c>
      <c r="N15" s="119">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6">
        <f>W15</f>
        <v>1.7652173913043478E-2</v>
      </c>
      <c r="Z15" s="146">
        <f>W15</f>
        <v>1.7652173913043478E-2</v>
      </c>
      <c r="AA15" s="146">
        <f t="shared" si="11"/>
        <v>1.7652173913043478E-2</v>
      </c>
    </row>
    <row r="16" spans="1:34" x14ac:dyDescent="0.25">
      <c r="A16" s="86" t="str">
        <f>Plantilla!A11</f>
        <v>#12</v>
      </c>
      <c r="B16" s="62" t="str">
        <f>Plantilla!D11</f>
        <v>E. Gross</v>
      </c>
      <c r="C16" s="86">
        <f>Plantilla!E11</f>
        <v>35</v>
      </c>
      <c r="D16" s="86">
        <f ca="1">Plantilla!F11</f>
        <v>78</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8">
        <f>1/14</f>
        <v>7.1428571428571425E-2</v>
      </c>
      <c r="M16" s="119">
        <f t="shared" si="0"/>
        <v>3.5714285714285712E-2</v>
      </c>
      <c r="N16" s="119">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6">
        <f>P16</f>
        <v>1.6857142857142855E-2</v>
      </c>
      <c r="Z16" s="146">
        <f>P16</f>
        <v>1.6857142857142855E-2</v>
      </c>
      <c r="AA16" s="146">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8">
        <f>1/11</f>
        <v>9.0909090909090912E-2</v>
      </c>
      <c r="M17" s="119">
        <f t="shared" si="0"/>
        <v>4.5454545454545456E-2</v>
      </c>
      <c r="N17" s="119">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6">
        <f>S17</f>
        <v>1.5181818181818183E-2</v>
      </c>
      <c r="Z17" s="146">
        <f>S17</f>
        <v>1.5181818181818183E-2</v>
      </c>
      <c r="AA17" s="146">
        <f t="shared" si="11"/>
        <v>1.5181818181818183E-2</v>
      </c>
    </row>
    <row r="18" spans="1:27" x14ac:dyDescent="0.25">
      <c r="A18" s="86" t="str">
        <f>Plantilla!A27</f>
        <v>#15</v>
      </c>
      <c r="B18" s="86" t="str">
        <f>Plantilla!D27</f>
        <v>P .Trivadi</v>
      </c>
      <c r="C18" s="86">
        <f>Plantilla!E27</f>
        <v>32</v>
      </c>
      <c r="D18" s="86">
        <f ca="1">Plantilla!F27</f>
        <v>9</v>
      </c>
      <c r="E18" s="49">
        <f>Plantilla!X27</f>
        <v>0</v>
      </c>
      <c r="F18" s="49">
        <f>Plantilla!Y27</f>
        <v>4.0199999999999996</v>
      </c>
      <c r="G18" s="49">
        <f>Plantilla!Z27</f>
        <v>5.95</v>
      </c>
      <c r="H18" s="49">
        <f>Plantilla!AA27</f>
        <v>5.5099999999999989</v>
      </c>
      <c r="I18" s="49">
        <f>Plantilla!AB27</f>
        <v>10.95</v>
      </c>
      <c r="J18" s="49">
        <f>Plantilla!AC27</f>
        <v>7.95</v>
      </c>
      <c r="K18" s="49">
        <f>Plantilla!AD27</f>
        <v>14</v>
      </c>
      <c r="L18" s="268">
        <f>1/6</f>
        <v>0.16666666666666666</v>
      </c>
      <c r="M18" s="119">
        <f t="shared" si="0"/>
        <v>8.3333333333333329E-2</v>
      </c>
      <c r="N18" s="119">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6">
        <v>0</v>
      </c>
      <c r="Z18" s="146">
        <v>0</v>
      </c>
      <c r="AA18" s="146">
        <f t="shared" si="11"/>
        <v>0</v>
      </c>
    </row>
    <row r="19" spans="1:27" x14ac:dyDescent="0.25">
      <c r="A19" s="86" t="str">
        <f>Plantilla!A4</f>
        <v>#1</v>
      </c>
      <c r="B19" s="86" t="str">
        <f>Plantilla!D4</f>
        <v>D. Gehmacher</v>
      </c>
      <c r="C19" s="86">
        <f>Plantilla!E4</f>
        <v>35</v>
      </c>
      <c r="D19" s="86">
        <f ca="1">Plantilla!F4</f>
        <v>6</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8">
        <v>0</v>
      </c>
      <c r="M19" s="119">
        <f t="shared" si="0"/>
        <v>0</v>
      </c>
      <c r="N19" s="119">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6">
        <f>O19</f>
        <v>0</v>
      </c>
      <c r="Z19" s="146">
        <f>O19</f>
        <v>0</v>
      </c>
      <c r="AA19" s="146">
        <f t="shared" si="11"/>
        <v>0</v>
      </c>
    </row>
    <row r="20" spans="1:27" x14ac:dyDescent="0.25">
      <c r="A20" s="86" t="str">
        <f>Plantilla!A5</f>
        <v>#25</v>
      </c>
      <c r="B20" s="86" t="str">
        <f>Plantilla!D5</f>
        <v>T. Hammond</v>
      </c>
      <c r="C20" s="86">
        <f>Plantilla!E5</f>
        <v>39</v>
      </c>
      <c r="D20" s="86">
        <f ca="1">Plantilla!F5</f>
        <v>15</v>
      </c>
      <c r="E20" s="49">
        <f>Plantilla!X5</f>
        <v>7.95</v>
      </c>
      <c r="F20" s="49">
        <f>Plantilla!Y5</f>
        <v>7.95</v>
      </c>
      <c r="G20" s="49">
        <f>Plantilla!Z5</f>
        <v>0.95</v>
      </c>
      <c r="H20" s="49">
        <f>Plantilla!AA5</f>
        <v>0.95</v>
      </c>
      <c r="I20" s="49">
        <f>Plantilla!AB5</f>
        <v>1.95</v>
      </c>
      <c r="J20" s="49">
        <f>Plantilla!AC5</f>
        <v>0</v>
      </c>
      <c r="K20" s="49">
        <f>Plantilla!AD5</f>
        <v>14.95</v>
      </c>
      <c r="L20" s="268"/>
      <c r="M20" s="119">
        <f t="shared" si="0"/>
        <v>0</v>
      </c>
      <c r="N20" s="119">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6"/>
      <c r="Z20" s="146"/>
      <c r="AA20" s="146">
        <f t="shared" si="11"/>
        <v>0</v>
      </c>
    </row>
    <row r="21" spans="1:27" x14ac:dyDescent="0.25">
      <c r="A21" s="86" t="str">
        <f>Plantilla!A8</f>
        <v>#13</v>
      </c>
      <c r="B21" s="86" t="str">
        <f>Plantilla!D8</f>
        <v>F. Lasprilla</v>
      </c>
      <c r="C21" s="86">
        <f>Plantilla!E8</f>
        <v>32</v>
      </c>
      <c r="D21" s="86">
        <f ca="1">Plantilla!F8</f>
        <v>25</v>
      </c>
      <c r="E21" s="49">
        <f>Plantilla!X8</f>
        <v>0</v>
      </c>
      <c r="F21" s="49">
        <f>Plantilla!Y8</f>
        <v>9.6046666666666667</v>
      </c>
      <c r="G21" s="49">
        <f>Plantilla!Z8</f>
        <v>7.7607222222222223</v>
      </c>
      <c r="H21" s="49">
        <f>Plantilla!AA8</f>
        <v>6.1599999999999984</v>
      </c>
      <c r="I21" s="49">
        <f>Plantilla!AB8</f>
        <v>8.8633333333333315</v>
      </c>
      <c r="J21" s="49">
        <f>Plantilla!AC8</f>
        <v>2.95</v>
      </c>
      <c r="K21" s="49">
        <f>Plantilla!AD8</f>
        <v>13.33611111111111</v>
      </c>
      <c r="L21" s="268"/>
      <c r="M21" s="119">
        <f t="shared" si="0"/>
        <v>0</v>
      </c>
      <c r="N21" s="119">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6"/>
      <c r="Z21" s="146"/>
      <c r="AA21" s="146">
        <f t="shared" si="11"/>
        <v>0</v>
      </c>
    </row>
    <row r="22" spans="1:27" x14ac:dyDescent="0.25">
      <c r="A22" s="86" t="str">
        <f>Plantilla!A12</f>
        <v>#23</v>
      </c>
      <c r="B22" s="86" t="str">
        <f>Plantilla!D12</f>
        <v>W. Gelifini</v>
      </c>
      <c r="C22" s="86">
        <f>Plantilla!E12</f>
        <v>34</v>
      </c>
      <c r="D22" s="86">
        <f ca="1">Plantilla!F12</f>
        <v>3</v>
      </c>
      <c r="E22" s="49">
        <f>Plantilla!X12</f>
        <v>0</v>
      </c>
      <c r="F22" s="49">
        <f>Plantilla!Y12</f>
        <v>5.6515555555555519</v>
      </c>
      <c r="G22" s="49">
        <f>Plantilla!Z12</f>
        <v>8.9499999999999993</v>
      </c>
      <c r="H22" s="49">
        <f>Plantilla!AA12</f>
        <v>6.95</v>
      </c>
      <c r="I22" s="49">
        <f>Plantilla!AB12</f>
        <v>9.2666666666666639</v>
      </c>
      <c r="J22" s="49">
        <f>Plantilla!AC12</f>
        <v>2.95</v>
      </c>
      <c r="K22" s="49">
        <f>Plantilla!AD12</f>
        <v>12.847222222222223</v>
      </c>
      <c r="L22" s="268"/>
      <c r="M22" s="119">
        <f t="shared" si="0"/>
        <v>0</v>
      </c>
      <c r="N22" s="119">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6"/>
      <c r="Z22" s="146"/>
      <c r="AA22" s="146">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9">
        <f t="shared" si="0"/>
        <v>0</v>
      </c>
      <c r="N23" s="119">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6"/>
      <c r="Z23" s="146"/>
      <c r="AA23" s="146">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70" bestFit="1" customWidth="1"/>
    <col min="13" max="13" width="6.5703125" style="270" customWidth="1"/>
    <col min="14" max="14" width="8.28515625" style="270"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42585</v>
      </c>
      <c r="Y2" s="272">
        <f>SUM(Y4:Y22)</f>
        <v>0.24062111707736711</v>
      </c>
      <c r="Z2" s="272">
        <f>SUM(Z4:Z22)</f>
        <v>0.19504062465312466</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7" t="s">
        <v>1</v>
      </c>
      <c r="P3" s="267" t="s">
        <v>361</v>
      </c>
      <c r="Q3" s="266" t="s">
        <v>379</v>
      </c>
      <c r="R3" s="266" t="s">
        <v>385</v>
      </c>
      <c r="S3" s="266" t="s">
        <v>380</v>
      </c>
      <c r="T3" s="266" t="s">
        <v>362</v>
      </c>
      <c r="U3" s="266" t="s">
        <v>221</v>
      </c>
      <c r="V3" s="266" t="s">
        <v>384</v>
      </c>
      <c r="W3" s="267" t="s">
        <v>277</v>
      </c>
      <c r="X3" s="267" t="s">
        <v>64</v>
      </c>
      <c r="Y3" s="269" t="s">
        <v>382</v>
      </c>
      <c r="Z3" s="269" t="s">
        <v>383</v>
      </c>
      <c r="AA3" s="269" t="s">
        <v>387</v>
      </c>
      <c r="AD3" t="s">
        <v>1</v>
      </c>
      <c r="AE3" t="s">
        <v>353</v>
      </c>
      <c r="AG3" t="s">
        <v>1</v>
      </c>
      <c r="AH3" t="s">
        <v>353</v>
      </c>
    </row>
    <row r="4" spans="1:34" x14ac:dyDescent="0.25">
      <c r="A4" s="86" t="str">
        <f>Plantilla!A26</f>
        <v>#9</v>
      </c>
      <c r="B4" s="307" t="str">
        <f>Plantilla!D26</f>
        <v>J. Limon</v>
      </c>
      <c r="C4" s="86">
        <f>Plantilla!E26</f>
        <v>34</v>
      </c>
      <c r="D4" s="86">
        <f ca="1">Plantilla!F26</f>
        <v>90</v>
      </c>
      <c r="E4" s="49">
        <f>Plantilla!X26</f>
        <v>0</v>
      </c>
      <c r="F4" s="49">
        <f>Plantilla!Y26</f>
        <v>6.8376190476190493</v>
      </c>
      <c r="G4" s="49">
        <f>Plantilla!Z26</f>
        <v>8.9499999999999993</v>
      </c>
      <c r="H4" s="49">
        <f>Plantilla!AA26</f>
        <v>8.7399999999999967</v>
      </c>
      <c r="I4" s="49">
        <f>Plantilla!AB26</f>
        <v>9.9499999999999993</v>
      </c>
      <c r="J4" s="49">
        <f>Plantilla!AC26</f>
        <v>6.95</v>
      </c>
      <c r="K4" s="49">
        <f>Plantilla!AD26</f>
        <v>18.999999999999993</v>
      </c>
      <c r="L4" s="119">
        <f>1/8</f>
        <v>0.125</v>
      </c>
      <c r="M4" s="119"/>
      <c r="N4" s="119">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6">
        <f>W4</f>
        <v>4.7065340909090911E-2</v>
      </c>
      <c r="Z4" s="146"/>
      <c r="AA4" s="146">
        <f t="shared" ref="AA4:AA23" si="6">MAX(Z4,Y4)</f>
        <v>4.7065340909090911E-2</v>
      </c>
      <c r="AD4" t="s">
        <v>360</v>
      </c>
      <c r="AE4" s="281" t="s">
        <v>390</v>
      </c>
      <c r="AG4" t="s">
        <v>360</v>
      </c>
      <c r="AH4" s="281" t="str">
        <f>AE4</f>
        <v>B. Pinczehelyi</v>
      </c>
    </row>
    <row r="5" spans="1:34" x14ac:dyDescent="0.25">
      <c r="A5" s="86" t="str">
        <f>Plantilla!A25</f>
        <v>#5</v>
      </c>
      <c r="B5" s="307" t="str">
        <f>Plantilla!D25</f>
        <v>L. Bauman</v>
      </c>
      <c r="C5" s="86">
        <f>Plantilla!E25</f>
        <v>35</v>
      </c>
      <c r="D5" s="86">
        <f ca="1">Plantilla!F25</f>
        <v>53</v>
      </c>
      <c r="E5" s="49">
        <f>Plantilla!X25</f>
        <v>0</v>
      </c>
      <c r="F5" s="49">
        <f>Plantilla!Y25</f>
        <v>5.95</v>
      </c>
      <c r="G5" s="49">
        <f>Plantilla!Z25</f>
        <v>14.1</v>
      </c>
      <c r="H5" s="49">
        <f>Plantilla!AA25</f>
        <v>2.95</v>
      </c>
      <c r="I5" s="49">
        <f>Plantilla!AB25</f>
        <v>8.9499999999999993</v>
      </c>
      <c r="J5" s="49">
        <f>Plantilla!AC25</f>
        <v>5.95</v>
      </c>
      <c r="K5" s="49">
        <f>Plantilla!AD25</f>
        <v>16.95</v>
      </c>
      <c r="L5" s="119">
        <f>1/9</f>
        <v>0.1111111111111111</v>
      </c>
      <c r="M5" s="119"/>
      <c r="N5" s="119">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6">
        <f>T5</f>
        <v>4.0351010101010096E-2</v>
      </c>
      <c r="Z5" s="146">
        <f>W5</f>
        <v>4.183585858585858E-2</v>
      </c>
      <c r="AA5" s="146">
        <f t="shared" si="6"/>
        <v>4.183585858585858E-2</v>
      </c>
      <c r="AD5" t="s">
        <v>361</v>
      </c>
      <c r="AE5" t="s">
        <v>97</v>
      </c>
      <c r="AG5" t="s">
        <v>372</v>
      </c>
      <c r="AH5" t="s">
        <v>98</v>
      </c>
    </row>
    <row r="6" spans="1:34" x14ac:dyDescent="0.25">
      <c r="A6" s="86" t="str">
        <f>Plantilla!A10</f>
        <v>#6</v>
      </c>
      <c r="B6" s="307" t="str">
        <f>Plantilla!D10</f>
        <v>S. Buschelman</v>
      </c>
      <c r="C6" s="86">
        <f>Plantilla!E10</f>
        <v>34</v>
      </c>
      <c r="D6" s="86">
        <f ca="1">Plantilla!F10</f>
        <v>50</v>
      </c>
      <c r="E6" s="49">
        <f>Plantilla!X10</f>
        <v>0</v>
      </c>
      <c r="F6" s="49">
        <f>Plantilla!Y10</f>
        <v>9.3036666666666648</v>
      </c>
      <c r="G6" s="49">
        <f>Plantilla!Z10</f>
        <v>14</v>
      </c>
      <c r="H6" s="49">
        <f>Plantilla!AA10</f>
        <v>12.945</v>
      </c>
      <c r="I6" s="49">
        <f>Plantilla!AB10</f>
        <v>9.9499999999999993</v>
      </c>
      <c r="J6" s="49">
        <f>Plantilla!AC10</f>
        <v>3.95</v>
      </c>
      <c r="K6" s="49">
        <f>Plantilla!AD10</f>
        <v>16</v>
      </c>
      <c r="L6" s="119">
        <f>1/8</f>
        <v>0.125</v>
      </c>
      <c r="M6" s="119"/>
      <c r="N6" s="119">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6">
        <f>U6</f>
        <v>3.5380681818181818E-2</v>
      </c>
      <c r="Z6" s="146">
        <f>U6</f>
        <v>3.5380681818181818E-2</v>
      </c>
      <c r="AA6" s="146">
        <f t="shared" si="6"/>
        <v>3.5380681818181818E-2</v>
      </c>
      <c r="AD6" t="s">
        <v>360</v>
      </c>
      <c r="AE6" t="s">
        <v>95</v>
      </c>
      <c r="AG6" t="s">
        <v>371</v>
      </c>
      <c r="AH6" t="s">
        <v>95</v>
      </c>
    </row>
    <row r="7" spans="1:34" x14ac:dyDescent="0.25">
      <c r="A7" s="86" t="e">
        <f>Plantilla!#REF!</f>
        <v>#REF!</v>
      </c>
      <c r="B7" s="307"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9">
        <f>1/14</f>
        <v>7.1428571428571425E-2</v>
      </c>
      <c r="M7" s="119"/>
      <c r="N7" s="119">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6">
        <f>W7</f>
        <v>2.6894480519480523E-2</v>
      </c>
      <c r="Z7" s="146">
        <f>W7</f>
        <v>2.6894480519480523E-2</v>
      </c>
      <c r="AA7" s="146">
        <f t="shared" si="6"/>
        <v>2.6894480519480523E-2</v>
      </c>
      <c r="AD7" t="s">
        <v>221</v>
      </c>
      <c r="AE7" t="s">
        <v>291</v>
      </c>
      <c r="AG7" t="s">
        <v>372</v>
      </c>
      <c r="AH7" t="s">
        <v>99</v>
      </c>
    </row>
    <row r="8" spans="1:34" x14ac:dyDescent="0.25">
      <c r="A8" s="86" t="e">
        <f>Plantilla!#REF!</f>
        <v>#REF!</v>
      </c>
      <c r="B8" s="307"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9">
        <f>1/12</f>
        <v>8.3333333333333329E-2</v>
      </c>
      <c r="M8" s="119"/>
      <c r="N8" s="119">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6">
        <f>U8</f>
        <v>2.3587121212121212E-2</v>
      </c>
      <c r="Z8" s="146">
        <f>U8</f>
        <v>2.3587121212121212E-2</v>
      </c>
      <c r="AA8" s="146">
        <f t="shared" si="6"/>
        <v>2.3587121212121212E-2</v>
      </c>
      <c r="AD8" t="s">
        <v>362</v>
      </c>
      <c r="AE8" t="s">
        <v>169</v>
      </c>
      <c r="AG8" t="s">
        <v>360</v>
      </c>
      <c r="AH8" t="s">
        <v>373</v>
      </c>
    </row>
    <row r="9" spans="1:34" x14ac:dyDescent="0.25">
      <c r="A9" s="86" t="str">
        <f>Plantilla!A23</f>
        <v>#11</v>
      </c>
      <c r="B9" s="307" t="str">
        <f>Plantilla!D23</f>
        <v>K. Helms</v>
      </c>
      <c r="C9" s="86">
        <f>Plantilla!E23</f>
        <v>35</v>
      </c>
      <c r="D9" s="86">
        <f ca="1">Plantilla!F23</f>
        <v>38</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9">
        <f>1/10</f>
        <v>0.1</v>
      </c>
      <c r="M9" s="119"/>
      <c r="N9" s="119">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6">
        <f>V9</f>
        <v>1.9088636363636363E-2</v>
      </c>
      <c r="Z9" s="146">
        <f>V9</f>
        <v>1.9088636363636363E-2</v>
      </c>
      <c r="AA9" s="146">
        <f t="shared" si="6"/>
        <v>1.9088636363636363E-2</v>
      </c>
      <c r="AD9" t="s">
        <v>221</v>
      </c>
      <c r="AE9" t="s">
        <v>101</v>
      </c>
      <c r="AG9" t="s">
        <v>221</v>
      </c>
      <c r="AH9" t="s">
        <v>101</v>
      </c>
    </row>
    <row r="10" spans="1:34" x14ac:dyDescent="0.25">
      <c r="A10" s="86" t="str">
        <f>Plantilla!A24</f>
        <v>#10</v>
      </c>
      <c r="B10" s="307" t="str">
        <f>Plantilla!D24</f>
        <v>S. Zobbe</v>
      </c>
      <c r="C10" s="86">
        <f>Plantilla!E24</f>
        <v>32</v>
      </c>
      <c r="D10" s="86">
        <f ca="1">Plantilla!F24</f>
        <v>53</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9">
        <f>1/10</f>
        <v>0.1</v>
      </c>
      <c r="M10" s="119"/>
      <c r="N10" s="119">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6">
        <f>V10</f>
        <v>1.9088636363636363E-2</v>
      </c>
      <c r="Z10" s="146">
        <f>V10</f>
        <v>1.9088636363636363E-2</v>
      </c>
      <c r="AA10" s="146">
        <f t="shared" si="6"/>
        <v>1.9088636363636363E-2</v>
      </c>
      <c r="AD10" t="s">
        <v>363</v>
      </c>
      <c r="AE10" t="s">
        <v>373</v>
      </c>
      <c r="AG10" t="s">
        <v>221</v>
      </c>
      <c r="AH10" t="s">
        <v>291</v>
      </c>
    </row>
    <row r="11" spans="1:34" x14ac:dyDescent="0.25">
      <c r="A11" s="86" t="str">
        <f>Plantilla!A9</f>
        <v>#7</v>
      </c>
      <c r="B11" s="307" t="str">
        <f>Plantilla!D9</f>
        <v>E. Romweber</v>
      </c>
      <c r="C11" s="86">
        <f>Plantilla!E9</f>
        <v>35</v>
      </c>
      <c r="D11" s="86">
        <f ca="1">Plantilla!F9</f>
        <v>91</v>
      </c>
      <c r="E11" s="49">
        <f>Plantilla!X9</f>
        <v>0</v>
      </c>
      <c r="F11" s="49">
        <f>Plantilla!Y9</f>
        <v>11.95</v>
      </c>
      <c r="G11" s="49">
        <f>Plantilla!Z9</f>
        <v>12.614111111111114</v>
      </c>
      <c r="H11" s="49">
        <f>Plantilla!AA9</f>
        <v>12.95</v>
      </c>
      <c r="I11" s="49">
        <f>Plantilla!AB9</f>
        <v>10.95</v>
      </c>
      <c r="J11" s="49">
        <f>Plantilla!AC9</f>
        <v>5.95</v>
      </c>
      <c r="K11" s="49">
        <f>Plantilla!AD9</f>
        <v>17.529999999999998</v>
      </c>
      <c r="L11" s="119">
        <f>1/13</f>
        <v>7.6923076923076927E-2</v>
      </c>
      <c r="M11" s="119"/>
      <c r="N11" s="119">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6">
        <f>V11</f>
        <v>1.4683566433566433E-2</v>
      </c>
      <c r="Z11" s="146">
        <f>V11</f>
        <v>1.4683566433566433E-2</v>
      </c>
      <c r="AA11" s="146">
        <f t="shared" si="6"/>
        <v>1.4683566433566433E-2</v>
      </c>
      <c r="AD11" t="s">
        <v>363</v>
      </c>
      <c r="AE11" t="s">
        <v>107</v>
      </c>
      <c r="AG11" t="s">
        <v>363</v>
      </c>
      <c r="AH11" t="s">
        <v>107</v>
      </c>
    </row>
    <row r="12" spans="1:34" x14ac:dyDescent="0.25">
      <c r="A12" s="86" t="e">
        <f>Plantilla!#REF!</f>
        <v>#REF!</v>
      </c>
      <c r="B12" s="307"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9">
        <f>1/26</f>
        <v>3.8461538461538464E-2</v>
      </c>
      <c r="M12" s="119"/>
      <c r="N12" s="119">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6">
        <f>W12</f>
        <v>1.448164335664336E-2</v>
      </c>
      <c r="Z12" s="146">
        <f>W12</f>
        <v>1.448164335664336E-2</v>
      </c>
      <c r="AA12" s="146">
        <f t="shared" si="6"/>
        <v>1.448164335664336E-2</v>
      </c>
      <c r="AD12" t="s">
        <v>64</v>
      </c>
      <c r="AE12" t="s">
        <v>102</v>
      </c>
      <c r="AG12" t="s">
        <v>363</v>
      </c>
      <c r="AH12" t="s">
        <v>225</v>
      </c>
    </row>
    <row r="13" spans="1:34" x14ac:dyDescent="0.25">
      <c r="A13" s="86" t="str">
        <f>Plantilla!A27</f>
        <v>#15</v>
      </c>
      <c r="B13" s="307" t="str">
        <f>Plantilla!D27</f>
        <v>P .Trivadi</v>
      </c>
      <c r="C13" s="86">
        <f>Plantilla!E27</f>
        <v>32</v>
      </c>
      <c r="D13" s="86">
        <f ca="1">Plantilla!F27</f>
        <v>9</v>
      </c>
      <c r="E13" s="49">
        <f>Plantilla!X27</f>
        <v>0</v>
      </c>
      <c r="F13" s="49">
        <f>Plantilla!Y27</f>
        <v>4.0199999999999996</v>
      </c>
      <c r="G13" s="49">
        <f>Plantilla!Z27</f>
        <v>5.95</v>
      </c>
      <c r="H13" s="49">
        <f>Plantilla!AA27</f>
        <v>5.5099999999999989</v>
      </c>
      <c r="I13" s="49">
        <f>Plantilla!AB27</f>
        <v>10.95</v>
      </c>
      <c r="J13" s="49">
        <f>Plantilla!AC27</f>
        <v>7.95</v>
      </c>
      <c r="K13" s="49">
        <f>Plantilla!AD27</f>
        <v>14</v>
      </c>
      <c r="L13" s="119">
        <f>1/9</f>
        <v>0.1111111111111111</v>
      </c>
      <c r="M13" s="119"/>
      <c r="N13" s="119">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6">
        <v>0</v>
      </c>
      <c r="Z13" s="146">
        <v>0</v>
      </c>
      <c r="AA13" s="146">
        <f t="shared" si="6"/>
        <v>0</v>
      </c>
      <c r="AD13" t="s">
        <v>64</v>
      </c>
      <c r="AE13" t="s">
        <v>225</v>
      </c>
      <c r="AG13" t="s">
        <v>64</v>
      </c>
      <c r="AH13" t="s">
        <v>102</v>
      </c>
    </row>
    <row r="14" spans="1:34" x14ac:dyDescent="0.25">
      <c r="A14" s="86" t="str">
        <f>Plantilla!A4</f>
        <v>#1</v>
      </c>
      <c r="B14" s="86" t="str">
        <f>Plantilla!D4</f>
        <v>D. Gehmacher</v>
      </c>
      <c r="C14" s="86">
        <f>Plantilla!E4</f>
        <v>35</v>
      </c>
      <c r="D14" s="86">
        <f ca="1">Plantilla!F4</f>
        <v>6</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9">
        <v>0</v>
      </c>
      <c r="M14" s="119"/>
      <c r="N14" s="119">
        <f t="shared" si="0"/>
        <v>0</v>
      </c>
      <c r="O14" s="49">
        <v>0</v>
      </c>
      <c r="P14" s="48">
        <v>0</v>
      </c>
      <c r="Q14" s="48">
        <v>0</v>
      </c>
      <c r="R14" s="48">
        <v>0</v>
      </c>
      <c r="S14" s="48">
        <v>0</v>
      </c>
      <c r="T14" s="48">
        <f t="shared" si="1"/>
        <v>0</v>
      </c>
      <c r="U14" s="48">
        <f t="shared" si="2"/>
        <v>0</v>
      </c>
      <c r="V14" s="48">
        <f t="shared" si="3"/>
        <v>0</v>
      </c>
      <c r="W14" s="48">
        <f t="shared" si="4"/>
        <v>0</v>
      </c>
      <c r="X14" s="48">
        <f t="shared" si="5"/>
        <v>0</v>
      </c>
      <c r="Y14" s="146">
        <f>L14</f>
        <v>0</v>
      </c>
      <c r="Z14" s="146">
        <f>L14</f>
        <v>0</v>
      </c>
      <c r="AA14" s="146">
        <f t="shared" si="6"/>
        <v>0</v>
      </c>
    </row>
    <row r="15" spans="1:34" x14ac:dyDescent="0.25">
      <c r="A15" s="86" t="e">
        <f>Plantilla!#REF!</f>
        <v>#REF!</v>
      </c>
      <c r="B15" s="307"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9">
        <f>1/10</f>
        <v>0.1</v>
      </c>
      <c r="M15" s="119"/>
      <c r="N15" s="119">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6">
        <v>0</v>
      </c>
      <c r="Z15" s="146">
        <v>0</v>
      </c>
      <c r="AA15" s="146">
        <f t="shared" si="6"/>
        <v>0</v>
      </c>
    </row>
    <row r="16" spans="1:34" x14ac:dyDescent="0.25">
      <c r="A16" s="86" t="e">
        <f>Plantilla!#REF!</f>
        <v>#REF!</v>
      </c>
      <c r="B16" s="307"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9">
        <f>1/8</f>
        <v>0.125</v>
      </c>
      <c r="M16" s="119"/>
      <c r="N16" s="119">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6">
        <v>0</v>
      </c>
      <c r="Z16" s="146">
        <v>0</v>
      </c>
      <c r="AA16" s="146">
        <f t="shared" si="6"/>
        <v>0</v>
      </c>
    </row>
    <row r="17" spans="1:27" x14ac:dyDescent="0.25">
      <c r="A17" s="86" t="str">
        <f>Plantilla!A6</f>
        <v>#2</v>
      </c>
      <c r="B17" s="307" t="str">
        <f>Plantilla!D6</f>
        <v>E. Toney</v>
      </c>
      <c r="C17" s="86">
        <f>Plantilla!E6</f>
        <v>36</v>
      </c>
      <c r="D17" s="86">
        <f ca="1">Plantilla!F6</f>
        <v>17</v>
      </c>
      <c r="E17" s="49">
        <f>Plantilla!X6</f>
        <v>0</v>
      </c>
      <c r="F17" s="49">
        <f>Plantilla!Y6</f>
        <v>11.95</v>
      </c>
      <c r="G17" s="49">
        <f>Plantilla!Z6</f>
        <v>12.95</v>
      </c>
      <c r="H17" s="49">
        <f>Plantilla!AA6</f>
        <v>8.9499999999999993</v>
      </c>
      <c r="I17" s="49">
        <f>Plantilla!AB6</f>
        <v>8.9499999999999993</v>
      </c>
      <c r="J17" s="49">
        <f>Plantilla!AC6</f>
        <v>1.95</v>
      </c>
      <c r="K17" s="49">
        <f>Plantilla!AD6</f>
        <v>17.177777777777774</v>
      </c>
      <c r="L17" s="119">
        <f>1/11</f>
        <v>9.0909090909090912E-2</v>
      </c>
      <c r="M17" s="119"/>
      <c r="N17" s="119">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6">
        <f>S17</f>
        <v>0</v>
      </c>
      <c r="Z17" s="146">
        <f>S17</f>
        <v>0</v>
      </c>
      <c r="AA17" s="146">
        <f t="shared" si="6"/>
        <v>0</v>
      </c>
    </row>
    <row r="18" spans="1:27" x14ac:dyDescent="0.25">
      <c r="A18" s="86" t="str">
        <f>Plantilla!A11</f>
        <v>#12</v>
      </c>
      <c r="B18" s="307" t="str">
        <f>Plantilla!D11</f>
        <v>E. Gross</v>
      </c>
      <c r="C18" s="86">
        <f>Plantilla!E11</f>
        <v>35</v>
      </c>
      <c r="D18" s="86">
        <f ca="1">Plantilla!F11</f>
        <v>78</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9">
        <f>1/10</f>
        <v>0.1</v>
      </c>
      <c r="M18" s="119"/>
      <c r="N18" s="119">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6">
        <v>0</v>
      </c>
      <c r="Z18" s="146">
        <v>0</v>
      </c>
      <c r="AA18" s="146">
        <f t="shared" si="6"/>
        <v>0</v>
      </c>
    </row>
    <row r="19" spans="1:27" x14ac:dyDescent="0.25">
      <c r="A19" s="86" t="str">
        <f>Plantilla!A7</f>
        <v>#24</v>
      </c>
      <c r="B19" s="307" t="str">
        <f>Plantilla!D7</f>
        <v>B. Bartolache</v>
      </c>
      <c r="C19" s="86">
        <f>Plantilla!E7</f>
        <v>36</v>
      </c>
      <c r="D19" s="86">
        <f ca="1">Plantilla!F7</f>
        <v>2</v>
      </c>
      <c r="E19" s="49">
        <f>Plantilla!X7</f>
        <v>0</v>
      </c>
      <c r="F19" s="49">
        <f>Plantilla!Y7</f>
        <v>11.95</v>
      </c>
      <c r="G19" s="49">
        <f>Plantilla!Z7</f>
        <v>5.95</v>
      </c>
      <c r="H19" s="49">
        <f>Plantilla!AA7</f>
        <v>6.95</v>
      </c>
      <c r="I19" s="49">
        <f>Plantilla!AB7</f>
        <v>7.95</v>
      </c>
      <c r="J19" s="49">
        <f>Plantilla!AC7</f>
        <v>2.95</v>
      </c>
      <c r="K19" s="49">
        <f>Plantilla!AD7</f>
        <v>16</v>
      </c>
      <c r="L19" s="119">
        <f>1/10</f>
        <v>0.1</v>
      </c>
      <c r="M19" s="119"/>
      <c r="N19" s="119">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6">
        <v>0</v>
      </c>
      <c r="Z19" s="146">
        <f>S19</f>
        <v>0</v>
      </c>
      <c r="AA19" s="146">
        <f t="shared" si="6"/>
        <v>0</v>
      </c>
    </row>
    <row r="20" spans="1:27" x14ac:dyDescent="0.25">
      <c r="A20" s="86" t="str">
        <f>Plantilla!A5</f>
        <v>#25</v>
      </c>
      <c r="B20" s="86" t="str">
        <f>Plantilla!D5</f>
        <v>T. Hammond</v>
      </c>
      <c r="C20" s="86">
        <f>Plantilla!E5</f>
        <v>39</v>
      </c>
      <c r="D20" s="86">
        <f ca="1">Plantilla!F5</f>
        <v>15</v>
      </c>
      <c r="E20" s="49">
        <f>Plantilla!X5</f>
        <v>7.95</v>
      </c>
      <c r="F20" s="49">
        <f>Plantilla!Y5</f>
        <v>7.95</v>
      </c>
      <c r="G20" s="49">
        <f>Plantilla!Z5</f>
        <v>0.95</v>
      </c>
      <c r="H20" s="49">
        <f>Plantilla!AA5</f>
        <v>0.95</v>
      </c>
      <c r="I20" s="49">
        <f>Plantilla!AB5</f>
        <v>1.95</v>
      </c>
      <c r="J20" s="49">
        <f>Plantilla!AC5</f>
        <v>0</v>
      </c>
      <c r="K20" s="49">
        <f>Plantilla!AD5</f>
        <v>14.95</v>
      </c>
      <c r="L20" s="119"/>
      <c r="M20" s="119"/>
      <c r="N20" s="119">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6"/>
      <c r="Z20" s="146"/>
      <c r="AA20" s="146">
        <f t="shared" si="6"/>
        <v>0</v>
      </c>
    </row>
    <row r="21" spans="1:27" x14ac:dyDescent="0.25">
      <c r="A21" s="86" t="str">
        <f>Plantilla!A8</f>
        <v>#13</v>
      </c>
      <c r="B21" s="86" t="str">
        <f>Plantilla!D8</f>
        <v>F. Lasprilla</v>
      </c>
      <c r="C21" s="86">
        <f>Plantilla!E8</f>
        <v>32</v>
      </c>
      <c r="D21" s="86">
        <f ca="1">Plantilla!F8</f>
        <v>25</v>
      </c>
      <c r="E21" s="49">
        <f>Plantilla!X8</f>
        <v>0</v>
      </c>
      <c r="F21" s="49">
        <f>Plantilla!Y8</f>
        <v>9.6046666666666667</v>
      </c>
      <c r="G21" s="49">
        <f>Plantilla!Z8</f>
        <v>7.7607222222222223</v>
      </c>
      <c r="H21" s="49">
        <f>Plantilla!AA8</f>
        <v>6.1599999999999984</v>
      </c>
      <c r="I21" s="49">
        <f>Plantilla!AB8</f>
        <v>8.8633333333333315</v>
      </c>
      <c r="J21" s="49">
        <f>Plantilla!AC8</f>
        <v>2.95</v>
      </c>
      <c r="K21" s="49">
        <f>Plantilla!AD8</f>
        <v>13.33611111111111</v>
      </c>
      <c r="L21" s="119"/>
      <c r="M21" s="119"/>
      <c r="N21" s="119">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6"/>
      <c r="Z21" s="146"/>
      <c r="AA21" s="146">
        <f t="shared" si="6"/>
        <v>0</v>
      </c>
    </row>
    <row r="22" spans="1:27" x14ac:dyDescent="0.25">
      <c r="A22" s="86" t="str">
        <f>Plantilla!A12</f>
        <v>#23</v>
      </c>
      <c r="B22" s="86" t="str">
        <f>Plantilla!D12</f>
        <v>W. Gelifini</v>
      </c>
      <c r="C22" s="86">
        <f>Plantilla!E12</f>
        <v>34</v>
      </c>
      <c r="D22" s="86">
        <f ca="1">Plantilla!F12</f>
        <v>3</v>
      </c>
      <c r="E22" s="49">
        <f>Plantilla!X12</f>
        <v>0</v>
      </c>
      <c r="F22" s="49">
        <f>Plantilla!Y12</f>
        <v>5.6515555555555519</v>
      </c>
      <c r="G22" s="49">
        <f>Plantilla!Z12</f>
        <v>8.9499999999999993</v>
      </c>
      <c r="H22" s="49">
        <f>Plantilla!AA12</f>
        <v>6.95</v>
      </c>
      <c r="I22" s="49">
        <f>Plantilla!AB12</f>
        <v>9.2666666666666639</v>
      </c>
      <c r="J22" s="49">
        <f>Plantilla!AC12</f>
        <v>2.95</v>
      </c>
      <c r="K22" s="49">
        <f>Plantilla!AD12</f>
        <v>12.847222222222223</v>
      </c>
      <c r="L22" s="119"/>
      <c r="M22" s="119"/>
      <c r="N22" s="119">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6"/>
      <c r="Z22" s="146"/>
      <c r="AA22" s="146">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c r="N23" s="119">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6"/>
      <c r="Z23" s="146"/>
      <c r="AA23" s="146">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70" bestFit="1" customWidth="1"/>
    <col min="13" max="13" width="6.5703125" style="270" customWidth="1"/>
    <col min="14" max="14" width="8.28515625" style="270"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43060</v>
      </c>
      <c r="Y2" s="272">
        <f>SUM(Y4:Y22)</f>
        <v>0.35961805555555554</v>
      </c>
      <c r="Z2" s="272">
        <f>SUM(Z4:Z22)</f>
        <v>0.49770896464646464</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7" t="s">
        <v>1</v>
      </c>
      <c r="P3" s="267" t="s">
        <v>361</v>
      </c>
      <c r="Q3" s="266" t="s">
        <v>379</v>
      </c>
      <c r="R3" s="266" t="s">
        <v>385</v>
      </c>
      <c r="S3" s="266" t="s">
        <v>380</v>
      </c>
      <c r="T3" s="266" t="s">
        <v>362</v>
      </c>
      <c r="U3" s="266" t="s">
        <v>221</v>
      </c>
      <c r="V3" s="266" t="s">
        <v>384</v>
      </c>
      <c r="W3" s="267" t="s">
        <v>277</v>
      </c>
      <c r="X3" s="267" t="s">
        <v>64</v>
      </c>
      <c r="Y3" s="269" t="s">
        <v>382</v>
      </c>
      <c r="Z3" s="269" t="s">
        <v>383</v>
      </c>
      <c r="AA3" s="269" t="s">
        <v>387</v>
      </c>
      <c r="AD3" t="s">
        <v>1</v>
      </c>
      <c r="AE3" t="s">
        <v>353</v>
      </c>
      <c r="AG3" t="s">
        <v>1</v>
      </c>
      <c r="AH3" t="s">
        <v>353</v>
      </c>
    </row>
    <row r="4" spans="1:34" x14ac:dyDescent="0.25">
      <c r="A4" s="86" t="e">
        <f>Plantilla!#REF!</f>
        <v>#REF!</v>
      </c>
      <c r="B4" s="307"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9">
        <f>1/4</f>
        <v>0.25</v>
      </c>
      <c r="M4" s="119">
        <f t="shared" ref="M4:M23" si="0">L4/2</f>
        <v>0.125</v>
      </c>
      <c r="N4" s="119">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6"/>
      <c r="Z4" s="146">
        <f>R4</f>
        <v>7.1499999999999994E-2</v>
      </c>
      <c r="AA4" s="146">
        <f t="shared" ref="AA4:AA23" si="8">MAX(Z4,Y4)</f>
        <v>7.1499999999999994E-2</v>
      </c>
      <c r="AD4" t="s">
        <v>360</v>
      </c>
      <c r="AE4" s="281" t="s">
        <v>390</v>
      </c>
      <c r="AG4" t="s">
        <v>360</v>
      </c>
      <c r="AH4" s="281" t="str">
        <f>AE4</f>
        <v>B. Pinczehelyi</v>
      </c>
    </row>
    <row r="5" spans="1:34" x14ac:dyDescent="0.25">
      <c r="A5" s="86" t="str">
        <f>Plantilla!A7</f>
        <v>#24</v>
      </c>
      <c r="B5" s="307" t="str">
        <f>Plantilla!D7</f>
        <v>B. Bartolache</v>
      </c>
      <c r="C5" s="86">
        <f>Plantilla!E7</f>
        <v>36</v>
      </c>
      <c r="D5" s="86">
        <f ca="1">Plantilla!F7</f>
        <v>2</v>
      </c>
      <c r="E5" s="49">
        <f>Plantilla!X7</f>
        <v>0</v>
      </c>
      <c r="F5" s="49">
        <f>Plantilla!Y7</f>
        <v>11.95</v>
      </c>
      <c r="G5" s="49">
        <f>Plantilla!Z7</f>
        <v>5.95</v>
      </c>
      <c r="H5" s="49">
        <f>Plantilla!AA7</f>
        <v>6.95</v>
      </c>
      <c r="I5" s="49">
        <f>Plantilla!AB7</f>
        <v>7.95</v>
      </c>
      <c r="J5" s="49">
        <f>Plantilla!AC7</f>
        <v>2.95</v>
      </c>
      <c r="K5" s="49">
        <f>Plantilla!AD7</f>
        <v>16</v>
      </c>
      <c r="L5" s="119">
        <f>1/6</f>
        <v>0.16666666666666666</v>
      </c>
      <c r="M5" s="119">
        <f t="shared" si="0"/>
        <v>8.3333333333333329E-2</v>
      </c>
      <c r="N5" s="119">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6"/>
      <c r="Z5" s="146">
        <f>S5</f>
        <v>5.5681818181818173E-2</v>
      </c>
      <c r="AA5" s="146">
        <f t="shared" si="8"/>
        <v>5.5681818181818173E-2</v>
      </c>
      <c r="AD5" t="s">
        <v>361</v>
      </c>
      <c r="AE5" t="s">
        <v>97</v>
      </c>
      <c r="AG5" t="s">
        <v>372</v>
      </c>
      <c r="AH5" t="s">
        <v>98</v>
      </c>
    </row>
    <row r="6" spans="1:34" x14ac:dyDescent="0.25">
      <c r="A6" s="86" t="str">
        <f>Plantilla!A24</f>
        <v>#10</v>
      </c>
      <c r="B6" s="307" t="str">
        <f>Plantilla!D24</f>
        <v>S. Zobbe</v>
      </c>
      <c r="C6" s="86">
        <f>Plantilla!E24</f>
        <v>32</v>
      </c>
      <c r="D6" s="86">
        <f ca="1">Plantilla!F24</f>
        <v>53</v>
      </c>
      <c r="E6" s="49">
        <f>Plantilla!X24</f>
        <v>0</v>
      </c>
      <c r="F6" s="49">
        <f>Plantilla!Y24</f>
        <v>8.3599999999999977</v>
      </c>
      <c r="G6" s="49">
        <f>Plantilla!Z24</f>
        <v>12.253412698412699</v>
      </c>
      <c r="H6" s="49">
        <f>Plantilla!AA24</f>
        <v>12.95</v>
      </c>
      <c r="I6" s="49">
        <f>Plantilla!AB24</f>
        <v>10.24</v>
      </c>
      <c r="J6" s="49">
        <f>Plantilla!AC24</f>
        <v>6.95</v>
      </c>
      <c r="K6" s="49">
        <f>Plantilla!AD24</f>
        <v>16</v>
      </c>
      <c r="L6" s="119">
        <f>1/9</f>
        <v>0.1111111111111111</v>
      </c>
      <c r="M6" s="119">
        <f t="shared" si="0"/>
        <v>5.5555555555555552E-2</v>
      </c>
      <c r="N6" s="119">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6">
        <f>V6</f>
        <v>5.4545454545454536E-2</v>
      </c>
      <c r="Z6" s="146">
        <f>V6</f>
        <v>5.4545454545454536E-2</v>
      </c>
      <c r="AA6" s="146">
        <f t="shared" si="8"/>
        <v>5.4545454545454536E-2</v>
      </c>
      <c r="AD6" t="s">
        <v>360</v>
      </c>
      <c r="AE6" t="s">
        <v>95</v>
      </c>
      <c r="AG6" t="s">
        <v>371</v>
      </c>
      <c r="AH6" t="s">
        <v>95</v>
      </c>
    </row>
    <row r="7" spans="1:34" x14ac:dyDescent="0.25">
      <c r="A7" s="86" t="str">
        <f>Plantilla!A6</f>
        <v>#2</v>
      </c>
      <c r="B7" s="307" t="str">
        <f>Plantilla!D6</f>
        <v>E. Toney</v>
      </c>
      <c r="C7" s="86">
        <f>Plantilla!E6</f>
        <v>36</v>
      </c>
      <c r="D7" s="86">
        <f ca="1">Plantilla!F6</f>
        <v>17</v>
      </c>
      <c r="E7" s="49">
        <f>Plantilla!X6</f>
        <v>0</v>
      </c>
      <c r="F7" s="49">
        <f>Plantilla!Y6</f>
        <v>11.95</v>
      </c>
      <c r="G7" s="49">
        <f>Plantilla!Z6</f>
        <v>12.95</v>
      </c>
      <c r="H7" s="49">
        <f>Plantilla!AA6</f>
        <v>8.9499999999999993</v>
      </c>
      <c r="I7" s="49">
        <f>Plantilla!AB6</f>
        <v>8.9499999999999993</v>
      </c>
      <c r="J7" s="49">
        <f>Plantilla!AC6</f>
        <v>1.95</v>
      </c>
      <c r="K7" s="49">
        <f>Plantilla!AD6</f>
        <v>17.177777777777774</v>
      </c>
      <c r="L7" s="119">
        <f>1/7</f>
        <v>0.14285714285714285</v>
      </c>
      <c r="M7" s="119">
        <f t="shared" si="0"/>
        <v>7.1428571428571425E-2</v>
      </c>
      <c r="N7" s="119">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6">
        <f>S7</f>
        <v>4.7727272727272722E-2</v>
      </c>
      <c r="Z7" s="146">
        <f>S7</f>
        <v>4.7727272727272722E-2</v>
      </c>
      <c r="AA7" s="146">
        <f t="shared" si="8"/>
        <v>4.7727272727272722E-2</v>
      </c>
      <c r="AD7" t="s">
        <v>221</v>
      </c>
      <c r="AE7" t="s">
        <v>291</v>
      </c>
      <c r="AG7" t="s">
        <v>372</v>
      </c>
      <c r="AH7" t="s">
        <v>99</v>
      </c>
    </row>
    <row r="8" spans="1:34" x14ac:dyDescent="0.25">
      <c r="A8" s="86" t="str">
        <f>Plantilla!A9</f>
        <v>#7</v>
      </c>
      <c r="B8" s="308" t="str">
        <f>Plantilla!D9</f>
        <v>E. Romweber</v>
      </c>
      <c r="C8" s="86">
        <f>Plantilla!E9</f>
        <v>35</v>
      </c>
      <c r="D8" s="86">
        <f ca="1">Plantilla!F9</f>
        <v>91</v>
      </c>
      <c r="E8" s="49">
        <f>Plantilla!X9</f>
        <v>0</v>
      </c>
      <c r="F8" s="49">
        <f>Plantilla!Y9</f>
        <v>11.95</v>
      </c>
      <c r="G8" s="49">
        <f>Plantilla!Z9</f>
        <v>12.614111111111114</v>
      </c>
      <c r="H8" s="49">
        <f>Plantilla!AA9</f>
        <v>12.95</v>
      </c>
      <c r="I8" s="49">
        <f>Plantilla!AB9</f>
        <v>10.95</v>
      </c>
      <c r="J8" s="49">
        <f>Plantilla!AC9</f>
        <v>5.95</v>
      </c>
      <c r="K8" s="49">
        <f>Plantilla!AD9</f>
        <v>17.529999999999998</v>
      </c>
      <c r="L8" s="119">
        <f>1/12</f>
        <v>8.3333333333333329E-2</v>
      </c>
      <c r="M8" s="119">
        <f t="shared" si="0"/>
        <v>4.1666666666666664E-2</v>
      </c>
      <c r="N8" s="119">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6">
        <f>V8</f>
        <v>4.0909090909090909E-2</v>
      </c>
      <c r="Z8" s="146">
        <f>V8</f>
        <v>4.0909090909090909E-2</v>
      </c>
      <c r="AA8" s="146">
        <f t="shared" si="8"/>
        <v>4.0909090909090909E-2</v>
      </c>
      <c r="AD8" t="s">
        <v>362</v>
      </c>
      <c r="AE8" t="s">
        <v>169</v>
      </c>
      <c r="AG8" t="s">
        <v>360</v>
      </c>
      <c r="AH8" t="s">
        <v>373</v>
      </c>
    </row>
    <row r="9" spans="1:34" x14ac:dyDescent="0.25">
      <c r="A9" s="86" t="str">
        <f>Plantilla!A23</f>
        <v>#11</v>
      </c>
      <c r="B9" s="308" t="str">
        <f>Plantilla!D23</f>
        <v>K. Helms</v>
      </c>
      <c r="C9" s="86">
        <f>Plantilla!E23</f>
        <v>35</v>
      </c>
      <c r="D9" s="86">
        <f ca="1">Plantilla!F23</f>
        <v>38</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9">
        <f>1/12</f>
        <v>8.3333333333333329E-2</v>
      </c>
      <c r="M9" s="119">
        <f t="shared" si="0"/>
        <v>4.1666666666666664E-2</v>
      </c>
      <c r="N9" s="119">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6">
        <f>V9</f>
        <v>4.0909090909090909E-2</v>
      </c>
      <c r="Z9" s="146">
        <f>V9</f>
        <v>4.0909090909090909E-2</v>
      </c>
      <c r="AA9" s="146">
        <f t="shared" si="8"/>
        <v>4.0909090909090909E-2</v>
      </c>
      <c r="AD9" t="s">
        <v>221</v>
      </c>
      <c r="AE9" t="s">
        <v>101</v>
      </c>
      <c r="AG9" t="s">
        <v>221</v>
      </c>
      <c r="AH9" t="s">
        <v>101</v>
      </c>
    </row>
    <row r="10" spans="1:34" x14ac:dyDescent="0.25">
      <c r="A10" s="86" t="e">
        <f>Plantilla!#REF!</f>
        <v>#REF!</v>
      </c>
      <c r="B10" s="308"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9">
        <f>1/8</f>
        <v>0.125</v>
      </c>
      <c r="M10" s="119">
        <f t="shared" si="0"/>
        <v>6.25E-2</v>
      </c>
      <c r="N10" s="119">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6">
        <f>U10</f>
        <v>4.0767045454545452E-2</v>
      </c>
      <c r="Z10" s="146">
        <f>U10</f>
        <v>4.0767045454545452E-2</v>
      </c>
      <c r="AA10" s="146">
        <f t="shared" si="8"/>
        <v>4.0767045454545452E-2</v>
      </c>
      <c r="AD10" t="s">
        <v>363</v>
      </c>
      <c r="AE10" t="s">
        <v>373</v>
      </c>
      <c r="AG10" t="s">
        <v>221</v>
      </c>
      <c r="AH10" t="s">
        <v>291</v>
      </c>
    </row>
    <row r="11" spans="1:34" x14ac:dyDescent="0.25">
      <c r="A11" s="86" t="str">
        <f>Plantilla!A10</f>
        <v>#6</v>
      </c>
      <c r="B11" s="308" t="str">
        <f>Plantilla!D10</f>
        <v>S. Buschelman</v>
      </c>
      <c r="C11" s="86">
        <f>Plantilla!E10</f>
        <v>34</v>
      </c>
      <c r="D11" s="86">
        <f ca="1">Plantilla!F10</f>
        <v>50</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9">
        <f>1/9</f>
        <v>0.1111111111111111</v>
      </c>
      <c r="M11" s="119">
        <f t="shared" si="0"/>
        <v>5.5555555555555552E-2</v>
      </c>
      <c r="N11" s="119">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6">
        <f>U11</f>
        <v>3.6237373737373728E-2</v>
      </c>
      <c r="Z11" s="146">
        <f>U11</f>
        <v>3.6237373737373728E-2</v>
      </c>
      <c r="AA11" s="146">
        <f t="shared" si="8"/>
        <v>3.6237373737373728E-2</v>
      </c>
      <c r="AD11" t="s">
        <v>363</v>
      </c>
      <c r="AE11" t="s">
        <v>107</v>
      </c>
      <c r="AG11" t="s">
        <v>363</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9">
        <f>1/10</f>
        <v>0.1</v>
      </c>
      <c r="M12" s="119">
        <f t="shared" si="0"/>
        <v>0.05</v>
      </c>
      <c r="N12" s="119">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6">
        <f>U12</f>
        <v>3.2613636363636365E-2</v>
      </c>
      <c r="Z12" s="146">
        <f>U12</f>
        <v>3.2613636363636365E-2</v>
      </c>
      <c r="AA12" s="146">
        <f t="shared" si="8"/>
        <v>3.2613636363636365E-2</v>
      </c>
      <c r="AD12" t="s">
        <v>64</v>
      </c>
      <c r="AE12" t="s">
        <v>102</v>
      </c>
      <c r="AG12" t="s">
        <v>363</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9">
        <f>1/3</f>
        <v>0.33333333333333331</v>
      </c>
      <c r="M13" s="119">
        <f t="shared" si="0"/>
        <v>0.16666666666666666</v>
      </c>
      <c r="N13" s="119">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6">
        <f>W13</f>
        <v>2.7272727272727268E-2</v>
      </c>
      <c r="Z13" s="146">
        <f>W13</f>
        <v>2.7272727272727268E-2</v>
      </c>
      <c r="AA13" s="146">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53</v>
      </c>
      <c r="E14" s="49">
        <f>Plantilla!X25</f>
        <v>0</v>
      </c>
      <c r="F14" s="49">
        <f>Plantilla!Y25</f>
        <v>5.95</v>
      </c>
      <c r="G14" s="49">
        <f>Plantilla!Z25</f>
        <v>14.1</v>
      </c>
      <c r="H14" s="49">
        <f>Plantilla!AA25</f>
        <v>2.95</v>
      </c>
      <c r="I14" s="49">
        <f>Plantilla!AB25</f>
        <v>8.9499999999999993</v>
      </c>
      <c r="J14" s="49">
        <f>Plantilla!AC25</f>
        <v>5.95</v>
      </c>
      <c r="K14" s="49">
        <f>Plantilla!AD25</f>
        <v>16.95</v>
      </c>
      <c r="L14" s="119">
        <f>1/3</f>
        <v>0.33333333333333331</v>
      </c>
      <c r="M14" s="119">
        <f t="shared" si="0"/>
        <v>0.16666666666666666</v>
      </c>
      <c r="N14" s="119">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6">
        <f>T14</f>
        <v>0</v>
      </c>
      <c r="Z14" s="146">
        <f>W14</f>
        <v>2.7272727272727268E-2</v>
      </c>
      <c r="AA14" s="146">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9">
        <f>1/15</f>
        <v>6.6666666666666666E-2</v>
      </c>
      <c r="M15" s="119">
        <f t="shared" si="0"/>
        <v>3.3333333333333333E-2</v>
      </c>
      <c r="N15" s="119">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6">
        <f>S15</f>
        <v>2.227272727272727E-2</v>
      </c>
      <c r="Z15" s="146">
        <f>S15</f>
        <v>2.227272727272727E-2</v>
      </c>
      <c r="AA15" s="146">
        <f t="shared" si="8"/>
        <v>2.227272727272727E-2</v>
      </c>
    </row>
    <row r="16" spans="1:34" x14ac:dyDescent="0.25">
      <c r="A16" s="86" t="str">
        <f>Plantilla!A26</f>
        <v>#9</v>
      </c>
      <c r="B16" s="62" t="str">
        <f>Plantilla!D26</f>
        <v>J. Limon</v>
      </c>
      <c r="C16" s="86">
        <f>Plantilla!E26</f>
        <v>34</v>
      </c>
      <c r="D16" s="86">
        <f ca="1">Plantilla!F26</f>
        <v>90</v>
      </c>
      <c r="E16" s="49">
        <f>Plantilla!X26</f>
        <v>0</v>
      </c>
      <c r="F16" s="49">
        <f>Plantilla!Y26</f>
        <v>6.8376190476190493</v>
      </c>
      <c r="G16" s="49">
        <f>Plantilla!Z26</f>
        <v>8.9499999999999993</v>
      </c>
      <c r="H16" s="49">
        <f>Plantilla!AA26</f>
        <v>8.7399999999999967</v>
      </c>
      <c r="I16" s="49">
        <f>Plantilla!AB26</f>
        <v>9.9499999999999993</v>
      </c>
      <c r="J16" s="49">
        <f>Plantilla!AC26</f>
        <v>6.95</v>
      </c>
      <c r="K16" s="49">
        <f>Plantilla!AD26</f>
        <v>18.999999999999993</v>
      </c>
      <c r="L16" s="119">
        <f>1/5</f>
        <v>0.2</v>
      </c>
      <c r="M16" s="119">
        <f t="shared" si="0"/>
        <v>0.1</v>
      </c>
      <c r="N16" s="119">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6">
        <f>W16</f>
        <v>1.6363636363636361E-2</v>
      </c>
      <c r="Z16" s="146"/>
      <c r="AA16" s="146">
        <f t="shared" si="8"/>
        <v>1.6363636363636361E-2</v>
      </c>
    </row>
    <row r="17" spans="1:27" x14ac:dyDescent="0.25">
      <c r="A17" s="86" t="str">
        <f>Plantilla!A27</f>
        <v>#15</v>
      </c>
      <c r="B17" s="62" t="str">
        <f>Plantilla!D27</f>
        <v>P .Trivadi</v>
      </c>
      <c r="C17" s="86">
        <f>Plantilla!E27</f>
        <v>32</v>
      </c>
      <c r="D17" s="86">
        <f ca="1">Plantilla!F27</f>
        <v>9</v>
      </c>
      <c r="E17" s="49">
        <f>Plantilla!X27</f>
        <v>0</v>
      </c>
      <c r="F17" s="49">
        <f>Plantilla!Y27</f>
        <v>4.0199999999999996</v>
      </c>
      <c r="G17" s="49">
        <f>Plantilla!Z27</f>
        <v>5.95</v>
      </c>
      <c r="H17" s="49">
        <f>Plantilla!AA27</f>
        <v>5.5099999999999989</v>
      </c>
      <c r="I17" s="49">
        <f>Plantilla!AB27</f>
        <v>10.95</v>
      </c>
      <c r="J17" s="49">
        <f>Plantilla!AC27</f>
        <v>7.95</v>
      </c>
      <c r="K17" s="49">
        <f>Plantilla!AD27</f>
        <v>14</v>
      </c>
      <c r="L17" s="119">
        <f>1/5</f>
        <v>0.2</v>
      </c>
      <c r="M17" s="119">
        <f t="shared" si="0"/>
        <v>0.1</v>
      </c>
      <c r="N17" s="119">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6">
        <v>0</v>
      </c>
      <c r="Z17" s="146">
        <v>0</v>
      </c>
      <c r="AA17" s="146">
        <f t="shared" si="8"/>
        <v>0</v>
      </c>
    </row>
    <row r="18" spans="1:27" x14ac:dyDescent="0.25">
      <c r="A18" s="86" t="str">
        <f>Plantilla!A4</f>
        <v>#1</v>
      </c>
      <c r="B18" s="86" t="str">
        <f>Plantilla!D4</f>
        <v>D. Gehmacher</v>
      </c>
      <c r="C18" s="86">
        <f>Plantilla!E4</f>
        <v>35</v>
      </c>
      <c r="D18" s="86">
        <f ca="1">Plantilla!F4</f>
        <v>6</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9">
        <f>0</f>
        <v>0</v>
      </c>
      <c r="M18" s="119">
        <f t="shared" si="0"/>
        <v>0</v>
      </c>
      <c r="N18" s="119">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6">
        <f>L18</f>
        <v>0</v>
      </c>
      <c r="Z18" s="146">
        <f>L18</f>
        <v>0</v>
      </c>
      <c r="AA18" s="146">
        <f t="shared" si="8"/>
        <v>0</v>
      </c>
    </row>
    <row r="19" spans="1:27" x14ac:dyDescent="0.25">
      <c r="A19" s="86" t="str">
        <f>Plantilla!A11</f>
        <v>#12</v>
      </c>
      <c r="B19" s="86" t="str">
        <f>Plantilla!D11</f>
        <v>E. Gross</v>
      </c>
      <c r="C19" s="86">
        <f>Plantilla!E11</f>
        <v>35</v>
      </c>
      <c r="D19" s="86">
        <f ca="1">Plantilla!F11</f>
        <v>78</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9">
        <f>1/4</f>
        <v>0.25</v>
      </c>
      <c r="M19" s="119">
        <f t="shared" si="0"/>
        <v>0.125</v>
      </c>
      <c r="N19" s="119">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6">
        <v>0</v>
      </c>
      <c r="Z19" s="146">
        <v>0</v>
      </c>
      <c r="AA19" s="146">
        <f t="shared" si="8"/>
        <v>0</v>
      </c>
    </row>
    <row r="20" spans="1:27" x14ac:dyDescent="0.25">
      <c r="A20" s="86" t="str">
        <f>Plantilla!A5</f>
        <v>#25</v>
      </c>
      <c r="B20" s="86" t="str">
        <f>Plantilla!D5</f>
        <v>T. Hammond</v>
      </c>
      <c r="C20" s="86">
        <f>Plantilla!E5</f>
        <v>39</v>
      </c>
      <c r="D20" s="86">
        <f ca="1">Plantilla!F5</f>
        <v>15</v>
      </c>
      <c r="E20" s="49">
        <f>Plantilla!X5</f>
        <v>7.95</v>
      </c>
      <c r="F20" s="49">
        <f>Plantilla!Y5</f>
        <v>7.95</v>
      </c>
      <c r="G20" s="49">
        <f>Plantilla!Z5</f>
        <v>0.95</v>
      </c>
      <c r="H20" s="49">
        <f>Plantilla!AA5</f>
        <v>0.95</v>
      </c>
      <c r="I20" s="49">
        <f>Plantilla!AB5</f>
        <v>1.95</v>
      </c>
      <c r="J20" s="49">
        <f>Plantilla!AC5</f>
        <v>0</v>
      </c>
      <c r="K20" s="49">
        <f>Plantilla!AD5</f>
        <v>14.95</v>
      </c>
      <c r="L20" s="119"/>
      <c r="M20" s="119">
        <f t="shared" si="0"/>
        <v>0</v>
      </c>
      <c r="N20" s="119">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6"/>
      <c r="Z20" s="146"/>
      <c r="AA20" s="146">
        <f t="shared" si="8"/>
        <v>0</v>
      </c>
    </row>
    <row r="21" spans="1:27" x14ac:dyDescent="0.25">
      <c r="A21" s="86" t="str">
        <f>Plantilla!A8</f>
        <v>#13</v>
      </c>
      <c r="B21" s="86" t="str">
        <f>Plantilla!D8</f>
        <v>F. Lasprilla</v>
      </c>
      <c r="C21" s="86">
        <f>Plantilla!E8</f>
        <v>32</v>
      </c>
      <c r="D21" s="86">
        <f ca="1">Plantilla!F8</f>
        <v>25</v>
      </c>
      <c r="E21" s="49">
        <f>Plantilla!X8</f>
        <v>0</v>
      </c>
      <c r="F21" s="49">
        <f>Plantilla!Y8</f>
        <v>9.6046666666666667</v>
      </c>
      <c r="G21" s="49">
        <f>Plantilla!Z8</f>
        <v>7.7607222222222223</v>
      </c>
      <c r="H21" s="49">
        <f>Plantilla!AA8</f>
        <v>6.1599999999999984</v>
      </c>
      <c r="I21" s="49">
        <f>Plantilla!AB8</f>
        <v>8.8633333333333315</v>
      </c>
      <c r="J21" s="49">
        <f>Plantilla!AC8</f>
        <v>2.95</v>
      </c>
      <c r="K21" s="49">
        <f>Plantilla!AD8</f>
        <v>13.33611111111111</v>
      </c>
      <c r="L21" s="119"/>
      <c r="M21" s="119">
        <f t="shared" si="0"/>
        <v>0</v>
      </c>
      <c r="N21" s="119">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6"/>
      <c r="Z21" s="146"/>
      <c r="AA21" s="146">
        <f t="shared" si="8"/>
        <v>0</v>
      </c>
    </row>
    <row r="22" spans="1:27" x14ac:dyDescent="0.25">
      <c r="A22" s="86" t="str">
        <f>Plantilla!A12</f>
        <v>#23</v>
      </c>
      <c r="B22" s="86" t="str">
        <f>Plantilla!D12</f>
        <v>W. Gelifini</v>
      </c>
      <c r="C22" s="86">
        <f>Plantilla!E12</f>
        <v>34</v>
      </c>
      <c r="D22" s="86">
        <f ca="1">Plantilla!F12</f>
        <v>3</v>
      </c>
      <c r="E22" s="49">
        <f>Plantilla!X12</f>
        <v>0</v>
      </c>
      <c r="F22" s="49">
        <f>Plantilla!Y12</f>
        <v>5.6515555555555519</v>
      </c>
      <c r="G22" s="49">
        <f>Plantilla!Z12</f>
        <v>8.9499999999999993</v>
      </c>
      <c r="H22" s="49">
        <f>Plantilla!AA12</f>
        <v>6.95</v>
      </c>
      <c r="I22" s="49">
        <f>Plantilla!AB12</f>
        <v>9.2666666666666639</v>
      </c>
      <c r="J22" s="49">
        <f>Plantilla!AC12</f>
        <v>2.95</v>
      </c>
      <c r="K22" s="49">
        <f>Plantilla!AD12</f>
        <v>12.847222222222223</v>
      </c>
      <c r="L22" s="119"/>
      <c r="M22" s="119">
        <f t="shared" si="0"/>
        <v>0</v>
      </c>
      <c r="N22" s="119">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6"/>
      <c r="Z22" s="146"/>
      <c r="AA22" s="146">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f t="shared" si="0"/>
        <v>0</v>
      </c>
      <c r="N23" s="119">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6"/>
      <c r="Z23" s="146"/>
      <c r="AA23" s="146">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Z39"/>
  <sheetViews>
    <sheetView zoomScaleNormal="100" workbookViewId="0">
      <selection activeCell="AB13" sqref="AB1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3.28515625" bestFit="1" customWidth="1"/>
    <col min="7" max="7" width="4.42578125" style="110" bestFit="1" customWidth="1"/>
    <col min="8" max="8" width="20.5703125" bestFit="1" customWidth="1"/>
    <col min="9" max="9" width="5" bestFit="1" customWidth="1"/>
    <col min="10" max="10" width="4" customWidth="1"/>
    <col min="11" max="11" width="3.28515625" bestFit="1" customWidth="1"/>
    <col min="12" max="12" width="4.42578125" bestFit="1" customWidth="1"/>
    <col min="13" max="13" width="20.42578125" bestFit="1" customWidth="1"/>
    <col min="14" max="14" width="5" bestFit="1" customWidth="1"/>
    <col min="15" max="15" width="4" customWidth="1"/>
    <col min="16" max="16" width="3.28515625" bestFit="1" customWidth="1"/>
    <col min="17" max="17" width="5.5703125" bestFit="1" customWidth="1"/>
    <col min="18" max="18" width="20.42578125" bestFit="1" customWidth="1"/>
    <col min="19" max="19" width="7.7109375" bestFit="1" customWidth="1"/>
    <col min="20" max="20" width="4.85546875" bestFit="1" customWidth="1"/>
    <col min="21" max="21" width="4.4257812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6" x14ac:dyDescent="0.25">
      <c r="A1" s="114" t="s">
        <v>186</v>
      </c>
    </row>
    <row r="2" spans="1:26" ht="18.75" x14ac:dyDescent="0.3">
      <c r="A2" s="115">
        <v>43643</v>
      </c>
      <c r="F2" s="88"/>
      <c r="G2" s="681" t="s">
        <v>187</v>
      </c>
      <c r="H2" s="681"/>
      <c r="J2" s="88"/>
      <c r="K2" s="88"/>
      <c r="L2" s="681" t="s">
        <v>397</v>
      </c>
      <c r="M2" s="681"/>
      <c r="N2" s="681"/>
      <c r="O2" s="103"/>
      <c r="P2" s="103"/>
      <c r="Q2" s="681" t="s">
        <v>189</v>
      </c>
      <c r="R2" s="681"/>
      <c r="T2" s="2" t="s">
        <v>402</v>
      </c>
      <c r="U2" s="88"/>
      <c r="V2" s="88"/>
      <c r="W2" s="88"/>
      <c r="X2" s="681" t="s">
        <v>396</v>
      </c>
      <c r="Y2" s="681"/>
      <c r="Z2" s="88"/>
    </row>
    <row r="3" spans="1:26" x14ac:dyDescent="0.25">
      <c r="F3" s="3">
        <v>1</v>
      </c>
      <c r="G3" s="370">
        <v>98</v>
      </c>
      <c r="H3" s="371" t="s">
        <v>354</v>
      </c>
      <c r="I3" s="371" t="s">
        <v>1</v>
      </c>
      <c r="K3" s="77">
        <v>1</v>
      </c>
      <c r="L3" s="370">
        <v>386</v>
      </c>
      <c r="M3" s="371" t="s">
        <v>210</v>
      </c>
      <c r="N3" s="372" t="s">
        <v>183</v>
      </c>
      <c r="P3" s="77">
        <v>1</v>
      </c>
      <c r="Q3" s="370">
        <v>263</v>
      </c>
      <c r="R3" s="371" t="s">
        <v>190</v>
      </c>
      <c r="S3" s="371" t="s">
        <v>91</v>
      </c>
      <c r="T3" s="378">
        <f>Q3/L7</f>
        <v>0.87959866220735783</v>
      </c>
      <c r="U3" s="371"/>
      <c r="W3" s="79">
        <v>1</v>
      </c>
      <c r="X3" s="373" t="s">
        <v>408</v>
      </c>
      <c r="Y3" s="374" t="s">
        <v>394</v>
      </c>
      <c r="Z3" s="375" t="s">
        <v>64</v>
      </c>
    </row>
    <row r="4" spans="1:26" s="88" customFormat="1" ht="18.75" x14ac:dyDescent="0.3">
      <c r="A4" s="88" t="s">
        <v>184</v>
      </c>
      <c r="F4" s="3">
        <v>2</v>
      </c>
      <c r="G4" s="370">
        <v>66</v>
      </c>
      <c r="H4" s="371" t="s">
        <v>89</v>
      </c>
      <c r="I4" s="372" t="s">
        <v>1</v>
      </c>
      <c r="J4"/>
      <c r="K4" s="77">
        <v>2</v>
      </c>
      <c r="L4" s="370">
        <v>376</v>
      </c>
      <c r="M4" s="371" t="s">
        <v>199</v>
      </c>
      <c r="N4" s="371" t="s">
        <v>198</v>
      </c>
      <c r="O4"/>
      <c r="P4" s="77">
        <v>2</v>
      </c>
      <c r="Q4" s="370">
        <v>124</v>
      </c>
      <c r="R4" s="371" t="s">
        <v>199</v>
      </c>
      <c r="S4" s="371" t="s">
        <v>198</v>
      </c>
      <c r="T4" s="378">
        <f>Q4/L4</f>
        <v>0.32978723404255317</v>
      </c>
      <c r="U4" s="371"/>
      <c r="V4"/>
      <c r="W4" s="79">
        <v>2</v>
      </c>
      <c r="X4" s="377" t="s">
        <v>399</v>
      </c>
      <c r="Y4" s="371" t="s">
        <v>354</v>
      </c>
      <c r="Z4" s="371" t="s">
        <v>1</v>
      </c>
    </row>
    <row r="5" spans="1:26" x14ac:dyDescent="0.25">
      <c r="A5" s="315" t="s">
        <v>185</v>
      </c>
      <c r="B5" s="316" t="s">
        <v>410</v>
      </c>
      <c r="C5" s="87">
        <v>43276</v>
      </c>
      <c r="D5" t="s">
        <v>411</v>
      </c>
      <c r="F5" s="3">
        <v>3</v>
      </c>
      <c r="G5" s="373">
        <v>46</v>
      </c>
      <c r="H5" s="374" t="s">
        <v>87</v>
      </c>
      <c r="I5" s="375" t="s">
        <v>1</v>
      </c>
      <c r="K5" s="77">
        <v>3</v>
      </c>
      <c r="L5" s="370">
        <v>320</v>
      </c>
      <c r="M5" s="371" t="s">
        <v>219</v>
      </c>
      <c r="N5" s="372" t="s">
        <v>62</v>
      </c>
      <c r="P5" s="77">
        <v>3</v>
      </c>
      <c r="Q5" s="370">
        <v>120</v>
      </c>
      <c r="R5" s="371" t="s">
        <v>253</v>
      </c>
      <c r="S5" s="371" t="s">
        <v>63</v>
      </c>
      <c r="T5" s="378">
        <f>Q5/L10</f>
        <v>0.43478260869565216</v>
      </c>
      <c r="U5" s="371"/>
      <c r="W5" s="79">
        <v>2</v>
      </c>
      <c r="X5" s="377" t="s">
        <v>399</v>
      </c>
      <c r="Y5" s="371" t="s">
        <v>199</v>
      </c>
      <c r="Z5" s="371" t="s">
        <v>198</v>
      </c>
    </row>
    <row r="6" spans="1:26" ht="18.75" x14ac:dyDescent="0.3">
      <c r="A6" s="315" t="s">
        <v>395</v>
      </c>
      <c r="B6" s="195" t="s">
        <v>409</v>
      </c>
      <c r="C6" s="87">
        <v>43258</v>
      </c>
      <c r="D6" t="s">
        <v>412</v>
      </c>
      <c r="F6">
        <v>4</v>
      </c>
      <c r="G6" s="355">
        <v>2</v>
      </c>
      <c r="H6" s="358" t="s">
        <v>86</v>
      </c>
      <c r="I6" s="358" t="s">
        <v>1</v>
      </c>
      <c r="J6" s="88"/>
      <c r="K6" s="279">
        <v>4</v>
      </c>
      <c r="L6" s="365">
        <v>313</v>
      </c>
      <c r="M6" s="362" t="s">
        <v>192</v>
      </c>
      <c r="N6" s="363" t="s">
        <v>62</v>
      </c>
      <c r="O6" s="88"/>
      <c r="P6" s="317">
        <v>4</v>
      </c>
      <c r="Q6" s="355">
        <v>100</v>
      </c>
      <c r="R6" s="358" t="s">
        <v>192</v>
      </c>
      <c r="S6" s="358" t="s">
        <v>62</v>
      </c>
      <c r="T6" s="360">
        <f>Q6/L6</f>
        <v>0.31948881789137379</v>
      </c>
      <c r="U6" s="358"/>
      <c r="V6" s="88"/>
      <c r="W6" s="79">
        <v>2</v>
      </c>
      <c r="X6" s="377" t="s">
        <v>399</v>
      </c>
      <c r="Y6" s="371" t="s">
        <v>219</v>
      </c>
      <c r="Z6" s="372" t="s">
        <v>62</v>
      </c>
    </row>
    <row r="7" spans="1:26" ht="18.75" x14ac:dyDescent="0.3">
      <c r="F7">
        <v>5</v>
      </c>
      <c r="G7" s="356">
        <v>1</v>
      </c>
      <c r="H7" s="357" t="s">
        <v>191</v>
      </c>
      <c r="I7" s="357" t="s">
        <v>2</v>
      </c>
      <c r="K7" s="279">
        <v>5</v>
      </c>
      <c r="L7" s="361">
        <v>299</v>
      </c>
      <c r="M7" s="362" t="s">
        <v>217</v>
      </c>
      <c r="N7" s="363" t="s">
        <v>91</v>
      </c>
      <c r="P7" s="317">
        <v>5</v>
      </c>
      <c r="Q7" s="361">
        <v>91</v>
      </c>
      <c r="R7" s="362" t="s">
        <v>219</v>
      </c>
      <c r="S7" s="363" t="s">
        <v>62</v>
      </c>
      <c r="T7" s="368">
        <f>Q7/L5</f>
        <v>0.28437499999999999</v>
      </c>
      <c r="U7" s="369"/>
      <c r="W7" s="79">
        <v>2</v>
      </c>
      <c r="X7" s="373" t="s">
        <v>399</v>
      </c>
      <c r="Y7" s="374" t="s">
        <v>405</v>
      </c>
      <c r="Z7" s="374" t="s">
        <v>64</v>
      </c>
    </row>
    <row r="8" spans="1:26" s="88" customFormat="1" ht="18.75" x14ac:dyDescent="0.3">
      <c r="F8">
        <v>5</v>
      </c>
      <c r="G8" s="355">
        <v>1</v>
      </c>
      <c r="H8" s="358" t="s">
        <v>201</v>
      </c>
      <c r="I8" s="358" t="s">
        <v>183</v>
      </c>
      <c r="J8"/>
      <c r="K8" s="279">
        <v>5</v>
      </c>
      <c r="L8" s="361">
        <v>292</v>
      </c>
      <c r="M8" s="362" t="s">
        <v>196</v>
      </c>
      <c r="N8" s="363" t="s">
        <v>62</v>
      </c>
      <c r="O8"/>
      <c r="P8" s="317">
        <v>6</v>
      </c>
      <c r="Q8" s="355">
        <v>90</v>
      </c>
      <c r="R8" s="358" t="s">
        <v>394</v>
      </c>
      <c r="S8" s="358" t="s">
        <v>64</v>
      </c>
      <c r="T8" s="360">
        <f>Q8/L18</f>
        <v>0.61643835616438358</v>
      </c>
      <c r="U8" s="358">
        <v>169</v>
      </c>
      <c r="V8"/>
      <c r="W8" s="79">
        <v>2</v>
      </c>
      <c r="X8" s="373" t="s">
        <v>399</v>
      </c>
      <c r="Y8" s="374" t="s">
        <v>413</v>
      </c>
      <c r="Z8" s="375" t="s">
        <v>183</v>
      </c>
    </row>
    <row r="9" spans="1:26" x14ac:dyDescent="0.25">
      <c r="K9" s="279">
        <v>7</v>
      </c>
      <c r="L9" s="361">
        <v>277</v>
      </c>
      <c r="M9" s="362" t="s">
        <v>218</v>
      </c>
      <c r="N9" s="363" t="s">
        <v>63</v>
      </c>
      <c r="P9" s="317">
        <v>7</v>
      </c>
      <c r="Q9" s="365">
        <v>82</v>
      </c>
      <c r="R9" s="362" t="s">
        <v>210</v>
      </c>
      <c r="S9" s="363" t="s">
        <v>183</v>
      </c>
      <c r="T9" s="368">
        <f>Q9/L3</f>
        <v>0.21243523316062177</v>
      </c>
      <c r="U9" s="362"/>
      <c r="W9" s="81">
        <v>7</v>
      </c>
      <c r="X9" s="355" t="s">
        <v>355</v>
      </c>
      <c r="Y9" s="358" t="s">
        <v>391</v>
      </c>
      <c r="Z9" s="358" t="s">
        <v>2</v>
      </c>
    </row>
    <row r="10" spans="1:26" ht="18.75" x14ac:dyDescent="0.3">
      <c r="F10" s="88"/>
      <c r="G10" s="681" t="s">
        <v>188</v>
      </c>
      <c r="H10" s="681"/>
      <c r="J10" s="88"/>
      <c r="K10" s="279">
        <v>8</v>
      </c>
      <c r="L10" s="364">
        <v>276</v>
      </c>
      <c r="M10" s="362" t="s">
        <v>253</v>
      </c>
      <c r="N10" s="362" t="s">
        <v>63</v>
      </c>
      <c r="O10" s="88"/>
      <c r="P10" s="317">
        <v>8</v>
      </c>
      <c r="Q10" s="361">
        <v>81</v>
      </c>
      <c r="R10" s="362" t="s">
        <v>218</v>
      </c>
      <c r="S10" s="363" t="s">
        <v>63</v>
      </c>
      <c r="T10" s="368">
        <f>Q10/L9</f>
        <v>0.29241877256317689</v>
      </c>
      <c r="U10" s="369"/>
      <c r="V10" s="88"/>
      <c r="W10" s="81">
        <v>7</v>
      </c>
      <c r="X10" s="355" t="s">
        <v>355</v>
      </c>
      <c r="Y10" s="358" t="s">
        <v>192</v>
      </c>
      <c r="Z10" s="359" t="s">
        <v>62</v>
      </c>
    </row>
    <row r="11" spans="1:26" x14ac:dyDescent="0.25">
      <c r="F11" s="3">
        <v>1</v>
      </c>
      <c r="G11" s="376">
        <v>214</v>
      </c>
      <c r="H11" s="371" t="s">
        <v>354</v>
      </c>
      <c r="I11" s="371" t="s">
        <v>1</v>
      </c>
      <c r="K11" s="279">
        <v>9</v>
      </c>
      <c r="L11" s="361">
        <v>269</v>
      </c>
      <c r="M11" s="362" t="s">
        <v>200</v>
      </c>
      <c r="N11" s="363" t="s">
        <v>183</v>
      </c>
      <c r="P11" s="317">
        <v>9</v>
      </c>
      <c r="Q11" s="361">
        <v>80</v>
      </c>
      <c r="R11" s="362" t="s">
        <v>211</v>
      </c>
      <c r="S11" s="363" t="s">
        <v>62</v>
      </c>
      <c r="T11" s="368">
        <f>Q11/L12</f>
        <v>0.30303030303030304</v>
      </c>
      <c r="U11" s="362"/>
      <c r="W11" s="81">
        <v>7</v>
      </c>
      <c r="X11" s="361" t="s">
        <v>355</v>
      </c>
      <c r="Y11" s="362" t="s">
        <v>210</v>
      </c>
      <c r="Z11" s="363" t="s">
        <v>183</v>
      </c>
    </row>
    <row r="12" spans="1:26" s="88" customFormat="1" ht="18.75" x14ac:dyDescent="0.3">
      <c r="F12" s="3">
        <v>2</v>
      </c>
      <c r="G12" s="373">
        <v>88</v>
      </c>
      <c r="H12" s="374" t="s">
        <v>87</v>
      </c>
      <c r="I12" s="375" t="s">
        <v>1</v>
      </c>
      <c r="J12"/>
      <c r="K12" s="279">
        <v>10</v>
      </c>
      <c r="L12" s="361">
        <v>264</v>
      </c>
      <c r="M12" s="362" t="s">
        <v>211</v>
      </c>
      <c r="N12" s="363" t="s">
        <v>62</v>
      </c>
      <c r="O12"/>
      <c r="P12" s="317">
        <v>10</v>
      </c>
      <c r="Q12" s="365">
        <v>67</v>
      </c>
      <c r="R12" s="362" t="s">
        <v>200</v>
      </c>
      <c r="S12" s="363" t="s">
        <v>183</v>
      </c>
      <c r="T12" s="368">
        <f>Q12/L11</f>
        <v>0.24907063197026022</v>
      </c>
      <c r="U12" s="362"/>
      <c r="V12"/>
      <c r="W12" s="81">
        <v>10</v>
      </c>
      <c r="X12" s="361" t="s">
        <v>407</v>
      </c>
      <c r="Y12" s="362" t="s">
        <v>253</v>
      </c>
      <c r="Z12" s="363" t="s">
        <v>63</v>
      </c>
    </row>
    <row r="13" spans="1:26" x14ac:dyDescent="0.25">
      <c r="F13" s="3">
        <v>3</v>
      </c>
      <c r="G13" s="377">
        <v>80</v>
      </c>
      <c r="H13" s="371" t="s">
        <v>210</v>
      </c>
      <c r="I13" s="372" t="s">
        <v>183</v>
      </c>
      <c r="K13" s="279">
        <v>11</v>
      </c>
      <c r="L13" s="364">
        <v>234</v>
      </c>
      <c r="M13" s="362" t="s">
        <v>354</v>
      </c>
      <c r="N13" s="362" t="s">
        <v>1</v>
      </c>
      <c r="P13" s="317">
        <v>11</v>
      </c>
      <c r="Q13" s="365">
        <v>60</v>
      </c>
      <c r="R13" s="362" t="s">
        <v>196</v>
      </c>
      <c r="S13" s="362" t="s">
        <v>62</v>
      </c>
      <c r="T13" s="368">
        <f>Q13/L8</f>
        <v>0.20547945205479451</v>
      </c>
      <c r="U13" s="362"/>
      <c r="W13" s="81">
        <v>10</v>
      </c>
      <c r="X13" s="361" t="s">
        <v>407</v>
      </c>
      <c r="Y13" s="362" t="s">
        <v>218</v>
      </c>
      <c r="Z13" s="363" t="s">
        <v>63</v>
      </c>
    </row>
    <row r="14" spans="1:26" x14ac:dyDescent="0.25">
      <c r="F14">
        <v>4</v>
      </c>
      <c r="G14" s="355">
        <v>21</v>
      </c>
      <c r="H14" s="358" t="s">
        <v>82</v>
      </c>
      <c r="I14" s="358" t="s">
        <v>63</v>
      </c>
      <c r="K14" s="279">
        <v>12</v>
      </c>
      <c r="L14" s="355">
        <v>202</v>
      </c>
      <c r="M14" s="358" t="s">
        <v>191</v>
      </c>
      <c r="N14" s="359" t="s">
        <v>183</v>
      </c>
      <c r="P14" s="317">
        <v>12</v>
      </c>
      <c r="Q14" s="361">
        <v>59</v>
      </c>
      <c r="R14" s="362" t="s">
        <v>255</v>
      </c>
      <c r="S14" s="363" t="s">
        <v>91</v>
      </c>
      <c r="T14" s="368">
        <f>Q14/L19</f>
        <v>0.47967479674796748</v>
      </c>
      <c r="U14" s="362"/>
      <c r="W14" s="81">
        <v>12</v>
      </c>
      <c r="X14" s="361" t="s">
        <v>374</v>
      </c>
      <c r="Y14" s="362" t="s">
        <v>211</v>
      </c>
      <c r="Z14" s="363" t="s">
        <v>62</v>
      </c>
    </row>
    <row r="15" spans="1:26" x14ac:dyDescent="0.25">
      <c r="F15">
        <v>5</v>
      </c>
      <c r="G15" s="355">
        <v>8</v>
      </c>
      <c r="H15" s="358" t="s">
        <v>192</v>
      </c>
      <c r="I15" s="359" t="s">
        <v>62</v>
      </c>
      <c r="K15" s="279">
        <v>13</v>
      </c>
      <c r="L15" s="365">
        <v>199</v>
      </c>
      <c r="M15" s="362" t="s">
        <v>89</v>
      </c>
      <c r="N15" s="363" t="s">
        <v>1</v>
      </c>
      <c r="P15" s="317">
        <v>13</v>
      </c>
      <c r="Q15" s="355">
        <v>53</v>
      </c>
      <c r="R15" s="358" t="s">
        <v>191</v>
      </c>
      <c r="S15" s="358" t="s">
        <v>2</v>
      </c>
      <c r="T15" s="360">
        <f>Q15/L14</f>
        <v>0.26237623762376239</v>
      </c>
      <c r="U15" s="358"/>
      <c r="W15" s="81">
        <v>12</v>
      </c>
      <c r="X15" s="361" t="s">
        <v>374</v>
      </c>
      <c r="Y15" s="362" t="s">
        <v>196</v>
      </c>
      <c r="Z15" s="363" t="s">
        <v>62</v>
      </c>
    </row>
    <row r="16" spans="1:26" x14ac:dyDescent="0.25">
      <c r="F16">
        <v>6</v>
      </c>
      <c r="G16" s="355">
        <v>6</v>
      </c>
      <c r="H16" s="358" t="s">
        <v>84</v>
      </c>
      <c r="I16" s="359" t="s">
        <v>62</v>
      </c>
      <c r="K16" s="279">
        <v>14</v>
      </c>
      <c r="L16" s="355">
        <v>172</v>
      </c>
      <c r="M16" s="358" t="s">
        <v>391</v>
      </c>
      <c r="N16" s="358" t="s">
        <v>2</v>
      </c>
      <c r="P16" s="317">
        <v>14</v>
      </c>
      <c r="Q16" s="355">
        <v>33</v>
      </c>
      <c r="R16" s="358" t="s">
        <v>391</v>
      </c>
      <c r="S16" s="358" t="s">
        <v>2</v>
      </c>
      <c r="T16" s="360">
        <f>Q16/L18</f>
        <v>0.22602739726027396</v>
      </c>
      <c r="U16" s="358">
        <v>79</v>
      </c>
      <c r="W16" s="81">
        <v>12</v>
      </c>
      <c r="X16" s="361" t="s">
        <v>374</v>
      </c>
      <c r="Y16" s="362" t="s">
        <v>217</v>
      </c>
      <c r="Z16" s="363" t="s">
        <v>91</v>
      </c>
    </row>
    <row r="17" spans="6:26" x14ac:dyDescent="0.25">
      <c r="F17">
        <v>7</v>
      </c>
      <c r="G17" s="355">
        <v>5</v>
      </c>
      <c r="H17" s="358" t="s">
        <v>83</v>
      </c>
      <c r="I17" s="359" t="s">
        <v>62</v>
      </c>
      <c r="K17" s="279">
        <v>15</v>
      </c>
      <c r="L17" s="355">
        <v>146</v>
      </c>
      <c r="M17" s="358" t="s">
        <v>87</v>
      </c>
      <c r="N17" s="359" t="s">
        <v>1</v>
      </c>
      <c r="P17" s="317">
        <v>15</v>
      </c>
      <c r="Q17" s="355">
        <v>32</v>
      </c>
      <c r="R17" s="358" t="s">
        <v>405</v>
      </c>
      <c r="S17" s="358" t="s">
        <v>64</v>
      </c>
      <c r="T17" s="360">
        <f>Q17/L21</f>
        <v>0.33333333333333331</v>
      </c>
      <c r="U17" s="358">
        <v>89</v>
      </c>
      <c r="W17" s="81">
        <v>15</v>
      </c>
      <c r="X17" s="361" t="s">
        <v>335</v>
      </c>
      <c r="Y17" s="362" t="s">
        <v>255</v>
      </c>
      <c r="Z17" s="363" t="s">
        <v>91</v>
      </c>
    </row>
    <row r="18" spans="6:26" x14ac:dyDescent="0.25">
      <c r="F18">
        <v>8</v>
      </c>
      <c r="G18" s="355">
        <v>4</v>
      </c>
      <c r="H18" s="358" t="s">
        <v>167</v>
      </c>
      <c r="I18" s="359" t="s">
        <v>91</v>
      </c>
      <c r="K18" s="279">
        <v>15</v>
      </c>
      <c r="L18" s="355">
        <v>146</v>
      </c>
      <c r="M18" s="358" t="s">
        <v>394</v>
      </c>
      <c r="N18" s="358" t="s">
        <v>64</v>
      </c>
      <c r="P18" s="317">
        <v>16</v>
      </c>
      <c r="Q18" s="361">
        <v>27</v>
      </c>
      <c r="R18" s="362" t="s">
        <v>230</v>
      </c>
      <c r="S18" s="362" t="s">
        <v>62</v>
      </c>
      <c r="T18" s="368">
        <f>Q18/L20</f>
        <v>0.24770642201834864</v>
      </c>
      <c r="U18" s="362"/>
      <c r="W18" s="81">
        <v>16</v>
      </c>
      <c r="X18" s="361" t="s">
        <v>400</v>
      </c>
      <c r="Y18" s="362" t="s">
        <v>200</v>
      </c>
      <c r="Z18" s="363" t="s">
        <v>183</v>
      </c>
    </row>
    <row r="19" spans="6:26" x14ac:dyDescent="0.25">
      <c r="F19">
        <v>9</v>
      </c>
      <c r="G19" s="361">
        <v>2</v>
      </c>
      <c r="H19" s="362" t="s">
        <v>89</v>
      </c>
      <c r="I19" s="363" t="s">
        <v>1</v>
      </c>
      <c r="K19" s="279">
        <v>17</v>
      </c>
      <c r="L19" s="364">
        <v>123</v>
      </c>
      <c r="M19" s="366" t="s">
        <v>294</v>
      </c>
      <c r="N19" s="367" t="s">
        <v>91</v>
      </c>
      <c r="P19" s="317">
        <v>17</v>
      </c>
      <c r="Q19" s="361">
        <v>23</v>
      </c>
      <c r="R19" s="362" t="s">
        <v>295</v>
      </c>
      <c r="S19" s="362" t="s">
        <v>2</v>
      </c>
      <c r="T19" s="368">
        <f>Q19/L23</f>
        <v>0.26436781609195403</v>
      </c>
      <c r="U19" s="362"/>
      <c r="W19" s="81">
        <v>17</v>
      </c>
      <c r="X19" s="361" t="s">
        <v>261</v>
      </c>
      <c r="Y19" s="362" t="s">
        <v>89</v>
      </c>
      <c r="Z19" s="363" t="s">
        <v>1</v>
      </c>
    </row>
    <row r="20" spans="6:26" x14ac:dyDescent="0.25">
      <c r="F20">
        <v>10</v>
      </c>
      <c r="G20" s="355">
        <v>1</v>
      </c>
      <c r="H20" s="358" t="s">
        <v>88</v>
      </c>
      <c r="I20" s="359" t="s">
        <v>91</v>
      </c>
      <c r="K20" s="279">
        <v>18</v>
      </c>
      <c r="L20" s="364">
        <v>109</v>
      </c>
      <c r="M20" s="362" t="s">
        <v>230</v>
      </c>
      <c r="N20" s="362" t="s">
        <v>62</v>
      </c>
      <c r="P20" s="317">
        <v>18</v>
      </c>
      <c r="Q20" s="355">
        <v>19</v>
      </c>
      <c r="R20" s="358" t="s">
        <v>88</v>
      </c>
      <c r="S20" s="359" t="s">
        <v>193</v>
      </c>
      <c r="T20" s="360"/>
      <c r="U20" s="358"/>
      <c r="W20" s="81">
        <v>17</v>
      </c>
      <c r="X20" s="355" t="s">
        <v>261</v>
      </c>
      <c r="Y20" s="358" t="s">
        <v>87</v>
      </c>
      <c r="Z20" s="359" t="s">
        <v>1</v>
      </c>
    </row>
    <row r="21" spans="6:26" x14ac:dyDescent="0.25">
      <c r="F21">
        <v>10</v>
      </c>
      <c r="G21" s="355">
        <v>1</v>
      </c>
      <c r="H21" s="358" t="s">
        <v>191</v>
      </c>
      <c r="I21" s="358" t="s">
        <v>2</v>
      </c>
      <c r="K21" s="279">
        <v>19</v>
      </c>
      <c r="L21" s="355">
        <v>96</v>
      </c>
      <c r="M21" s="358" t="s">
        <v>405</v>
      </c>
      <c r="N21" s="358" t="s">
        <v>64</v>
      </c>
      <c r="P21" s="317">
        <v>19</v>
      </c>
      <c r="Q21" s="355">
        <v>15</v>
      </c>
      <c r="R21" s="358" t="s">
        <v>83</v>
      </c>
      <c r="S21" s="359" t="s">
        <v>62</v>
      </c>
      <c r="T21" s="360"/>
      <c r="U21" s="358"/>
      <c r="W21" s="81">
        <v>17</v>
      </c>
      <c r="X21" s="361" t="s">
        <v>261</v>
      </c>
      <c r="Y21" s="362" t="s">
        <v>230</v>
      </c>
      <c r="Z21" s="362" t="s">
        <v>62</v>
      </c>
    </row>
    <row r="22" spans="6:26" x14ac:dyDescent="0.25">
      <c r="F22">
        <v>10</v>
      </c>
      <c r="G22" s="355">
        <v>1</v>
      </c>
      <c r="H22" s="358" t="s">
        <v>413</v>
      </c>
      <c r="I22" s="359" t="s">
        <v>2</v>
      </c>
      <c r="K22" s="279">
        <v>20</v>
      </c>
      <c r="L22" s="355">
        <v>89</v>
      </c>
      <c r="M22" s="358" t="s">
        <v>201</v>
      </c>
      <c r="N22" s="359" t="s">
        <v>183</v>
      </c>
      <c r="P22" s="317">
        <v>20</v>
      </c>
      <c r="Q22" s="355">
        <v>12</v>
      </c>
      <c r="R22" s="358" t="s">
        <v>248</v>
      </c>
      <c r="S22" s="359" t="s">
        <v>91</v>
      </c>
      <c r="T22" s="360"/>
      <c r="U22" s="358"/>
      <c r="W22" s="81">
        <v>20</v>
      </c>
      <c r="X22" s="355" t="s">
        <v>197</v>
      </c>
      <c r="Y22" s="358" t="s">
        <v>167</v>
      </c>
      <c r="Z22" s="359" t="s">
        <v>91</v>
      </c>
    </row>
    <row r="23" spans="6:26" x14ac:dyDescent="0.25">
      <c r="G23" s="305">
        <f>SUM(G11:G22)</f>
        <v>431</v>
      </c>
      <c r="K23" s="279">
        <v>21</v>
      </c>
      <c r="L23" s="361">
        <v>87</v>
      </c>
      <c r="M23" s="362" t="s">
        <v>295</v>
      </c>
      <c r="N23" s="362" t="s">
        <v>183</v>
      </c>
      <c r="P23" s="317">
        <v>21</v>
      </c>
      <c r="Q23" s="365">
        <v>11</v>
      </c>
      <c r="R23" s="362" t="s">
        <v>89</v>
      </c>
      <c r="S23" s="363" t="s">
        <v>1</v>
      </c>
      <c r="T23" s="368">
        <f>Q23/L15</f>
        <v>5.5276381909547742E-2</v>
      </c>
      <c r="U23" s="362"/>
      <c r="W23" s="81">
        <v>20</v>
      </c>
      <c r="X23" s="361" t="s">
        <v>197</v>
      </c>
      <c r="Y23" s="362" t="s">
        <v>191</v>
      </c>
      <c r="Z23" s="363" t="s">
        <v>2</v>
      </c>
    </row>
    <row r="24" spans="6:26" x14ac:dyDescent="0.25">
      <c r="K24" s="279">
        <v>22</v>
      </c>
      <c r="L24" s="355">
        <v>55</v>
      </c>
      <c r="M24" s="358" t="s">
        <v>88</v>
      </c>
      <c r="N24" s="359" t="s">
        <v>91</v>
      </c>
      <c r="P24" s="317">
        <v>22</v>
      </c>
      <c r="Q24" s="355">
        <v>10</v>
      </c>
      <c r="R24" s="358" t="s">
        <v>201</v>
      </c>
      <c r="S24" s="359" t="s">
        <v>183</v>
      </c>
      <c r="T24" s="360"/>
      <c r="U24" s="358"/>
      <c r="W24" s="81">
        <v>20</v>
      </c>
      <c r="X24" s="361" t="s">
        <v>197</v>
      </c>
      <c r="Y24" s="362" t="s">
        <v>295</v>
      </c>
      <c r="Z24" s="362" t="s">
        <v>183</v>
      </c>
    </row>
    <row r="25" spans="6:26" x14ac:dyDescent="0.25">
      <c r="P25" s="317">
        <v>22</v>
      </c>
      <c r="Q25" s="355">
        <v>10</v>
      </c>
      <c r="R25" s="358" t="s">
        <v>254</v>
      </c>
      <c r="S25" s="359" t="s">
        <v>91</v>
      </c>
      <c r="T25" s="360"/>
      <c r="U25" s="358"/>
      <c r="W25" s="81">
        <v>23</v>
      </c>
      <c r="X25" s="355" t="s">
        <v>393</v>
      </c>
      <c r="Y25" s="358" t="s">
        <v>356</v>
      </c>
      <c r="Z25" s="358" t="s">
        <v>64</v>
      </c>
    </row>
    <row r="26" spans="6:26" x14ac:dyDescent="0.25">
      <c r="P26" s="317">
        <v>24</v>
      </c>
      <c r="Q26" s="355">
        <v>9</v>
      </c>
      <c r="R26" s="358" t="s">
        <v>203</v>
      </c>
      <c r="S26" s="358" t="s">
        <v>91</v>
      </c>
      <c r="T26" s="360"/>
      <c r="U26" s="358"/>
      <c r="W26" s="81">
        <v>24</v>
      </c>
      <c r="X26" s="355" t="s">
        <v>229</v>
      </c>
      <c r="Y26" s="358" t="s">
        <v>254</v>
      </c>
      <c r="Z26" s="359" t="s">
        <v>91</v>
      </c>
    </row>
    <row r="27" spans="6:26" x14ac:dyDescent="0.25">
      <c r="P27" s="317">
        <v>24</v>
      </c>
      <c r="Q27" s="355">
        <v>9</v>
      </c>
      <c r="R27" s="358" t="s">
        <v>202</v>
      </c>
      <c r="S27" s="358" t="s">
        <v>91</v>
      </c>
      <c r="T27" s="360"/>
      <c r="U27" s="358"/>
      <c r="W27" s="81">
        <v>24</v>
      </c>
      <c r="X27" s="355" t="s">
        <v>229</v>
      </c>
      <c r="Y27" s="358" t="s">
        <v>248</v>
      </c>
      <c r="Z27" s="358" t="s">
        <v>91</v>
      </c>
    </row>
    <row r="28" spans="6:26" x14ac:dyDescent="0.25">
      <c r="P28" s="317">
        <v>26</v>
      </c>
      <c r="Q28" s="355">
        <v>8</v>
      </c>
      <c r="R28" s="358" t="s">
        <v>85</v>
      </c>
      <c r="S28" s="358" t="s">
        <v>183</v>
      </c>
      <c r="T28" s="360"/>
      <c r="U28" s="358"/>
      <c r="W28" s="81"/>
    </row>
    <row r="29" spans="6:26" x14ac:dyDescent="0.25">
      <c r="P29" s="317">
        <v>27</v>
      </c>
      <c r="Q29" s="355">
        <v>6</v>
      </c>
      <c r="R29" s="358" t="s">
        <v>87</v>
      </c>
      <c r="S29" s="359" t="s">
        <v>1</v>
      </c>
      <c r="T29" s="360"/>
      <c r="U29" s="358"/>
    </row>
    <row r="30" spans="6:26" x14ac:dyDescent="0.25">
      <c r="P30" s="317">
        <v>28</v>
      </c>
      <c r="Q30" s="355">
        <v>3</v>
      </c>
      <c r="R30" s="358" t="s">
        <v>356</v>
      </c>
      <c r="S30" s="358" t="s">
        <v>64</v>
      </c>
      <c r="T30" s="360"/>
      <c r="U30" s="358"/>
    </row>
    <row r="31" spans="6:26" x14ac:dyDescent="0.25">
      <c r="P31" s="317">
        <v>28</v>
      </c>
      <c r="Q31" s="355">
        <v>3</v>
      </c>
      <c r="R31" s="358" t="s">
        <v>297</v>
      </c>
      <c r="S31" s="358" t="s">
        <v>62</v>
      </c>
      <c r="T31" s="360"/>
      <c r="U31" s="358"/>
    </row>
    <row r="32" spans="6:26" x14ac:dyDescent="0.25">
      <c r="P32" s="317">
        <v>28</v>
      </c>
      <c r="Q32" s="355">
        <v>3</v>
      </c>
      <c r="R32" s="358" t="s">
        <v>413</v>
      </c>
      <c r="S32" s="358" t="s">
        <v>183</v>
      </c>
      <c r="T32" s="360"/>
      <c r="U32" s="358">
        <v>49</v>
      </c>
    </row>
    <row r="33" spans="1:21" x14ac:dyDescent="0.25">
      <c r="P33" s="321">
        <v>31</v>
      </c>
      <c r="Q33" s="364">
        <v>2</v>
      </c>
      <c r="R33" s="362" t="s">
        <v>354</v>
      </c>
      <c r="S33" s="366" t="s">
        <v>1</v>
      </c>
      <c r="T33" s="368">
        <f>Q33/L13</f>
        <v>8.5470085470085479E-3</v>
      </c>
      <c r="U33" s="366">
        <v>3</v>
      </c>
    </row>
    <row r="34" spans="1:21" x14ac:dyDescent="0.25">
      <c r="G34" s="321"/>
      <c r="Q34" s="306">
        <f>SUM(Q3:Q33)</f>
        <v>1505</v>
      </c>
    </row>
    <row r="35" spans="1:21" x14ac:dyDescent="0.25">
      <c r="A35" s="113"/>
      <c r="B35" s="111"/>
      <c r="C35" s="112"/>
    </row>
    <row r="36" spans="1:21" x14ac:dyDescent="0.25">
      <c r="A36" s="113"/>
      <c r="B36" s="111"/>
      <c r="C36" s="112"/>
    </row>
    <row r="37" spans="1:21" x14ac:dyDescent="0.25">
      <c r="A37" s="113"/>
      <c r="B37" s="111"/>
      <c r="C37" s="112"/>
    </row>
    <row r="38" spans="1:21" x14ac:dyDescent="0.25">
      <c r="A38" s="113"/>
      <c r="B38" s="111"/>
      <c r="C38" s="111"/>
    </row>
    <row r="39" spans="1:21" x14ac:dyDescent="0.25">
      <c r="A39" s="302"/>
    </row>
  </sheetData>
  <mergeCells count="5">
    <mergeCell ref="G10:H10"/>
    <mergeCell ref="G2:H2"/>
    <mergeCell ref="Q2:R2"/>
    <mergeCell ref="X2:Y2"/>
    <mergeCell ref="L2:N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7"/>
  <sheetViews>
    <sheetView zoomScale="80" zoomScaleNormal="80" workbookViewId="0">
      <selection activeCell="G9" sqref="G9:G13"/>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682" t="s">
        <v>11</v>
      </c>
      <c r="E2" s="682"/>
      <c r="F2" s="683" t="s">
        <v>12</v>
      </c>
      <c r="G2" s="683"/>
      <c r="H2" s="684" t="s">
        <v>13</v>
      </c>
      <c r="I2" s="684"/>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44">
        <f>B18/B17</f>
        <v>0.5760921747479596</v>
      </c>
      <c r="C37" s="144">
        <f t="shared" ref="C37:P37" si="14">C18/C17</f>
        <v>0.57609217474795971</v>
      </c>
      <c r="D37" s="144">
        <f t="shared" si="14"/>
        <v>0.5760921747479596</v>
      </c>
      <c r="E37" s="144">
        <f t="shared" si="14"/>
        <v>0.57609217474795971</v>
      </c>
      <c r="F37" s="144">
        <f t="shared" si="14"/>
        <v>0.57609217474795971</v>
      </c>
      <c r="G37" s="144">
        <f t="shared" si="14"/>
        <v>0.57609217474795971</v>
      </c>
      <c r="H37" s="144">
        <f t="shared" si="14"/>
        <v>0.57609217474795982</v>
      </c>
      <c r="I37" s="144">
        <f t="shared" si="14"/>
        <v>0.5760921747479596</v>
      </c>
      <c r="J37" s="144">
        <f t="shared" si="14"/>
        <v>0.57609217474795971</v>
      </c>
      <c r="K37" s="144">
        <f t="shared" si="14"/>
        <v>0.5760921747479596</v>
      </c>
      <c r="L37" s="144">
        <f t="shared" si="14"/>
        <v>0.57609217474795971</v>
      </c>
      <c r="M37" s="144">
        <f t="shared" si="14"/>
        <v>0.57609217474795971</v>
      </c>
      <c r="N37" s="144">
        <f t="shared" si="14"/>
        <v>0.57609217474795971</v>
      </c>
      <c r="O37" s="144">
        <f t="shared" si="14"/>
        <v>0.57609217474795971</v>
      </c>
      <c r="P37" s="144">
        <f t="shared" si="14"/>
        <v>0.5760921747479596</v>
      </c>
    </row>
    <row r="38" spans="1:30" x14ac:dyDescent="0.25">
      <c r="B38" s="144">
        <f>B19/B17</f>
        <v>0.21747479596735478</v>
      </c>
      <c r="C38" s="144">
        <f t="shared" ref="C38:P38" si="15">C19/C17</f>
        <v>0.21747479596735481</v>
      </c>
      <c r="D38" s="144">
        <f t="shared" si="15"/>
        <v>0.21747479596735475</v>
      </c>
      <c r="E38" s="144">
        <f t="shared" si="15"/>
        <v>0.21747479596735481</v>
      </c>
      <c r="F38" s="144">
        <f t="shared" si="15"/>
        <v>0.21747479596735478</v>
      </c>
      <c r="G38" s="144">
        <f t="shared" si="15"/>
        <v>0.21747479596735478</v>
      </c>
      <c r="H38" s="144">
        <f t="shared" si="15"/>
        <v>0.21747479596735483</v>
      </c>
      <c r="I38" s="144">
        <f t="shared" si="15"/>
        <v>0.21747479596735475</v>
      </c>
      <c r="J38" s="144">
        <f t="shared" si="15"/>
        <v>0.21747479596735481</v>
      </c>
      <c r="K38" s="144">
        <f t="shared" si="15"/>
        <v>0.21747479596735478</v>
      </c>
      <c r="L38" s="144">
        <f t="shared" si="15"/>
        <v>0.21747479596735481</v>
      </c>
      <c r="M38" s="144">
        <f t="shared" si="15"/>
        <v>0.21747479596735481</v>
      </c>
      <c r="N38" s="144">
        <f t="shared" si="15"/>
        <v>0.21747479596735481</v>
      </c>
      <c r="O38" s="144">
        <f t="shared" si="15"/>
        <v>0.21747479596735478</v>
      </c>
      <c r="P38" s="144">
        <f t="shared" si="15"/>
        <v>0.21747479596735478</v>
      </c>
    </row>
    <row r="39" spans="1:30" x14ac:dyDescent="0.25">
      <c r="B39" s="144">
        <f>B20/B17</f>
        <v>0.18434949591934707</v>
      </c>
      <c r="C39" s="144">
        <f t="shared" ref="C39:P39" si="16">C20/C17</f>
        <v>0.1843494959193471</v>
      </c>
      <c r="D39" s="144">
        <f t="shared" si="16"/>
        <v>0.18434949591934707</v>
      </c>
      <c r="E39" s="144">
        <f t="shared" si="16"/>
        <v>0.1843494959193471</v>
      </c>
      <c r="F39" s="144">
        <f t="shared" si="16"/>
        <v>0.1843494959193471</v>
      </c>
      <c r="G39" s="144">
        <f t="shared" si="16"/>
        <v>0.1843494959193471</v>
      </c>
      <c r="H39" s="144">
        <f t="shared" si="16"/>
        <v>0.18434949591934713</v>
      </c>
      <c r="I39" s="144">
        <f t="shared" si="16"/>
        <v>0.18434949591934707</v>
      </c>
      <c r="J39" s="144">
        <f t="shared" si="16"/>
        <v>0.1843494959193471</v>
      </c>
      <c r="K39" s="144">
        <f t="shared" si="16"/>
        <v>0.18434949591934705</v>
      </c>
      <c r="L39" s="144">
        <f t="shared" si="16"/>
        <v>0.1843494959193471</v>
      </c>
      <c r="M39" s="144">
        <f t="shared" si="16"/>
        <v>0.1843494959193471</v>
      </c>
      <c r="N39" s="144">
        <f t="shared" si="16"/>
        <v>0.1843494959193471</v>
      </c>
      <c r="O39" s="144">
        <f t="shared" si="16"/>
        <v>0.18434949591934707</v>
      </c>
      <c r="P39" s="144">
        <f t="shared" si="16"/>
        <v>0.18434949591934707</v>
      </c>
    </row>
    <row r="40" spans="1:30" x14ac:dyDescent="0.25">
      <c r="B40" s="144">
        <f>B21/B17</f>
        <v>2.2083533365338453E-2</v>
      </c>
      <c r="C40" s="144">
        <f t="shared" ref="C40:P40" si="17">C21/C17</f>
        <v>2.2083533365338456E-2</v>
      </c>
      <c r="D40" s="144">
        <f t="shared" si="17"/>
        <v>2.2083533365338453E-2</v>
      </c>
      <c r="E40" s="144">
        <f t="shared" si="17"/>
        <v>2.2083533365338453E-2</v>
      </c>
      <c r="F40" s="144">
        <f t="shared" si="17"/>
        <v>2.2083533365338453E-2</v>
      </c>
      <c r="G40" s="144">
        <f t="shared" si="17"/>
        <v>2.2083533365338453E-2</v>
      </c>
      <c r="H40" s="144">
        <f t="shared" si="17"/>
        <v>2.208353336533846E-2</v>
      </c>
      <c r="I40" s="144">
        <f t="shared" si="17"/>
        <v>2.2083533365338453E-2</v>
      </c>
      <c r="J40" s="144">
        <f t="shared" si="17"/>
        <v>2.208353336533846E-2</v>
      </c>
      <c r="K40" s="144">
        <f t="shared" si="17"/>
        <v>2.2083533365338449E-2</v>
      </c>
      <c r="L40" s="144">
        <f t="shared" si="17"/>
        <v>2.2083533365338456E-2</v>
      </c>
      <c r="M40" s="144">
        <f t="shared" si="17"/>
        <v>2.2083533365338456E-2</v>
      </c>
      <c r="N40" s="144">
        <f t="shared" si="17"/>
        <v>2.2083533365338456E-2</v>
      </c>
      <c r="O40" s="144">
        <f t="shared" si="17"/>
        <v>2.2083533365338456E-2</v>
      </c>
      <c r="P40" s="144">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3"/>
  <sheetViews>
    <sheetView workbookViewId="0">
      <selection activeCell="F35" sqref="F35"/>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255.7109375" bestFit="1" customWidth="1"/>
    <col min="64" max="64" width="255.7109375" bestFit="1" customWidth="1"/>
  </cols>
  <sheetData>
    <row r="1" spans="1:56" ht="18.75" x14ac:dyDescent="0.3">
      <c r="A1" s="640" t="s">
        <v>458</v>
      </c>
      <c r="B1" s="640"/>
      <c r="C1" s="640"/>
      <c r="D1" s="640"/>
      <c r="E1" s="640"/>
      <c r="F1" s="383"/>
      <c r="G1" s="383"/>
      <c r="H1" s="383"/>
      <c r="I1" s="383"/>
      <c r="J1" s="383"/>
      <c r="K1" s="383"/>
      <c r="L1" s="383"/>
      <c r="M1" s="383"/>
      <c r="N1" s="383"/>
      <c r="O1" s="383"/>
      <c r="P1" s="383"/>
      <c r="Q1" s="383"/>
      <c r="R1" s="383"/>
      <c r="S1" s="383"/>
      <c r="T1" s="383"/>
      <c r="U1" s="382"/>
      <c r="V1" s="382"/>
      <c r="W1" s="382"/>
      <c r="X1" s="382"/>
      <c r="Y1" s="382"/>
      <c r="Z1" s="382"/>
      <c r="AA1" s="382"/>
      <c r="AB1" s="382"/>
      <c r="AC1" s="382"/>
      <c r="AD1" s="382"/>
      <c r="AE1" s="382"/>
      <c r="AF1" s="382"/>
      <c r="AG1" s="382"/>
      <c r="AH1" s="384"/>
      <c r="AI1" s="385"/>
      <c r="AK1" s="643" t="s">
        <v>618</v>
      </c>
      <c r="AL1" s="643"/>
      <c r="AM1" s="643"/>
      <c r="AN1" s="643"/>
      <c r="AO1" s="436"/>
      <c r="AP1" s="436"/>
      <c r="AQ1" s="436"/>
      <c r="AR1" s="436"/>
      <c r="AS1" s="436"/>
      <c r="AT1" s="436"/>
      <c r="AU1" s="436"/>
      <c r="AV1" s="436"/>
      <c r="AW1" s="436"/>
      <c r="AX1" s="436"/>
      <c r="AY1" s="436"/>
      <c r="AZ1" s="436"/>
      <c r="BA1" s="436"/>
      <c r="BB1" s="436"/>
      <c r="BC1" s="436"/>
      <c r="BD1" s="450" t="s">
        <v>601</v>
      </c>
    </row>
    <row r="2" spans="1:56" x14ac:dyDescent="0.25">
      <c r="A2" s="386" t="s">
        <v>71</v>
      </c>
      <c r="B2" s="386" t="s">
        <v>459</v>
      </c>
      <c r="C2" s="386" t="s">
        <v>61</v>
      </c>
      <c r="D2" s="387" t="s">
        <v>460</v>
      </c>
      <c r="E2" s="386" t="s">
        <v>461</v>
      </c>
      <c r="F2" s="386" t="s">
        <v>336</v>
      </c>
      <c r="G2" s="386" t="s">
        <v>1</v>
      </c>
      <c r="H2" s="386" t="s">
        <v>462</v>
      </c>
      <c r="I2" s="388" t="s">
        <v>2</v>
      </c>
      <c r="J2" s="388" t="s">
        <v>462</v>
      </c>
      <c r="K2" s="386" t="s">
        <v>326</v>
      </c>
      <c r="L2" s="386" t="s">
        <v>462</v>
      </c>
      <c r="M2" s="388" t="s">
        <v>260</v>
      </c>
      <c r="N2" s="388" t="s">
        <v>462</v>
      </c>
      <c r="O2" s="386" t="s">
        <v>262</v>
      </c>
      <c r="P2" s="386" t="s">
        <v>462</v>
      </c>
      <c r="Q2" s="388" t="s">
        <v>327</v>
      </c>
      <c r="R2" s="388" t="s">
        <v>462</v>
      </c>
      <c r="S2" s="386" t="s">
        <v>0</v>
      </c>
      <c r="T2" s="386" t="s">
        <v>462</v>
      </c>
      <c r="U2" s="387" t="s">
        <v>463</v>
      </c>
      <c r="V2" s="387" t="s">
        <v>75</v>
      </c>
      <c r="W2" s="387" t="s">
        <v>67</v>
      </c>
      <c r="X2" s="387" t="s">
        <v>464</v>
      </c>
      <c r="Y2" s="387" t="s">
        <v>0</v>
      </c>
      <c r="Z2" s="387" t="s">
        <v>465</v>
      </c>
      <c r="AA2" s="387" t="s">
        <v>1</v>
      </c>
      <c r="AB2" s="387" t="s">
        <v>2</v>
      </c>
      <c r="AC2" s="387" t="s">
        <v>326</v>
      </c>
      <c r="AD2" s="387" t="s">
        <v>260</v>
      </c>
      <c r="AE2" s="387" t="s">
        <v>262</v>
      </c>
      <c r="AF2" s="387" t="s">
        <v>327</v>
      </c>
      <c r="AG2" s="387" t="s">
        <v>0</v>
      </c>
      <c r="AH2" s="389" t="s">
        <v>466</v>
      </c>
      <c r="AI2" s="390"/>
      <c r="BD2" s="451" t="s">
        <v>602</v>
      </c>
    </row>
    <row r="3" spans="1:56" x14ac:dyDescent="0.25">
      <c r="A3" s="644" t="s">
        <v>467</v>
      </c>
      <c r="B3" s="644"/>
      <c r="C3" s="644"/>
      <c r="D3" s="644"/>
      <c r="E3" s="644"/>
      <c r="F3" s="393"/>
      <c r="G3" s="393"/>
      <c r="H3" s="393"/>
      <c r="I3" s="393"/>
      <c r="J3" s="393"/>
      <c r="K3" s="393"/>
      <c r="L3" s="393"/>
      <c r="M3" s="393"/>
      <c r="N3" s="393"/>
      <c r="O3" s="393"/>
      <c r="P3" s="393"/>
      <c r="Q3" s="393"/>
      <c r="R3" s="393"/>
      <c r="S3" s="393"/>
      <c r="T3" s="393"/>
      <c r="U3" s="392"/>
      <c r="V3" s="392"/>
      <c r="W3" s="392"/>
      <c r="X3" s="392"/>
      <c r="Y3" s="392"/>
      <c r="Z3" s="392"/>
      <c r="AA3" s="392"/>
      <c r="AB3" s="392"/>
      <c r="AC3" s="392"/>
      <c r="AD3" s="392"/>
      <c r="AE3" s="392"/>
      <c r="AF3" s="392"/>
      <c r="AG3" s="392"/>
      <c r="AH3" s="394"/>
      <c r="AI3" s="385"/>
      <c r="AK3" s="641" t="s">
        <v>468</v>
      </c>
      <c r="AL3" s="641"/>
      <c r="AM3" s="641"/>
      <c r="AN3" s="641"/>
      <c r="AO3" s="642" t="s">
        <v>469</v>
      </c>
      <c r="AP3" s="642"/>
      <c r="AQ3" s="642"/>
      <c r="AR3" s="642"/>
      <c r="AS3" s="642"/>
      <c r="AT3" s="642"/>
      <c r="AU3" s="642"/>
      <c r="AV3" s="642"/>
      <c r="AW3" s="642"/>
      <c r="AX3" s="642"/>
      <c r="AY3" s="642"/>
      <c r="AZ3" s="642"/>
      <c r="BA3" s="642"/>
      <c r="BB3" s="642"/>
      <c r="BD3" s="452" t="s">
        <v>603</v>
      </c>
    </row>
    <row r="4" spans="1:56" x14ac:dyDescent="0.25">
      <c r="A4" s="395" t="s">
        <v>468</v>
      </c>
      <c r="B4" s="395"/>
      <c r="C4" s="395"/>
      <c r="D4" s="395"/>
      <c r="E4" s="395"/>
      <c r="F4" s="395"/>
      <c r="G4" s="395" t="s">
        <v>469</v>
      </c>
      <c r="H4" s="395"/>
      <c r="I4" s="395"/>
      <c r="J4" s="395"/>
      <c r="K4" s="395"/>
      <c r="L4" s="395"/>
      <c r="M4" s="395"/>
      <c r="N4" s="395"/>
      <c r="O4" s="395"/>
      <c r="P4" s="395"/>
      <c r="Q4" s="395"/>
      <c r="R4" s="395"/>
      <c r="S4" s="395"/>
      <c r="T4" s="395"/>
      <c r="U4" s="396"/>
      <c r="V4" s="396"/>
      <c r="W4" s="396"/>
      <c r="X4" s="396"/>
      <c r="Y4" s="396"/>
      <c r="Z4" s="396"/>
      <c r="AA4" s="396"/>
      <c r="AB4" s="396"/>
      <c r="AC4" s="396"/>
      <c r="AD4" s="396"/>
      <c r="AE4" s="396"/>
      <c r="AF4" s="396"/>
      <c r="AG4" s="396"/>
      <c r="AH4" s="397"/>
      <c r="AI4" s="398"/>
      <c r="AK4" s="440" t="s">
        <v>71</v>
      </c>
      <c r="AL4" s="440" t="s">
        <v>459</v>
      </c>
      <c r="AM4" s="440" t="s">
        <v>61</v>
      </c>
      <c r="AN4" s="469" t="s">
        <v>460</v>
      </c>
      <c r="AO4" s="470" t="s">
        <v>1</v>
      </c>
      <c r="AP4" s="470" t="s">
        <v>506</v>
      </c>
      <c r="AQ4" s="470" t="s">
        <v>2</v>
      </c>
      <c r="AR4" s="470" t="s">
        <v>507</v>
      </c>
      <c r="AS4" s="470" t="s">
        <v>326</v>
      </c>
      <c r="AT4" s="470" t="s">
        <v>508</v>
      </c>
      <c r="AU4" s="470" t="s">
        <v>260</v>
      </c>
      <c r="AV4" s="470" t="s">
        <v>509</v>
      </c>
      <c r="AW4" s="470" t="s">
        <v>327</v>
      </c>
      <c r="AX4" s="470" t="s">
        <v>510</v>
      </c>
      <c r="AY4" s="470" t="s">
        <v>262</v>
      </c>
      <c r="AZ4" s="470" t="s">
        <v>511</v>
      </c>
      <c r="BA4" s="470" t="s">
        <v>0</v>
      </c>
      <c r="BB4" s="470" t="s">
        <v>512</v>
      </c>
      <c r="BD4" s="452" t="s">
        <v>604</v>
      </c>
    </row>
    <row r="5" spans="1:56" x14ac:dyDescent="0.25">
      <c r="A5" s="395" t="s">
        <v>71</v>
      </c>
      <c r="B5" s="395" t="s">
        <v>459</v>
      </c>
      <c r="C5" s="395" t="s">
        <v>61</v>
      </c>
      <c r="D5" s="396" t="s">
        <v>460</v>
      </c>
      <c r="E5" s="395" t="s">
        <v>461</v>
      </c>
      <c r="F5" s="395" t="s">
        <v>336</v>
      </c>
      <c r="G5" s="395" t="s">
        <v>1</v>
      </c>
      <c r="H5" s="395" t="s">
        <v>462</v>
      </c>
      <c r="I5" s="399" t="s">
        <v>2</v>
      </c>
      <c r="J5" s="399" t="s">
        <v>462</v>
      </c>
      <c r="K5" s="395" t="s">
        <v>326</v>
      </c>
      <c r="L5" s="395" t="s">
        <v>462</v>
      </c>
      <c r="M5" s="399" t="s">
        <v>260</v>
      </c>
      <c r="N5" s="399" t="s">
        <v>462</v>
      </c>
      <c r="O5" s="395" t="s">
        <v>262</v>
      </c>
      <c r="P5" s="395" t="s">
        <v>462</v>
      </c>
      <c r="Q5" s="399" t="s">
        <v>327</v>
      </c>
      <c r="R5" s="399" t="s">
        <v>462</v>
      </c>
      <c r="S5" s="395" t="s">
        <v>0</v>
      </c>
      <c r="T5" s="395" t="s">
        <v>462</v>
      </c>
      <c r="U5" s="396" t="s">
        <v>463</v>
      </c>
      <c r="V5" s="396" t="s">
        <v>75</v>
      </c>
      <c r="W5" s="396" t="s">
        <v>67</v>
      </c>
      <c r="X5" s="396" t="s">
        <v>464</v>
      </c>
      <c r="Y5" s="396" t="s">
        <v>0</v>
      </c>
      <c r="Z5" s="396" t="s">
        <v>465</v>
      </c>
      <c r="AA5" s="396" t="s">
        <v>1</v>
      </c>
      <c r="AB5" s="396" t="s">
        <v>2</v>
      </c>
      <c r="AC5" s="396" t="s">
        <v>326</v>
      </c>
      <c r="AD5" s="396" t="s">
        <v>260</v>
      </c>
      <c r="AE5" s="396" t="s">
        <v>262</v>
      </c>
      <c r="AF5" s="396" t="s">
        <v>327</v>
      </c>
      <c r="AG5" s="396" t="s">
        <v>0</v>
      </c>
      <c r="AH5" s="397" t="s">
        <v>466</v>
      </c>
      <c r="AI5" s="390"/>
      <c r="AK5" s="510" t="s">
        <v>99</v>
      </c>
      <c r="AL5" s="443">
        <v>17</v>
      </c>
      <c r="AM5" s="444">
        <v>1798</v>
      </c>
      <c r="AN5" s="446" t="s">
        <v>220</v>
      </c>
      <c r="AO5" s="471"/>
      <c r="AP5" s="471"/>
      <c r="AQ5" s="472">
        <v>3</v>
      </c>
      <c r="AR5" s="472">
        <v>3.99</v>
      </c>
      <c r="AS5" s="472">
        <v>2</v>
      </c>
      <c r="AT5" s="472">
        <v>2.99</v>
      </c>
      <c r="AU5" s="471"/>
      <c r="AV5" s="473">
        <v>3.99</v>
      </c>
      <c r="AW5" s="471"/>
      <c r="AX5" s="473">
        <v>3.99</v>
      </c>
      <c r="AY5" s="472">
        <v>2</v>
      </c>
      <c r="AZ5" s="472">
        <v>2.99</v>
      </c>
      <c r="BA5" s="471"/>
      <c r="BB5" s="471"/>
      <c r="BD5" s="452" t="s">
        <v>605</v>
      </c>
    </row>
    <row r="6" spans="1:56" ht="15.75" x14ac:dyDescent="0.25">
      <c r="A6" s="460" t="s">
        <v>470</v>
      </c>
      <c r="B6" s="416">
        <v>17</v>
      </c>
      <c r="C6" s="401">
        <f ca="1">11+$A$32-$A$31</f>
        <v>11</v>
      </c>
      <c r="D6" s="417" t="s">
        <v>94</v>
      </c>
      <c r="E6" s="418">
        <f ca="1">F6-A32</f>
        <v>0</v>
      </c>
      <c r="F6" s="403">
        <v>43644</v>
      </c>
      <c r="G6" s="416"/>
      <c r="H6" s="416"/>
      <c r="I6" s="407">
        <v>5</v>
      </c>
      <c r="J6" s="409">
        <v>6.99</v>
      </c>
      <c r="K6" s="405">
        <v>5</v>
      </c>
      <c r="L6" s="406">
        <v>5.99</v>
      </c>
      <c r="M6" s="407">
        <v>5</v>
      </c>
      <c r="N6" s="409">
        <v>6.99</v>
      </c>
      <c r="O6" s="405">
        <v>2</v>
      </c>
      <c r="P6" s="419">
        <v>2.99</v>
      </c>
      <c r="Q6" s="420">
        <v>3</v>
      </c>
      <c r="R6" s="421">
        <v>3.99</v>
      </c>
      <c r="S6" s="416"/>
      <c r="T6" s="416"/>
      <c r="U6" s="422" t="s">
        <v>471</v>
      </c>
      <c r="V6" s="412"/>
      <c r="W6" s="412">
        <v>5</v>
      </c>
      <c r="X6" s="412">
        <v>7</v>
      </c>
      <c r="Y6" s="412">
        <v>0</v>
      </c>
      <c r="Z6" s="413">
        <v>2121</v>
      </c>
      <c r="AA6" s="414"/>
      <c r="AB6" s="414" t="s">
        <v>472</v>
      </c>
      <c r="AC6" s="414"/>
      <c r="AD6" s="414" t="s">
        <v>473</v>
      </c>
      <c r="AE6" s="414"/>
      <c r="AF6" s="414"/>
      <c r="AG6" s="414"/>
      <c r="AH6" s="415" t="s">
        <v>474</v>
      </c>
      <c r="AI6" s="380" t="s">
        <v>475</v>
      </c>
      <c r="AK6" s="510" t="s">
        <v>98</v>
      </c>
      <c r="AL6" s="443">
        <v>16</v>
      </c>
      <c r="AM6" s="444">
        <v>1849</v>
      </c>
      <c r="AN6" s="446"/>
      <c r="AO6" s="471"/>
      <c r="AP6" s="471"/>
      <c r="AQ6" s="472">
        <v>4</v>
      </c>
      <c r="AR6" s="472">
        <v>4.99</v>
      </c>
      <c r="AS6" s="471"/>
      <c r="AT6" s="471"/>
      <c r="AU6" s="472">
        <v>0</v>
      </c>
      <c r="AV6" s="472">
        <v>0.99</v>
      </c>
      <c r="AW6" s="474">
        <v>3</v>
      </c>
      <c r="AX6" s="473">
        <v>4.99</v>
      </c>
      <c r="AY6" s="472">
        <v>1</v>
      </c>
      <c r="AZ6" s="472">
        <v>1.99</v>
      </c>
      <c r="BA6" s="471"/>
      <c r="BB6" s="471"/>
      <c r="BD6" s="452" t="s">
        <v>606</v>
      </c>
    </row>
    <row r="7" spans="1:56" x14ac:dyDescent="0.25">
      <c r="A7" s="645" t="s">
        <v>476</v>
      </c>
      <c r="B7" s="645"/>
      <c r="C7" s="645"/>
      <c r="D7" s="645"/>
      <c r="E7" s="645"/>
      <c r="F7" s="453"/>
      <c r="G7" s="453"/>
      <c r="H7" s="453"/>
      <c r="I7" s="453"/>
      <c r="J7" s="453"/>
      <c r="K7" s="453"/>
      <c r="L7" s="453"/>
      <c r="M7" s="453"/>
      <c r="N7" s="453"/>
      <c r="O7" s="453"/>
      <c r="P7" s="453"/>
      <c r="Q7" s="453"/>
      <c r="R7" s="453"/>
      <c r="S7" s="453"/>
      <c r="T7" s="453"/>
      <c r="U7" s="454"/>
      <c r="V7" s="454"/>
      <c r="W7" s="454"/>
      <c r="X7" s="454"/>
      <c r="Y7" s="454"/>
      <c r="Z7" s="454"/>
      <c r="AA7" s="454"/>
      <c r="AB7" s="454"/>
      <c r="AC7" s="454"/>
      <c r="AD7" s="454"/>
      <c r="AE7" s="454"/>
      <c r="AF7" s="454"/>
      <c r="AG7" s="454"/>
      <c r="AH7" s="455"/>
      <c r="AI7" s="385"/>
      <c r="AK7" s="510" t="s">
        <v>513</v>
      </c>
      <c r="AL7" s="443">
        <v>18</v>
      </c>
      <c r="AM7" s="444">
        <v>1773</v>
      </c>
      <c r="AN7" s="446"/>
      <c r="AO7" s="471"/>
      <c r="AP7" s="471"/>
      <c r="AQ7" s="472">
        <v>4</v>
      </c>
      <c r="AR7" s="472">
        <v>4.99</v>
      </c>
      <c r="AS7" s="472">
        <v>2</v>
      </c>
      <c r="AT7" s="472">
        <v>2.99</v>
      </c>
      <c r="AU7" s="471"/>
      <c r="AV7" s="471"/>
      <c r="AW7" s="471"/>
      <c r="AX7" s="471"/>
      <c r="AY7" s="474">
        <v>4</v>
      </c>
      <c r="AZ7" s="473">
        <v>4.99</v>
      </c>
      <c r="BA7" s="471"/>
      <c r="BB7" s="473">
        <v>2.99</v>
      </c>
      <c r="BD7" s="452" t="s">
        <v>607</v>
      </c>
    </row>
    <row r="8" spans="1:56" x14ac:dyDescent="0.25">
      <c r="A8" s="456" t="s">
        <v>468</v>
      </c>
      <c r="B8" s="456"/>
      <c r="C8" s="456"/>
      <c r="D8" s="456"/>
      <c r="E8" s="456"/>
      <c r="F8" s="456"/>
      <c r="G8" s="456" t="s">
        <v>469</v>
      </c>
      <c r="H8" s="456"/>
      <c r="I8" s="456"/>
      <c r="J8" s="456"/>
      <c r="K8" s="456"/>
      <c r="L8" s="456"/>
      <c r="M8" s="456"/>
      <c r="N8" s="456"/>
      <c r="O8" s="456"/>
      <c r="P8" s="456"/>
      <c r="Q8" s="456"/>
      <c r="R8" s="456"/>
      <c r="S8" s="456"/>
      <c r="T8" s="456"/>
      <c r="U8" s="457"/>
      <c r="V8" s="457"/>
      <c r="W8" s="457"/>
      <c r="X8" s="457"/>
      <c r="Y8" s="457"/>
      <c r="Z8" s="457"/>
      <c r="AA8" s="457"/>
      <c r="AB8" s="457"/>
      <c r="AC8" s="457"/>
      <c r="AD8" s="457"/>
      <c r="AE8" s="457"/>
      <c r="AF8" s="457"/>
      <c r="AG8" s="457"/>
      <c r="AH8" s="458"/>
      <c r="AI8" s="398"/>
      <c r="AK8" s="510" t="s">
        <v>95</v>
      </c>
      <c r="AL8" s="443">
        <v>17</v>
      </c>
      <c r="AM8" s="444">
        <v>1752</v>
      </c>
      <c r="AN8" s="446"/>
      <c r="AO8" s="471"/>
      <c r="AP8" s="471">
        <v>1.99</v>
      </c>
      <c r="AQ8" s="475">
        <v>6</v>
      </c>
      <c r="AR8" s="476">
        <v>6.99</v>
      </c>
      <c r="AS8" s="477">
        <v>4</v>
      </c>
      <c r="AT8" s="477">
        <v>4.99</v>
      </c>
      <c r="AU8" s="472">
        <v>3</v>
      </c>
      <c r="AV8" s="472">
        <v>3.99</v>
      </c>
      <c r="AW8" s="474">
        <v>2</v>
      </c>
      <c r="AX8" s="473">
        <v>3.99</v>
      </c>
      <c r="AY8" s="472">
        <v>2</v>
      </c>
      <c r="AZ8" s="472">
        <v>2.99</v>
      </c>
      <c r="BA8" s="471"/>
      <c r="BB8" s="471"/>
      <c r="BD8" s="452" t="s">
        <v>608</v>
      </c>
    </row>
    <row r="9" spans="1:56" x14ac:dyDescent="0.25">
      <c r="A9" s="456" t="s">
        <v>71</v>
      </c>
      <c r="B9" s="456" t="s">
        <v>459</v>
      </c>
      <c r="C9" s="456" t="s">
        <v>61</v>
      </c>
      <c r="D9" s="457" t="s">
        <v>460</v>
      </c>
      <c r="E9" s="456" t="s">
        <v>461</v>
      </c>
      <c r="F9" s="456" t="s">
        <v>336</v>
      </c>
      <c r="G9" s="456" t="s">
        <v>1</v>
      </c>
      <c r="H9" s="456" t="s">
        <v>462</v>
      </c>
      <c r="I9" s="459" t="s">
        <v>2</v>
      </c>
      <c r="J9" s="459" t="s">
        <v>462</v>
      </c>
      <c r="K9" s="456" t="s">
        <v>326</v>
      </c>
      <c r="L9" s="456" t="s">
        <v>462</v>
      </c>
      <c r="M9" s="459" t="s">
        <v>260</v>
      </c>
      <c r="N9" s="459" t="s">
        <v>462</v>
      </c>
      <c r="O9" s="456" t="s">
        <v>262</v>
      </c>
      <c r="P9" s="456" t="s">
        <v>462</v>
      </c>
      <c r="Q9" s="459" t="s">
        <v>327</v>
      </c>
      <c r="R9" s="459" t="s">
        <v>462</v>
      </c>
      <c r="S9" s="456" t="s">
        <v>0</v>
      </c>
      <c r="T9" s="456" t="s">
        <v>462</v>
      </c>
      <c r="U9" s="457" t="s">
        <v>463</v>
      </c>
      <c r="V9" s="457" t="s">
        <v>75</v>
      </c>
      <c r="W9" s="457" t="s">
        <v>67</v>
      </c>
      <c r="X9" s="457" t="s">
        <v>464</v>
      </c>
      <c r="Y9" s="457" t="s">
        <v>0</v>
      </c>
      <c r="Z9" s="457" t="s">
        <v>465</v>
      </c>
      <c r="AA9" s="457" t="s">
        <v>1</v>
      </c>
      <c r="AB9" s="457" t="s">
        <v>2</v>
      </c>
      <c r="AC9" s="457" t="s">
        <v>326</v>
      </c>
      <c r="AD9" s="457" t="s">
        <v>260</v>
      </c>
      <c r="AE9" s="457" t="s">
        <v>262</v>
      </c>
      <c r="AF9" s="457" t="s">
        <v>327</v>
      </c>
      <c r="AG9" s="457" t="s">
        <v>0</v>
      </c>
      <c r="AH9" s="458" t="s">
        <v>466</v>
      </c>
      <c r="AI9" s="390"/>
      <c r="AK9" s="510" t="s">
        <v>97</v>
      </c>
      <c r="AL9" s="443">
        <v>17</v>
      </c>
      <c r="AM9" s="444">
        <v>1701</v>
      </c>
      <c r="AN9" s="446"/>
      <c r="AO9" s="471"/>
      <c r="AP9" s="471"/>
      <c r="AQ9" s="472">
        <v>1</v>
      </c>
      <c r="AR9" s="472">
        <v>1.99</v>
      </c>
      <c r="AS9" s="477">
        <v>5</v>
      </c>
      <c r="AT9" s="478">
        <v>5.99</v>
      </c>
      <c r="AU9" s="472">
        <v>2</v>
      </c>
      <c r="AV9" s="472">
        <v>2.99</v>
      </c>
      <c r="AW9" s="472">
        <v>2</v>
      </c>
      <c r="AX9" s="472">
        <v>2.99</v>
      </c>
      <c r="AY9" s="472">
        <v>2</v>
      </c>
      <c r="AZ9" s="472">
        <v>2.99</v>
      </c>
      <c r="BA9" s="471"/>
      <c r="BB9" s="471"/>
      <c r="BD9" s="442" t="s">
        <v>609</v>
      </c>
    </row>
    <row r="10" spans="1:56" ht="15.75" x14ac:dyDescent="0.25">
      <c r="A10" s="461" t="s">
        <v>477</v>
      </c>
      <c r="B10" s="380">
        <v>15</v>
      </c>
      <c r="C10" s="429">
        <f ca="1">58+$A$32-$A$31</f>
        <v>58</v>
      </c>
      <c r="D10" s="430"/>
      <c r="E10" s="447">
        <f ca="1">F10-$A$32</f>
        <v>166</v>
      </c>
      <c r="F10" s="403">
        <v>43810</v>
      </c>
      <c r="G10" s="379"/>
      <c r="H10" s="379"/>
      <c r="I10" s="379"/>
      <c r="J10" s="379"/>
      <c r="K10" s="379"/>
      <c r="L10" s="408">
        <v>5.99</v>
      </c>
      <c r="M10" s="407">
        <v>2</v>
      </c>
      <c r="N10" s="379"/>
      <c r="O10" s="379"/>
      <c r="P10" s="379"/>
      <c r="Q10" s="379"/>
      <c r="R10" s="379"/>
      <c r="S10" s="379"/>
      <c r="T10" s="379"/>
      <c r="U10" s="380"/>
      <c r="V10" s="380"/>
      <c r="W10" s="412">
        <v>1</v>
      </c>
      <c r="X10" s="412">
        <v>0</v>
      </c>
      <c r="Y10" s="412">
        <v>0</v>
      </c>
      <c r="Z10" s="412"/>
      <c r="AA10" s="426"/>
      <c r="AB10" s="426"/>
      <c r="AC10" s="426"/>
      <c r="AD10" s="426"/>
      <c r="AE10" s="426"/>
      <c r="AF10" s="426"/>
      <c r="AG10" s="426"/>
      <c r="AH10" s="415"/>
      <c r="AI10" s="379"/>
      <c r="AK10" s="510" t="s">
        <v>514</v>
      </c>
      <c r="AL10" s="443">
        <v>17</v>
      </c>
      <c r="AM10" s="444">
        <v>1714</v>
      </c>
      <c r="AN10" s="446" t="s">
        <v>96</v>
      </c>
      <c r="AO10" s="479"/>
      <c r="AP10" s="479"/>
      <c r="AQ10" s="480">
        <v>5</v>
      </c>
      <c r="AR10" s="481">
        <v>5.99</v>
      </c>
      <c r="AS10" s="482">
        <v>2</v>
      </c>
      <c r="AT10" s="482">
        <v>2.99</v>
      </c>
      <c r="AU10" s="482">
        <v>4</v>
      </c>
      <c r="AV10" s="482">
        <v>4.99</v>
      </c>
      <c r="AW10" s="482">
        <v>5</v>
      </c>
      <c r="AX10" s="483">
        <v>5.99</v>
      </c>
      <c r="AY10" s="479"/>
      <c r="AZ10" s="484">
        <v>5.99</v>
      </c>
      <c r="BA10" s="479"/>
      <c r="BB10" s="473">
        <v>2.99</v>
      </c>
    </row>
    <row r="11" spans="1:56" ht="15.75" x14ac:dyDescent="0.25">
      <c r="A11" s="462" t="s">
        <v>478</v>
      </c>
      <c r="B11" s="400">
        <v>16</v>
      </c>
      <c r="C11" s="401">
        <f ca="1">4+$A$32-$A$31</f>
        <v>4</v>
      </c>
      <c r="D11" s="417"/>
      <c r="E11" s="447">
        <f t="shared" ref="E11:E14" ca="1" si="0">F11-$A$32</f>
        <v>108</v>
      </c>
      <c r="F11" s="403">
        <v>43752</v>
      </c>
      <c r="G11" s="404"/>
      <c r="H11" s="410">
        <v>1.99</v>
      </c>
      <c r="I11" s="405">
        <v>2</v>
      </c>
      <c r="J11" s="419">
        <v>2.99</v>
      </c>
      <c r="K11" s="407">
        <v>3</v>
      </c>
      <c r="L11" s="410">
        <v>4.99</v>
      </c>
      <c r="M11" s="407">
        <v>4</v>
      </c>
      <c r="N11" s="410">
        <v>4.99</v>
      </c>
      <c r="O11" s="404"/>
      <c r="P11" s="408">
        <v>5.99</v>
      </c>
      <c r="Q11" s="404"/>
      <c r="R11" s="410">
        <v>2.99</v>
      </c>
      <c r="S11" s="404"/>
      <c r="T11" s="404"/>
      <c r="U11" s="411" t="s">
        <v>479</v>
      </c>
      <c r="V11" s="412" t="s">
        <v>480</v>
      </c>
      <c r="W11" s="412">
        <v>6</v>
      </c>
      <c r="X11" s="412">
        <v>0</v>
      </c>
      <c r="Y11" s="412">
        <v>0</v>
      </c>
      <c r="Z11" s="412"/>
      <c r="AA11" s="426"/>
      <c r="AB11" s="426"/>
      <c r="AC11" s="426"/>
      <c r="AD11" s="426"/>
      <c r="AE11" s="426"/>
      <c r="AF11" s="426"/>
      <c r="AG11" s="426"/>
      <c r="AH11" s="415" t="s">
        <v>481</v>
      </c>
      <c r="AI11" s="379"/>
      <c r="AK11" s="510" t="s">
        <v>515</v>
      </c>
      <c r="AL11" s="443">
        <v>17</v>
      </c>
      <c r="AM11" s="444">
        <v>1719</v>
      </c>
      <c r="AN11" s="446" t="s">
        <v>220</v>
      </c>
      <c r="AO11" s="479"/>
      <c r="AP11" s="479"/>
      <c r="AQ11" s="485">
        <v>2</v>
      </c>
      <c r="AR11" s="479"/>
      <c r="AS11" s="485">
        <v>2</v>
      </c>
      <c r="AT11" s="479"/>
      <c r="AU11" s="479"/>
      <c r="AV11" s="485">
        <v>2.99</v>
      </c>
      <c r="AW11" s="480">
        <v>5</v>
      </c>
      <c r="AX11" s="481">
        <v>5.99</v>
      </c>
      <c r="AY11" s="480">
        <v>4</v>
      </c>
      <c r="AZ11" s="480">
        <v>4.99</v>
      </c>
      <c r="BA11" s="479"/>
      <c r="BB11" s="479"/>
    </row>
    <row r="12" spans="1:56" ht="15.75" x14ac:dyDescent="0.25">
      <c r="A12" s="460" t="s">
        <v>482</v>
      </c>
      <c r="B12" s="400">
        <v>17</v>
      </c>
      <c r="C12" s="401">
        <f ca="1">37+$A$32-$A$31</f>
        <v>37</v>
      </c>
      <c r="D12" s="417"/>
      <c r="E12" s="447">
        <f t="shared" ca="1" si="0"/>
        <v>0</v>
      </c>
      <c r="F12" s="403">
        <v>43644</v>
      </c>
      <c r="G12" s="404"/>
      <c r="H12" s="404"/>
      <c r="I12" s="407">
        <v>5</v>
      </c>
      <c r="J12" s="409">
        <v>6.99</v>
      </c>
      <c r="K12" s="407">
        <v>4</v>
      </c>
      <c r="L12" s="409">
        <v>6.99</v>
      </c>
      <c r="M12" s="407">
        <v>3</v>
      </c>
      <c r="N12" s="410">
        <v>4.99</v>
      </c>
      <c r="O12" s="404"/>
      <c r="P12" s="410">
        <v>2.99</v>
      </c>
      <c r="Q12" s="407">
        <v>3</v>
      </c>
      <c r="R12" s="410">
        <v>4.99</v>
      </c>
      <c r="S12" s="404"/>
      <c r="T12" s="404"/>
      <c r="U12" s="411" t="s">
        <v>479</v>
      </c>
      <c r="V12" s="412" t="s">
        <v>480</v>
      </c>
      <c r="W12" s="412">
        <v>5</v>
      </c>
      <c r="X12" s="412">
        <v>0</v>
      </c>
      <c r="Y12" s="412">
        <v>0</v>
      </c>
      <c r="Z12" s="413">
        <v>2104</v>
      </c>
      <c r="AA12" s="414"/>
      <c r="AB12" s="414" t="s">
        <v>483</v>
      </c>
      <c r="AC12" s="414" t="s">
        <v>484</v>
      </c>
      <c r="AD12" s="414" t="s">
        <v>485</v>
      </c>
      <c r="AE12" s="414"/>
      <c r="AF12" s="414" t="s">
        <v>486</v>
      </c>
      <c r="AG12" s="414"/>
      <c r="AH12" s="415" t="s">
        <v>474</v>
      </c>
      <c r="AI12" s="380" t="s">
        <v>487</v>
      </c>
      <c r="AK12" s="510" t="s">
        <v>516</v>
      </c>
      <c r="AL12" s="443">
        <v>18</v>
      </c>
      <c r="AM12" s="444">
        <v>1715</v>
      </c>
      <c r="AN12" s="446"/>
      <c r="AO12" s="479"/>
      <c r="AP12" s="479"/>
      <c r="AQ12" s="479"/>
      <c r="AR12" s="485">
        <v>2.99</v>
      </c>
      <c r="AS12" s="482">
        <v>2</v>
      </c>
      <c r="AT12" s="482">
        <v>2.99</v>
      </c>
      <c r="AU12" s="485">
        <v>5</v>
      </c>
      <c r="AV12" s="486">
        <v>6.99</v>
      </c>
      <c r="AW12" s="480">
        <v>3</v>
      </c>
      <c r="AX12" s="480">
        <v>3.99</v>
      </c>
      <c r="AY12" s="479"/>
      <c r="AZ12" s="484">
        <v>5.99</v>
      </c>
      <c r="BA12" s="479"/>
      <c r="BB12" s="479"/>
    </row>
    <row r="13" spans="1:56" ht="15.75" x14ac:dyDescent="0.25">
      <c r="A13" s="460" t="s">
        <v>488</v>
      </c>
      <c r="B13" s="416">
        <v>17</v>
      </c>
      <c r="C13" s="401">
        <f ca="1">45+$A$32-$A$31</f>
        <v>45</v>
      </c>
      <c r="D13" s="417" t="s">
        <v>67</v>
      </c>
      <c r="E13" s="447">
        <f t="shared" ca="1" si="0"/>
        <v>0</v>
      </c>
      <c r="F13" s="403">
        <v>43644</v>
      </c>
      <c r="G13" s="416"/>
      <c r="H13" s="416"/>
      <c r="I13" s="405">
        <v>5</v>
      </c>
      <c r="J13" s="406">
        <v>5.99</v>
      </c>
      <c r="K13" s="420">
        <v>4</v>
      </c>
      <c r="L13" s="421">
        <v>4.99</v>
      </c>
      <c r="M13" s="416"/>
      <c r="N13" s="410">
        <v>2.99</v>
      </c>
      <c r="O13" s="416"/>
      <c r="P13" s="410">
        <v>3.99</v>
      </c>
      <c r="Q13" s="423">
        <v>3</v>
      </c>
      <c r="R13" s="424">
        <v>3.99</v>
      </c>
      <c r="S13" s="416"/>
      <c r="T13" s="416"/>
      <c r="U13" s="411" t="s">
        <v>479</v>
      </c>
      <c r="V13" s="412"/>
      <c r="W13" s="412">
        <v>5</v>
      </c>
      <c r="X13" s="412">
        <v>0</v>
      </c>
      <c r="Y13" s="412">
        <v>4</v>
      </c>
      <c r="Z13" s="425">
        <v>1949</v>
      </c>
      <c r="AA13" s="426"/>
      <c r="AB13" s="426"/>
      <c r="AC13" s="426"/>
      <c r="AD13" s="426"/>
      <c r="AE13" s="426"/>
      <c r="AF13" s="426"/>
      <c r="AG13" s="426"/>
      <c r="AH13" s="415" t="s">
        <v>481</v>
      </c>
      <c r="AI13" s="379"/>
      <c r="AK13" s="510" t="s">
        <v>101</v>
      </c>
      <c r="AL13" s="443">
        <v>18</v>
      </c>
      <c r="AM13" s="444">
        <v>1707</v>
      </c>
      <c r="AN13" s="446" t="s">
        <v>94</v>
      </c>
      <c r="AO13" s="479"/>
      <c r="AP13" s="479"/>
      <c r="AQ13" s="485">
        <v>1</v>
      </c>
      <c r="AR13" s="485">
        <v>2.99</v>
      </c>
      <c r="AS13" s="485">
        <v>6</v>
      </c>
      <c r="AT13" s="486">
        <v>7</v>
      </c>
      <c r="AU13" s="480">
        <v>4</v>
      </c>
      <c r="AV13" s="480">
        <v>4.99</v>
      </c>
      <c r="AW13" s="479"/>
      <c r="AX13" s="479"/>
      <c r="AY13" s="482">
        <v>3</v>
      </c>
      <c r="AZ13" s="482">
        <v>3.99</v>
      </c>
      <c r="BA13" s="479"/>
      <c r="BB13" s="485">
        <v>4.99</v>
      </c>
      <c r="BD13" s="441" t="s">
        <v>610</v>
      </c>
    </row>
    <row r="14" spans="1:56" ht="15.75" x14ac:dyDescent="0.25">
      <c r="A14" s="460" t="s">
        <v>489</v>
      </c>
      <c r="B14" s="416">
        <v>17</v>
      </c>
      <c r="C14" s="401">
        <f ca="1">9+$A$32-$A$31</f>
        <v>9</v>
      </c>
      <c r="D14" s="417"/>
      <c r="E14" s="447">
        <f t="shared" ca="1" si="0"/>
        <v>0</v>
      </c>
      <c r="F14" s="403">
        <v>43644</v>
      </c>
      <c r="G14" s="416"/>
      <c r="H14" s="410">
        <v>1.99</v>
      </c>
      <c r="I14" s="405">
        <v>1</v>
      </c>
      <c r="J14" s="419">
        <v>1.99</v>
      </c>
      <c r="K14" s="405">
        <v>4</v>
      </c>
      <c r="L14" s="419">
        <v>4.99</v>
      </c>
      <c r="M14" s="420">
        <v>5</v>
      </c>
      <c r="N14" s="427">
        <v>5.99</v>
      </c>
      <c r="O14" s="420">
        <v>3</v>
      </c>
      <c r="P14" s="421">
        <v>3.99</v>
      </c>
      <c r="Q14" s="416"/>
      <c r="R14" s="409">
        <v>6.99</v>
      </c>
      <c r="S14" s="416"/>
      <c r="T14" s="416"/>
      <c r="U14" s="422" t="s">
        <v>471</v>
      </c>
      <c r="V14" s="412"/>
      <c r="W14" s="412">
        <v>6</v>
      </c>
      <c r="X14" s="412">
        <v>0</v>
      </c>
      <c r="Y14" s="412">
        <v>0</v>
      </c>
      <c r="Z14" s="413">
        <v>2081</v>
      </c>
      <c r="AA14" s="414"/>
      <c r="AB14" s="414"/>
      <c r="AC14" s="414"/>
      <c r="AD14" s="414"/>
      <c r="AE14" s="414"/>
      <c r="AF14" s="414"/>
      <c r="AG14" s="414"/>
      <c r="AH14" s="415" t="s">
        <v>474</v>
      </c>
      <c r="AI14" s="379"/>
      <c r="AK14" s="510" t="s">
        <v>102</v>
      </c>
      <c r="AL14" s="443">
        <v>17</v>
      </c>
      <c r="AM14" s="444">
        <v>1601</v>
      </c>
      <c r="AN14" s="446" t="s">
        <v>105</v>
      </c>
      <c r="AO14" s="479"/>
      <c r="AP14" s="485">
        <v>1.99</v>
      </c>
      <c r="AQ14" s="485">
        <v>4</v>
      </c>
      <c r="AR14" s="484">
        <v>5.99</v>
      </c>
      <c r="AS14" s="482">
        <v>2</v>
      </c>
      <c r="AT14" s="482">
        <v>2.99</v>
      </c>
      <c r="AU14" s="482">
        <v>2</v>
      </c>
      <c r="AV14" s="482">
        <v>2.99</v>
      </c>
      <c r="AW14" s="482">
        <v>6</v>
      </c>
      <c r="AX14" s="487">
        <v>6.99</v>
      </c>
      <c r="AY14" s="482">
        <v>2</v>
      </c>
      <c r="AZ14" s="482">
        <v>2.99</v>
      </c>
      <c r="BA14" s="479"/>
      <c r="BB14" s="486">
        <v>7</v>
      </c>
      <c r="BD14" s="441" t="s">
        <v>611</v>
      </c>
    </row>
    <row r="15" spans="1:56" ht="15.75" x14ac:dyDescent="0.25">
      <c r="A15" s="640" t="s">
        <v>490</v>
      </c>
      <c r="B15" s="640"/>
      <c r="C15" s="640"/>
      <c r="D15" s="640"/>
      <c r="E15" s="640"/>
      <c r="F15" s="383"/>
      <c r="G15" s="383"/>
      <c r="H15" s="383"/>
      <c r="I15" s="383"/>
      <c r="J15" s="383"/>
      <c r="K15" s="383"/>
      <c r="L15" s="383"/>
      <c r="M15" s="383"/>
      <c r="N15" s="383"/>
      <c r="O15" s="383"/>
      <c r="P15" s="383"/>
      <c r="Q15" s="383"/>
      <c r="R15" s="383"/>
      <c r="S15" s="383"/>
      <c r="T15" s="383"/>
      <c r="U15" s="382"/>
      <c r="V15" s="382"/>
      <c r="W15" s="382"/>
      <c r="X15" s="382"/>
      <c r="Y15" s="382"/>
      <c r="Z15" s="382"/>
      <c r="AA15" s="382"/>
      <c r="AB15" s="382"/>
      <c r="AC15" s="382"/>
      <c r="AD15" s="382"/>
      <c r="AE15" s="382"/>
      <c r="AF15" s="382"/>
      <c r="AG15" s="382"/>
      <c r="AH15" s="428"/>
      <c r="AI15" s="385"/>
      <c r="AK15" s="510" t="s">
        <v>517</v>
      </c>
      <c r="AL15" s="443">
        <v>18</v>
      </c>
      <c r="AM15" s="444">
        <v>1658</v>
      </c>
      <c r="AN15" s="446"/>
      <c r="AO15" s="479"/>
      <c r="AP15" s="479"/>
      <c r="AQ15" s="480">
        <v>4</v>
      </c>
      <c r="AR15" s="480">
        <v>4.99</v>
      </c>
      <c r="AS15" s="480">
        <v>2</v>
      </c>
      <c r="AT15" s="480">
        <v>2.99</v>
      </c>
      <c r="AU15" s="480">
        <v>4</v>
      </c>
      <c r="AV15" s="480">
        <v>4.99</v>
      </c>
      <c r="AW15" s="485">
        <v>6</v>
      </c>
      <c r="AX15" s="486">
        <v>6.99</v>
      </c>
      <c r="AY15" s="480">
        <v>5</v>
      </c>
      <c r="AZ15" s="481">
        <v>5.99</v>
      </c>
      <c r="BA15" s="482">
        <v>4</v>
      </c>
      <c r="BB15" s="482">
        <v>4.99</v>
      </c>
      <c r="BD15" s="441" t="s">
        <v>612</v>
      </c>
    </row>
    <row r="16" spans="1:56" ht="15.75" x14ac:dyDescent="0.25">
      <c r="A16" s="386" t="s">
        <v>468</v>
      </c>
      <c r="B16" s="386"/>
      <c r="C16" s="386"/>
      <c r="D16" s="386"/>
      <c r="E16" s="386"/>
      <c r="F16" s="386"/>
      <c r="G16" s="386" t="s">
        <v>469</v>
      </c>
      <c r="H16" s="386"/>
      <c r="I16" s="386"/>
      <c r="J16" s="386"/>
      <c r="K16" s="386"/>
      <c r="L16" s="386"/>
      <c r="M16" s="386"/>
      <c r="N16" s="386"/>
      <c r="O16" s="386"/>
      <c r="P16" s="386"/>
      <c r="Q16" s="386"/>
      <c r="R16" s="386"/>
      <c r="S16" s="386"/>
      <c r="T16" s="386"/>
      <c r="U16" s="387"/>
      <c r="V16" s="387"/>
      <c r="W16" s="387"/>
      <c r="X16" s="387"/>
      <c r="Y16" s="387"/>
      <c r="Z16" s="387"/>
      <c r="AA16" s="387"/>
      <c r="AB16" s="387"/>
      <c r="AC16" s="387"/>
      <c r="AD16" s="387"/>
      <c r="AE16" s="387"/>
      <c r="AF16" s="387"/>
      <c r="AG16" s="387"/>
      <c r="AH16" s="428"/>
      <c r="AI16" s="398"/>
      <c r="AK16" s="510" t="s">
        <v>169</v>
      </c>
      <c r="AL16" s="443">
        <v>17</v>
      </c>
      <c r="AM16" s="444">
        <v>1676</v>
      </c>
      <c r="AN16" s="446"/>
      <c r="AO16" s="488"/>
      <c r="AP16" s="485">
        <v>1.99</v>
      </c>
      <c r="AQ16" s="485">
        <v>1</v>
      </c>
      <c r="AR16" s="488"/>
      <c r="AS16" s="482">
        <v>6</v>
      </c>
      <c r="AT16" s="487">
        <v>6.99</v>
      </c>
      <c r="AU16" s="488"/>
      <c r="AV16" s="485">
        <v>1.99</v>
      </c>
      <c r="AW16" s="485">
        <v>5</v>
      </c>
      <c r="AX16" s="486">
        <v>6.99</v>
      </c>
      <c r="AY16" s="482">
        <v>1</v>
      </c>
      <c r="AZ16" s="482">
        <v>1.99</v>
      </c>
      <c r="BA16" s="488"/>
      <c r="BB16" s="485">
        <v>2.99</v>
      </c>
      <c r="BD16" s="441" t="s">
        <v>613</v>
      </c>
    </row>
    <row r="17" spans="1:56" ht="15.75" x14ac:dyDescent="0.25">
      <c r="A17" s="386" t="s">
        <v>71</v>
      </c>
      <c r="B17" s="386" t="s">
        <v>459</v>
      </c>
      <c r="C17" s="386" t="s">
        <v>61</v>
      </c>
      <c r="D17" s="387" t="s">
        <v>460</v>
      </c>
      <c r="E17" s="386" t="s">
        <v>461</v>
      </c>
      <c r="F17" s="386" t="s">
        <v>336</v>
      </c>
      <c r="G17" s="386" t="s">
        <v>1</v>
      </c>
      <c r="H17" s="386" t="s">
        <v>462</v>
      </c>
      <c r="I17" s="388" t="s">
        <v>2</v>
      </c>
      <c r="J17" s="388" t="s">
        <v>462</v>
      </c>
      <c r="K17" s="386" t="s">
        <v>326</v>
      </c>
      <c r="L17" s="386" t="s">
        <v>462</v>
      </c>
      <c r="M17" s="388" t="s">
        <v>260</v>
      </c>
      <c r="N17" s="388" t="s">
        <v>462</v>
      </c>
      <c r="O17" s="386" t="s">
        <v>262</v>
      </c>
      <c r="P17" s="386" t="s">
        <v>462</v>
      </c>
      <c r="Q17" s="388" t="s">
        <v>327</v>
      </c>
      <c r="R17" s="388" t="s">
        <v>462</v>
      </c>
      <c r="S17" s="386" t="s">
        <v>0</v>
      </c>
      <c r="T17" s="386" t="s">
        <v>462</v>
      </c>
      <c r="U17" s="387" t="s">
        <v>463</v>
      </c>
      <c r="V17" s="387" t="s">
        <v>75</v>
      </c>
      <c r="W17" s="387" t="s">
        <v>67</v>
      </c>
      <c r="X17" s="387" t="s">
        <v>464</v>
      </c>
      <c r="Y17" s="387" t="s">
        <v>0</v>
      </c>
      <c r="Z17" s="387" t="s">
        <v>465</v>
      </c>
      <c r="AA17" s="387" t="s">
        <v>1</v>
      </c>
      <c r="AB17" s="387" t="s">
        <v>2</v>
      </c>
      <c r="AC17" s="387" t="s">
        <v>326</v>
      </c>
      <c r="AD17" s="387" t="s">
        <v>260</v>
      </c>
      <c r="AE17" s="387" t="s">
        <v>262</v>
      </c>
      <c r="AF17" s="387" t="s">
        <v>327</v>
      </c>
      <c r="AG17" s="387" t="s">
        <v>0</v>
      </c>
      <c r="AH17" s="428" t="s">
        <v>466</v>
      </c>
      <c r="AI17" s="390"/>
      <c r="AK17" s="510" t="s">
        <v>107</v>
      </c>
      <c r="AL17" s="443">
        <v>18</v>
      </c>
      <c r="AM17" s="444">
        <v>1549</v>
      </c>
      <c r="AN17" s="446" t="s">
        <v>94</v>
      </c>
      <c r="AO17" s="489"/>
      <c r="AP17" s="489"/>
      <c r="AQ17" s="480">
        <v>3</v>
      </c>
      <c r="AR17" s="480">
        <v>3.99</v>
      </c>
      <c r="AS17" s="482">
        <v>3</v>
      </c>
      <c r="AT17" s="482">
        <v>3.99</v>
      </c>
      <c r="AU17" s="480">
        <v>5</v>
      </c>
      <c r="AV17" s="481">
        <v>5.99</v>
      </c>
      <c r="AW17" s="489"/>
      <c r="AX17" s="485">
        <v>2.99</v>
      </c>
      <c r="AY17" s="482">
        <v>4</v>
      </c>
      <c r="AZ17" s="482">
        <v>4.99</v>
      </c>
      <c r="BA17" s="482">
        <v>4</v>
      </c>
      <c r="BB17" s="482">
        <v>4.99</v>
      </c>
      <c r="BD17" s="441" t="s">
        <v>614</v>
      </c>
    </row>
    <row r="18" spans="1:56" ht="15.75" x14ac:dyDescent="0.25">
      <c r="AK18" s="510" t="s">
        <v>518</v>
      </c>
      <c r="AL18" s="443">
        <v>16</v>
      </c>
      <c r="AM18" s="444">
        <v>1633</v>
      </c>
      <c r="AN18" s="446" t="s">
        <v>96</v>
      </c>
      <c r="AO18" s="490"/>
      <c r="AP18" s="490"/>
      <c r="AQ18" s="482">
        <v>2</v>
      </c>
      <c r="AR18" s="482">
        <v>2.99</v>
      </c>
      <c r="AS18" s="480">
        <v>5</v>
      </c>
      <c r="AT18" s="481">
        <v>5.99</v>
      </c>
      <c r="AU18" s="482">
        <v>2</v>
      </c>
      <c r="AV18" s="482">
        <v>2.99</v>
      </c>
      <c r="AW18" s="480">
        <v>4</v>
      </c>
      <c r="AX18" s="480">
        <v>4.99</v>
      </c>
      <c r="AY18" s="490"/>
      <c r="AZ18" s="485">
        <v>4.99</v>
      </c>
      <c r="BA18" s="490"/>
      <c r="BB18" s="485">
        <v>1.99</v>
      </c>
      <c r="BD18" s="441" t="s">
        <v>615</v>
      </c>
    </row>
    <row r="19" spans="1:56" ht="15.75" x14ac:dyDescent="0.25">
      <c r="A19" s="462" t="s">
        <v>491</v>
      </c>
      <c r="B19" s="416">
        <v>18</v>
      </c>
      <c r="C19" s="401">
        <f ca="1">1+$A$32-$A$31</f>
        <v>1</v>
      </c>
      <c r="D19" s="402"/>
      <c r="E19" s="447">
        <f ca="1">F19-$A$32</f>
        <v>0</v>
      </c>
      <c r="F19" s="403">
        <v>43644</v>
      </c>
      <c r="G19" s="416"/>
      <c r="H19" s="416"/>
      <c r="I19" s="407">
        <v>5</v>
      </c>
      <c r="J19" s="409">
        <v>6.99</v>
      </c>
      <c r="K19" s="407">
        <v>4</v>
      </c>
      <c r="L19" s="408">
        <v>5.99</v>
      </c>
      <c r="M19" s="405">
        <v>3</v>
      </c>
      <c r="N19" s="419">
        <v>3.99</v>
      </c>
      <c r="O19" s="416"/>
      <c r="P19" s="410">
        <v>3.99</v>
      </c>
      <c r="Q19" s="407">
        <v>2</v>
      </c>
      <c r="R19" s="410">
        <v>3.99</v>
      </c>
      <c r="S19" s="416"/>
      <c r="T19" s="416"/>
      <c r="U19" s="411" t="s">
        <v>479</v>
      </c>
      <c r="V19" s="412" t="s">
        <v>480</v>
      </c>
      <c r="W19" s="412">
        <v>5</v>
      </c>
      <c r="X19" s="412">
        <v>0</v>
      </c>
      <c r="Y19" s="412">
        <v>0</v>
      </c>
      <c r="Z19" s="412"/>
      <c r="AA19" s="426"/>
      <c r="AB19" s="426"/>
      <c r="AC19" s="426"/>
      <c r="AD19" s="426"/>
      <c r="AE19" s="426"/>
      <c r="AF19" s="426"/>
      <c r="AG19" s="426"/>
      <c r="AH19" s="415" t="s">
        <v>481</v>
      </c>
      <c r="AI19" s="416"/>
      <c r="AK19" s="510" t="s">
        <v>181</v>
      </c>
      <c r="AL19" s="443">
        <v>16</v>
      </c>
      <c r="AM19" s="444">
        <v>1626</v>
      </c>
      <c r="AN19" s="446"/>
      <c r="AO19" s="488"/>
      <c r="AP19" s="488"/>
      <c r="AQ19" s="482">
        <v>4</v>
      </c>
      <c r="AR19" s="482">
        <v>4.99</v>
      </c>
      <c r="AS19" s="482">
        <v>5</v>
      </c>
      <c r="AT19" s="483">
        <v>5.99</v>
      </c>
      <c r="AU19" s="482">
        <v>4</v>
      </c>
      <c r="AV19" s="482">
        <v>4.99</v>
      </c>
      <c r="AW19" s="488"/>
      <c r="AX19" s="488"/>
      <c r="AY19" s="480">
        <v>2</v>
      </c>
      <c r="AZ19" s="480">
        <v>2.99</v>
      </c>
      <c r="BA19" s="482">
        <v>1</v>
      </c>
      <c r="BB19" s="482">
        <v>1.99</v>
      </c>
      <c r="BD19" s="441" t="s">
        <v>616</v>
      </c>
    </row>
    <row r="20" spans="1:56" ht="15.75" x14ac:dyDescent="0.25">
      <c r="A20" s="462" t="s">
        <v>492</v>
      </c>
      <c r="B20" s="416">
        <v>17</v>
      </c>
      <c r="C20" s="401">
        <f ca="1">103+$A$32-$A$31</f>
        <v>103</v>
      </c>
      <c r="D20" s="402"/>
      <c r="E20" s="447">
        <f t="shared" ref="E20:E28" ca="1" si="1">F20-$A$32</f>
        <v>0</v>
      </c>
      <c r="F20" s="403">
        <v>43644</v>
      </c>
      <c r="G20" s="416"/>
      <c r="H20" s="410">
        <v>1.99</v>
      </c>
      <c r="I20" s="405">
        <v>4</v>
      </c>
      <c r="J20" s="419">
        <v>4.99</v>
      </c>
      <c r="K20" s="405">
        <v>3</v>
      </c>
      <c r="L20" s="419">
        <v>3.99</v>
      </c>
      <c r="M20" s="405">
        <v>1</v>
      </c>
      <c r="N20" s="419">
        <v>1.99</v>
      </c>
      <c r="O20" s="416"/>
      <c r="P20" s="408">
        <v>5.99</v>
      </c>
      <c r="Q20" s="407">
        <v>4</v>
      </c>
      <c r="R20" s="408">
        <v>5.99</v>
      </c>
      <c r="S20" s="416"/>
      <c r="T20" s="408">
        <v>5.99</v>
      </c>
      <c r="U20" s="422" t="s">
        <v>493</v>
      </c>
      <c r="V20" s="412"/>
      <c r="W20" s="412">
        <v>7</v>
      </c>
      <c r="X20" s="412">
        <v>0</v>
      </c>
      <c r="Y20" s="412">
        <v>1</v>
      </c>
      <c r="Z20" s="412"/>
      <c r="AA20" s="426"/>
      <c r="AB20" s="426"/>
      <c r="AC20" s="426"/>
      <c r="AD20" s="426"/>
      <c r="AE20" s="426"/>
      <c r="AF20" s="426"/>
      <c r="AG20" s="426"/>
      <c r="AH20" s="415" t="s">
        <v>481</v>
      </c>
      <c r="AI20" s="379"/>
      <c r="AK20" s="510" t="s">
        <v>519</v>
      </c>
      <c r="AL20" s="443">
        <v>17</v>
      </c>
      <c r="AM20" s="444">
        <v>1561</v>
      </c>
      <c r="AN20" s="446" t="s">
        <v>94</v>
      </c>
      <c r="AO20" s="479"/>
      <c r="AP20" s="479"/>
      <c r="AQ20" s="482">
        <v>4</v>
      </c>
      <c r="AR20" s="482">
        <v>4.99</v>
      </c>
      <c r="AS20" s="480">
        <v>5</v>
      </c>
      <c r="AT20" s="481">
        <v>5.99</v>
      </c>
      <c r="AU20" s="482">
        <v>4</v>
      </c>
      <c r="AV20" s="482">
        <v>4.99</v>
      </c>
      <c r="AW20" s="479"/>
      <c r="AX20" s="479"/>
      <c r="AY20" s="479"/>
      <c r="AZ20" s="485">
        <v>2.99</v>
      </c>
      <c r="BA20" s="482">
        <v>3</v>
      </c>
      <c r="BB20" s="482">
        <v>3.99</v>
      </c>
    </row>
    <row r="21" spans="1:56" ht="15.75" x14ac:dyDescent="0.25">
      <c r="A21" s="462" t="s">
        <v>494</v>
      </c>
      <c r="B21" s="416">
        <v>17</v>
      </c>
      <c r="C21" s="401">
        <f ca="1">92+$A$32-$A$31</f>
        <v>92</v>
      </c>
      <c r="D21" s="402"/>
      <c r="E21" s="447">
        <f t="shared" ca="1" si="1"/>
        <v>0</v>
      </c>
      <c r="F21" s="403">
        <v>43644</v>
      </c>
      <c r="G21" s="416"/>
      <c r="H21" s="410">
        <v>1.99</v>
      </c>
      <c r="I21" s="405">
        <v>4</v>
      </c>
      <c r="J21" s="419">
        <v>4.99</v>
      </c>
      <c r="K21" s="405">
        <v>3</v>
      </c>
      <c r="L21" s="419">
        <v>3.99</v>
      </c>
      <c r="M21" s="416"/>
      <c r="N21" s="410">
        <v>2.99</v>
      </c>
      <c r="O21" s="416"/>
      <c r="P21" s="408">
        <v>5.99</v>
      </c>
      <c r="Q21" s="405">
        <v>3</v>
      </c>
      <c r="R21" s="419">
        <v>3.99</v>
      </c>
      <c r="S21" s="416"/>
      <c r="T21" s="416"/>
      <c r="U21" s="422" t="s">
        <v>495</v>
      </c>
      <c r="V21" s="412"/>
      <c r="W21" s="412">
        <v>6</v>
      </c>
      <c r="X21" s="412">
        <v>0</v>
      </c>
      <c r="Y21" s="412">
        <v>0</v>
      </c>
      <c r="Z21" s="412"/>
      <c r="AA21" s="426"/>
      <c r="AB21" s="426"/>
      <c r="AC21" s="426"/>
      <c r="AD21" s="426"/>
      <c r="AE21" s="426"/>
      <c r="AF21" s="426"/>
      <c r="AG21" s="426"/>
      <c r="AH21" s="415" t="s">
        <v>481</v>
      </c>
      <c r="AI21" s="379"/>
      <c r="AK21" s="510" t="s">
        <v>520</v>
      </c>
      <c r="AL21" s="443">
        <v>17</v>
      </c>
      <c r="AM21" s="444">
        <v>1515</v>
      </c>
      <c r="AN21" s="446"/>
      <c r="AO21" s="488"/>
      <c r="AP21" s="488"/>
      <c r="AQ21" s="480">
        <v>3</v>
      </c>
      <c r="AR21" s="480">
        <v>3.99</v>
      </c>
      <c r="AS21" s="482">
        <v>4</v>
      </c>
      <c r="AT21" s="482">
        <v>4.99</v>
      </c>
      <c r="AU21" s="482">
        <v>5</v>
      </c>
      <c r="AV21" s="483">
        <v>5.99</v>
      </c>
      <c r="AW21" s="488"/>
      <c r="AX21" s="488"/>
      <c r="AY21" s="482">
        <v>3</v>
      </c>
      <c r="AZ21" s="482">
        <v>3.99</v>
      </c>
      <c r="BA21" s="488"/>
      <c r="BB21" s="488"/>
    </row>
    <row r="22" spans="1:56" ht="15.75" x14ac:dyDescent="0.25">
      <c r="A22" s="462" t="s">
        <v>496</v>
      </c>
      <c r="B22" s="400">
        <v>17</v>
      </c>
      <c r="C22" s="431">
        <f ca="1">75+$A$32-$A$31</f>
        <v>75</v>
      </c>
      <c r="D22" s="379"/>
      <c r="E22" s="447">
        <f t="shared" ca="1" si="1"/>
        <v>0</v>
      </c>
      <c r="F22" s="403">
        <v>43644</v>
      </c>
      <c r="G22" s="379"/>
      <c r="H22" s="410">
        <v>1.99</v>
      </c>
      <c r="I22" s="379"/>
      <c r="J22" s="410">
        <v>3.99</v>
      </c>
      <c r="K22" s="405">
        <v>3</v>
      </c>
      <c r="L22" s="419">
        <v>3.99</v>
      </c>
      <c r="M22" s="407">
        <v>4</v>
      </c>
      <c r="N22" s="408">
        <v>5.99</v>
      </c>
      <c r="O22" s="420">
        <v>4</v>
      </c>
      <c r="P22" s="421">
        <v>4.99</v>
      </c>
      <c r="Q22" s="379"/>
      <c r="R22" s="410">
        <v>3.99</v>
      </c>
      <c r="S22" s="379"/>
      <c r="T22" s="379"/>
      <c r="U22" s="411" t="s">
        <v>479</v>
      </c>
      <c r="V22" s="379"/>
      <c r="W22" s="412">
        <v>6</v>
      </c>
      <c r="X22" s="381">
        <v>0</v>
      </c>
      <c r="Y22" s="381">
        <v>0</v>
      </c>
      <c r="Z22" s="379"/>
      <c r="AA22" s="432"/>
      <c r="AB22" s="432"/>
      <c r="AC22" s="432"/>
      <c r="AD22" s="432"/>
      <c r="AE22" s="432"/>
      <c r="AF22" s="432"/>
      <c r="AG22" s="432"/>
      <c r="AH22" s="415" t="s">
        <v>481</v>
      </c>
      <c r="AI22" s="379"/>
      <c r="AK22" s="510" t="s">
        <v>521</v>
      </c>
      <c r="AL22" s="443">
        <v>19</v>
      </c>
      <c r="AM22" s="444">
        <v>1502</v>
      </c>
      <c r="AN22" s="446"/>
      <c r="AO22" s="488"/>
      <c r="AP22" s="485">
        <v>1.99</v>
      </c>
      <c r="AQ22" s="488"/>
      <c r="AR22" s="485">
        <v>2.99</v>
      </c>
      <c r="AS22" s="485">
        <v>3</v>
      </c>
      <c r="AT22" s="488"/>
      <c r="AU22" s="488"/>
      <c r="AV22" s="488"/>
      <c r="AW22" s="480">
        <v>5</v>
      </c>
      <c r="AX22" s="491">
        <v>5.99</v>
      </c>
      <c r="AY22" s="488"/>
      <c r="AZ22" s="485">
        <v>2.99</v>
      </c>
      <c r="BA22" s="488"/>
      <c r="BB22" s="488"/>
    </row>
    <row r="23" spans="1:56" ht="15.75" x14ac:dyDescent="0.25">
      <c r="A23" s="462" t="s">
        <v>497</v>
      </c>
      <c r="B23" s="416">
        <v>17</v>
      </c>
      <c r="C23" s="401">
        <f ca="1">75+$A$32-$A$31</f>
        <v>75</v>
      </c>
      <c r="D23" s="417" t="s">
        <v>94</v>
      </c>
      <c r="E23" s="447">
        <f t="shared" ca="1" si="1"/>
        <v>0</v>
      </c>
      <c r="F23" s="403">
        <v>43644</v>
      </c>
      <c r="G23" s="416"/>
      <c r="H23" s="416"/>
      <c r="I23" s="405">
        <v>2</v>
      </c>
      <c r="J23" s="419">
        <v>2.99</v>
      </c>
      <c r="K23" s="405">
        <v>2</v>
      </c>
      <c r="L23" s="419">
        <v>2.99</v>
      </c>
      <c r="M23" s="407">
        <v>4</v>
      </c>
      <c r="N23" s="409">
        <v>6.99</v>
      </c>
      <c r="O23" s="416"/>
      <c r="P23" s="408">
        <v>5.99</v>
      </c>
      <c r="Q23" s="407">
        <v>2</v>
      </c>
      <c r="R23" s="410">
        <v>3.99</v>
      </c>
      <c r="S23" s="416"/>
      <c r="T23" s="410">
        <v>3.99</v>
      </c>
      <c r="U23" s="411" t="s">
        <v>479</v>
      </c>
      <c r="V23" s="412"/>
      <c r="W23" s="412">
        <v>6</v>
      </c>
      <c r="X23" s="412">
        <v>0</v>
      </c>
      <c r="Y23" s="412">
        <v>0</v>
      </c>
      <c r="Z23" s="425">
        <v>1896</v>
      </c>
      <c r="AA23" s="426"/>
      <c r="AB23" s="426"/>
      <c r="AC23" s="426"/>
      <c r="AD23" s="426"/>
      <c r="AE23" s="426"/>
      <c r="AF23" s="426"/>
      <c r="AG23" s="426"/>
      <c r="AH23" s="415" t="s">
        <v>474</v>
      </c>
      <c r="AI23" s="379"/>
      <c r="AK23" s="510" t="s">
        <v>522</v>
      </c>
      <c r="AL23" s="443">
        <v>18</v>
      </c>
      <c r="AM23" s="444">
        <v>1561</v>
      </c>
      <c r="AN23" s="446"/>
      <c r="AO23" s="479"/>
      <c r="AP23" s="479"/>
      <c r="AQ23" s="485">
        <v>1</v>
      </c>
      <c r="AR23" s="485">
        <v>2.99</v>
      </c>
      <c r="AS23" s="480">
        <v>3</v>
      </c>
      <c r="AT23" s="480">
        <v>3.99</v>
      </c>
      <c r="AU23" s="479"/>
      <c r="AV23" s="484">
        <v>5.99</v>
      </c>
      <c r="AW23" s="485">
        <v>3</v>
      </c>
      <c r="AX23" s="485">
        <v>4.99</v>
      </c>
      <c r="AY23" s="482">
        <v>1</v>
      </c>
      <c r="AZ23" s="482">
        <v>1.99</v>
      </c>
      <c r="BA23" s="479"/>
      <c r="BB23" s="479"/>
    </row>
    <row r="24" spans="1:56" ht="15.75" x14ac:dyDescent="0.25">
      <c r="A24" s="460" t="s">
        <v>498</v>
      </c>
      <c r="B24" s="400">
        <v>17</v>
      </c>
      <c r="C24" s="401">
        <f ca="1">48+$A$32-$A$31</f>
        <v>48</v>
      </c>
      <c r="D24" s="417" t="s">
        <v>67</v>
      </c>
      <c r="E24" s="447">
        <f t="shared" ca="1" si="1"/>
        <v>0</v>
      </c>
      <c r="F24" s="403">
        <v>43644</v>
      </c>
      <c r="G24" s="404"/>
      <c r="H24" s="410">
        <v>1.99</v>
      </c>
      <c r="I24" s="420">
        <v>4</v>
      </c>
      <c r="J24" s="421">
        <v>4.99</v>
      </c>
      <c r="K24" s="405">
        <v>3</v>
      </c>
      <c r="L24" s="419">
        <v>3.99</v>
      </c>
      <c r="M24" s="405">
        <v>2</v>
      </c>
      <c r="N24" s="419">
        <v>2.99</v>
      </c>
      <c r="O24" s="404"/>
      <c r="P24" s="410">
        <v>2.99</v>
      </c>
      <c r="Q24" s="407">
        <v>4</v>
      </c>
      <c r="R24" s="409">
        <v>6.99</v>
      </c>
      <c r="S24" s="404"/>
      <c r="T24" s="404"/>
      <c r="U24" s="411" t="s">
        <v>479</v>
      </c>
      <c r="V24" s="412" t="s">
        <v>480</v>
      </c>
      <c r="W24" s="412">
        <v>6</v>
      </c>
      <c r="X24" s="412">
        <v>0</v>
      </c>
      <c r="Y24" s="412">
        <v>0</v>
      </c>
      <c r="Z24" s="425">
        <v>1969</v>
      </c>
      <c r="AA24" s="426"/>
      <c r="AB24" s="426"/>
      <c r="AC24" s="426"/>
      <c r="AD24" s="426"/>
      <c r="AE24" s="426"/>
      <c r="AF24" s="426"/>
      <c r="AG24" s="426"/>
      <c r="AH24" s="415" t="s">
        <v>481</v>
      </c>
      <c r="AI24" s="416"/>
      <c r="AK24" s="510" t="s">
        <v>523</v>
      </c>
      <c r="AL24" s="443">
        <v>18</v>
      </c>
      <c r="AM24" s="444">
        <v>1540</v>
      </c>
      <c r="AN24" s="446" t="s">
        <v>105</v>
      </c>
      <c r="AO24" s="488"/>
      <c r="AP24" s="488"/>
      <c r="AQ24" s="488"/>
      <c r="AR24" s="485">
        <v>4.99</v>
      </c>
      <c r="AS24" s="482">
        <v>5.5</v>
      </c>
      <c r="AT24" s="483">
        <v>5.99</v>
      </c>
      <c r="AU24" s="482">
        <v>1</v>
      </c>
      <c r="AV24" s="482">
        <v>1.99</v>
      </c>
      <c r="AW24" s="482">
        <v>2</v>
      </c>
      <c r="AX24" s="482">
        <v>2.99</v>
      </c>
      <c r="AY24" s="482">
        <v>3</v>
      </c>
      <c r="AZ24" s="482">
        <v>3.99</v>
      </c>
      <c r="BA24" s="488"/>
      <c r="BB24" s="488"/>
    </row>
    <row r="25" spans="1:56" ht="15.75" x14ac:dyDescent="0.25">
      <c r="A25" s="463" t="s">
        <v>499</v>
      </c>
      <c r="B25" s="400">
        <v>16</v>
      </c>
      <c r="C25" s="401">
        <f ca="1">76+$A$32-$A$31</f>
        <v>76</v>
      </c>
      <c r="D25" s="417" t="s">
        <v>67</v>
      </c>
      <c r="E25" s="447">
        <f t="shared" ca="1" si="1"/>
        <v>36</v>
      </c>
      <c r="F25" s="403">
        <v>43680</v>
      </c>
      <c r="G25" s="404"/>
      <c r="H25" s="404"/>
      <c r="I25" s="405">
        <v>3</v>
      </c>
      <c r="J25" s="419">
        <v>3.99</v>
      </c>
      <c r="K25" s="420">
        <v>4</v>
      </c>
      <c r="L25" s="421">
        <v>4.99</v>
      </c>
      <c r="M25" s="404"/>
      <c r="N25" s="410">
        <v>3.99</v>
      </c>
      <c r="O25" s="404"/>
      <c r="P25" s="409">
        <v>6.99</v>
      </c>
      <c r="Q25" s="404"/>
      <c r="R25" s="410">
        <v>4.99</v>
      </c>
      <c r="S25" s="404"/>
      <c r="T25" s="404"/>
      <c r="U25" s="422" t="s">
        <v>500</v>
      </c>
      <c r="V25" s="412" t="s">
        <v>480</v>
      </c>
      <c r="W25" s="412">
        <v>5</v>
      </c>
      <c r="X25" s="412">
        <v>0</v>
      </c>
      <c r="Y25" s="412">
        <v>0</v>
      </c>
      <c r="Z25" s="425">
        <v>1968</v>
      </c>
      <c r="AA25" s="426"/>
      <c r="AB25" s="426"/>
      <c r="AC25" s="426"/>
      <c r="AD25" s="426"/>
      <c r="AE25" s="426"/>
      <c r="AF25" s="426"/>
      <c r="AG25" s="426"/>
      <c r="AH25" s="415" t="s">
        <v>474</v>
      </c>
      <c r="AI25" s="379"/>
      <c r="AK25" s="510" t="s">
        <v>524</v>
      </c>
      <c r="AL25" s="443">
        <v>18</v>
      </c>
      <c r="AM25" s="444">
        <v>1501</v>
      </c>
      <c r="AN25" s="446" t="s">
        <v>67</v>
      </c>
      <c r="AO25" s="488"/>
      <c r="AP25" s="485">
        <v>1.99</v>
      </c>
      <c r="AQ25" s="488"/>
      <c r="AR25" s="485">
        <v>1.99</v>
      </c>
      <c r="AS25" s="480">
        <v>5</v>
      </c>
      <c r="AT25" s="481">
        <v>5.99</v>
      </c>
      <c r="AU25" s="488"/>
      <c r="AV25" s="485">
        <v>3.99</v>
      </c>
      <c r="AW25" s="482">
        <v>3</v>
      </c>
      <c r="AX25" s="482">
        <v>3.99</v>
      </c>
      <c r="AY25" s="480">
        <v>2</v>
      </c>
      <c r="AZ25" s="480">
        <v>2.99</v>
      </c>
      <c r="BA25" s="488"/>
      <c r="BB25" s="488"/>
    </row>
    <row r="26" spans="1:56" ht="15.75" x14ac:dyDescent="0.25">
      <c r="A26" s="460" t="s">
        <v>501</v>
      </c>
      <c r="B26" s="400">
        <v>17</v>
      </c>
      <c r="C26" s="401">
        <f ca="1">27+$A$32-$A$31</f>
        <v>27</v>
      </c>
      <c r="D26" s="417"/>
      <c r="E26" s="447">
        <f t="shared" ca="1" si="1"/>
        <v>41</v>
      </c>
      <c r="F26" s="403">
        <v>43685</v>
      </c>
      <c r="G26" s="404"/>
      <c r="H26" s="404"/>
      <c r="I26" s="404"/>
      <c r="J26" s="404"/>
      <c r="K26" s="407">
        <v>2</v>
      </c>
      <c r="L26" s="404"/>
      <c r="M26" s="404"/>
      <c r="N26" s="404"/>
      <c r="O26" s="404"/>
      <c r="P26" s="409">
        <v>7</v>
      </c>
      <c r="Q26" s="404"/>
      <c r="R26" s="404"/>
      <c r="S26" s="404"/>
      <c r="T26" s="404"/>
      <c r="U26" s="411" t="s">
        <v>479</v>
      </c>
      <c r="V26" s="412" t="s">
        <v>480</v>
      </c>
      <c r="W26" s="412">
        <v>1</v>
      </c>
      <c r="X26" s="412">
        <v>0</v>
      </c>
      <c r="Y26" s="412">
        <v>0</v>
      </c>
      <c r="Z26" s="412"/>
      <c r="AA26" s="426"/>
      <c r="AB26" s="426"/>
      <c r="AC26" s="426"/>
      <c r="AD26" s="426"/>
      <c r="AE26" s="426"/>
      <c r="AF26" s="426"/>
      <c r="AG26" s="426"/>
      <c r="AH26" s="415" t="s">
        <v>481</v>
      </c>
      <c r="AI26" s="416"/>
      <c r="AK26" s="510" t="s">
        <v>525</v>
      </c>
      <c r="AL26" s="443">
        <v>16</v>
      </c>
      <c r="AM26" s="444">
        <v>1510</v>
      </c>
      <c r="AN26" s="446"/>
      <c r="AO26" s="479"/>
      <c r="AP26" s="485">
        <v>1.99</v>
      </c>
      <c r="AQ26" s="482">
        <v>3</v>
      </c>
      <c r="AR26" s="483">
        <v>3.99</v>
      </c>
      <c r="AS26" s="482">
        <v>5.4</v>
      </c>
      <c r="AT26" s="483">
        <v>5.99</v>
      </c>
      <c r="AU26" s="482">
        <v>2</v>
      </c>
      <c r="AV26" s="482">
        <v>2.99</v>
      </c>
      <c r="AW26" s="479"/>
      <c r="AX26" s="479"/>
      <c r="AY26" s="482">
        <v>4</v>
      </c>
      <c r="AZ26" s="482">
        <v>4.99</v>
      </c>
      <c r="BA26" s="488"/>
      <c r="BB26" s="485">
        <v>3.99</v>
      </c>
    </row>
    <row r="27" spans="1:56" ht="15.75" x14ac:dyDescent="0.25">
      <c r="A27" s="464" t="s">
        <v>502</v>
      </c>
      <c r="B27" s="416">
        <v>16</v>
      </c>
      <c r="C27" s="401">
        <f ca="1">68+$A$32-$A$31</f>
        <v>68</v>
      </c>
      <c r="D27" s="402"/>
      <c r="E27" s="447">
        <f t="shared" ca="1" si="1"/>
        <v>44</v>
      </c>
      <c r="F27" s="403">
        <v>43688</v>
      </c>
      <c r="G27" s="416"/>
      <c r="H27" s="409">
        <v>6.99</v>
      </c>
      <c r="I27" s="416"/>
      <c r="J27" s="410">
        <v>2.99</v>
      </c>
      <c r="K27" s="423">
        <v>1</v>
      </c>
      <c r="L27" s="424">
        <v>1.99</v>
      </c>
      <c r="M27" s="405">
        <v>0</v>
      </c>
      <c r="N27" s="419">
        <v>0.99</v>
      </c>
      <c r="O27" s="416"/>
      <c r="P27" s="410">
        <v>0.99</v>
      </c>
      <c r="Q27" s="416"/>
      <c r="R27" s="410">
        <v>1.99</v>
      </c>
      <c r="S27" s="416"/>
      <c r="T27" s="410">
        <v>1.99</v>
      </c>
      <c r="U27" s="422" t="s">
        <v>503</v>
      </c>
      <c r="V27" s="412"/>
      <c r="W27" s="412">
        <v>7</v>
      </c>
      <c r="X27" s="412">
        <v>0</v>
      </c>
      <c r="Y27" s="412">
        <v>0</v>
      </c>
      <c r="Z27" s="412">
        <v>1808</v>
      </c>
      <c r="AA27" s="426"/>
      <c r="AB27" s="426"/>
      <c r="AC27" s="426"/>
      <c r="AD27" s="426"/>
      <c r="AE27" s="426"/>
      <c r="AF27" s="426"/>
      <c r="AG27" s="426"/>
      <c r="AH27" s="415" t="s">
        <v>481</v>
      </c>
      <c r="AI27" s="379"/>
      <c r="AK27" s="510" t="s">
        <v>526</v>
      </c>
      <c r="AL27" s="443">
        <v>17</v>
      </c>
      <c r="AM27" s="444">
        <v>1456</v>
      </c>
      <c r="AN27" s="446"/>
      <c r="AO27" s="492"/>
      <c r="AP27" s="492"/>
      <c r="AQ27" s="492"/>
      <c r="AR27" s="485">
        <v>3.99</v>
      </c>
      <c r="AS27" s="482">
        <v>2</v>
      </c>
      <c r="AT27" s="482">
        <v>2.99</v>
      </c>
      <c r="AU27" s="482">
        <v>4</v>
      </c>
      <c r="AV27" s="482">
        <v>4.99</v>
      </c>
      <c r="AW27" s="482">
        <v>5</v>
      </c>
      <c r="AX27" s="483">
        <v>5.99</v>
      </c>
      <c r="AY27" s="482">
        <v>6</v>
      </c>
      <c r="AZ27" s="487">
        <v>6.99</v>
      </c>
      <c r="BA27" s="492"/>
      <c r="BB27" s="492"/>
    </row>
    <row r="28" spans="1:56" ht="15.75" x14ac:dyDescent="0.25">
      <c r="A28" s="462" t="s">
        <v>504</v>
      </c>
      <c r="B28" s="416">
        <v>17</v>
      </c>
      <c r="C28" s="401">
        <f ca="1">3+$A$32-$A$31</f>
        <v>3</v>
      </c>
      <c r="D28" s="402"/>
      <c r="E28" s="447">
        <f t="shared" ca="1" si="1"/>
        <v>53</v>
      </c>
      <c r="F28" s="403">
        <v>43697</v>
      </c>
      <c r="G28" s="416"/>
      <c r="H28" s="416"/>
      <c r="I28" s="407">
        <v>5</v>
      </c>
      <c r="J28" s="409">
        <v>6.99</v>
      </c>
      <c r="K28" s="379"/>
      <c r="L28" s="410">
        <v>2.99</v>
      </c>
      <c r="M28" s="416"/>
      <c r="N28" s="410">
        <v>1.99</v>
      </c>
      <c r="O28" s="416"/>
      <c r="P28" s="410">
        <v>2.99</v>
      </c>
      <c r="Q28" s="416"/>
      <c r="R28" s="409">
        <v>6.99</v>
      </c>
      <c r="S28" s="416"/>
      <c r="T28" s="416"/>
      <c r="U28" s="416"/>
      <c r="V28" s="412"/>
      <c r="W28" s="412">
        <v>5</v>
      </c>
      <c r="X28" s="412">
        <v>0</v>
      </c>
      <c r="Y28" s="412">
        <v>0</v>
      </c>
      <c r="Z28" s="412"/>
      <c r="AA28" s="426"/>
      <c r="AB28" s="426"/>
      <c r="AC28" s="426"/>
      <c r="AD28" s="426"/>
      <c r="AE28" s="426"/>
      <c r="AF28" s="426"/>
      <c r="AG28" s="426"/>
      <c r="AH28" s="415" t="s">
        <v>481</v>
      </c>
      <c r="AI28" s="379"/>
      <c r="AK28" s="510" t="s">
        <v>527</v>
      </c>
      <c r="AL28" s="443">
        <v>17</v>
      </c>
      <c r="AM28" s="444">
        <v>1439</v>
      </c>
      <c r="AN28" s="446" t="s">
        <v>220</v>
      </c>
      <c r="AO28" s="488"/>
      <c r="AP28" s="488"/>
      <c r="AQ28" s="482">
        <v>2</v>
      </c>
      <c r="AR28" s="482">
        <v>2.99</v>
      </c>
      <c r="AS28" s="480">
        <v>4</v>
      </c>
      <c r="AT28" s="480">
        <v>4.99</v>
      </c>
      <c r="AU28" s="488"/>
      <c r="AV28" s="485">
        <v>3.99</v>
      </c>
      <c r="AW28" s="488"/>
      <c r="AX28" s="485">
        <v>3.99</v>
      </c>
      <c r="AY28" s="482">
        <v>4</v>
      </c>
      <c r="AZ28" s="482">
        <v>4.99</v>
      </c>
      <c r="BA28" s="488"/>
      <c r="BB28" s="488"/>
    </row>
    <row r="29" spans="1:56" ht="15.75" x14ac:dyDescent="0.25">
      <c r="A29" s="416"/>
      <c r="B29" s="416"/>
      <c r="C29" s="431"/>
      <c r="D29" s="433"/>
      <c r="E29" s="416"/>
      <c r="F29" s="416"/>
      <c r="G29" s="416"/>
      <c r="H29" s="416"/>
      <c r="I29" s="416"/>
      <c r="J29" s="416"/>
      <c r="K29" s="416"/>
      <c r="L29" s="416"/>
      <c r="M29" s="416"/>
      <c r="N29" s="416"/>
      <c r="O29" s="416"/>
      <c r="P29" s="416"/>
      <c r="Q29" s="416"/>
      <c r="R29" s="416"/>
      <c r="S29" s="416"/>
      <c r="T29" s="416"/>
      <c r="U29" s="433"/>
      <c r="V29" s="433"/>
      <c r="W29" s="433"/>
      <c r="X29" s="433"/>
      <c r="Y29" s="433"/>
      <c r="Z29" s="433"/>
      <c r="AA29" s="433"/>
      <c r="AB29" s="433"/>
      <c r="AC29" s="433"/>
      <c r="AD29" s="433"/>
      <c r="AE29" s="433"/>
      <c r="AF29" s="433"/>
      <c r="AG29" s="433"/>
      <c r="AH29" s="434"/>
      <c r="AI29" s="416"/>
      <c r="AK29" s="510" t="s">
        <v>225</v>
      </c>
      <c r="AL29" s="443">
        <v>17</v>
      </c>
      <c r="AM29" s="444">
        <v>1340</v>
      </c>
      <c r="AN29" s="446" t="s">
        <v>220</v>
      </c>
      <c r="AO29" s="488"/>
      <c r="AP29" s="488"/>
      <c r="AQ29" s="480">
        <v>2</v>
      </c>
      <c r="AR29" s="480">
        <v>2.99</v>
      </c>
      <c r="AS29" s="482">
        <v>6.1</v>
      </c>
      <c r="AT29" s="487">
        <v>6.2</v>
      </c>
      <c r="AU29" s="482">
        <v>4</v>
      </c>
      <c r="AV29" s="482">
        <v>4.99</v>
      </c>
      <c r="AW29" s="482">
        <v>4</v>
      </c>
      <c r="AX29" s="482">
        <v>4.99</v>
      </c>
      <c r="AY29" s="483">
        <v>5</v>
      </c>
      <c r="AZ29" s="483">
        <v>5.99</v>
      </c>
      <c r="BA29" s="488"/>
      <c r="BB29" s="488"/>
    </row>
    <row r="30" spans="1:56" ht="15.75" x14ac:dyDescent="0.25">
      <c r="A30" s="465" t="s">
        <v>505</v>
      </c>
      <c r="B30" s="467"/>
      <c r="C30" s="467"/>
      <c r="D30" s="445"/>
      <c r="E30" s="429"/>
      <c r="F30" s="379"/>
      <c r="G30" s="379"/>
      <c r="H30" s="379"/>
      <c r="I30" s="379"/>
      <c r="J30" s="379"/>
      <c r="K30" s="379"/>
      <c r="L30" s="379"/>
      <c r="M30" s="379"/>
      <c r="N30" s="379"/>
      <c r="O30" s="379"/>
      <c r="P30" s="379"/>
      <c r="Q30" s="416"/>
      <c r="R30" s="416"/>
      <c r="S30" s="379"/>
      <c r="T30" s="379"/>
      <c r="U30" s="379"/>
      <c r="V30" s="379"/>
      <c r="W30" s="379"/>
      <c r="X30" s="379"/>
      <c r="Y30" s="379"/>
      <c r="Z30" s="379"/>
      <c r="AA30" s="379"/>
      <c r="AB30" s="379"/>
      <c r="AC30" s="379"/>
      <c r="AD30" s="379"/>
      <c r="AE30" s="379"/>
      <c r="AF30" s="379"/>
      <c r="AG30" s="379"/>
      <c r="AH30" s="379"/>
      <c r="AI30" s="379"/>
      <c r="AK30" s="510" t="s">
        <v>528</v>
      </c>
      <c r="AL30" s="443">
        <v>19</v>
      </c>
      <c r="AM30" s="444">
        <v>1416</v>
      </c>
      <c r="AN30" s="446" t="s">
        <v>67</v>
      </c>
      <c r="AO30" s="490"/>
      <c r="AP30" s="485">
        <v>1.99</v>
      </c>
      <c r="AQ30" s="485">
        <v>5</v>
      </c>
      <c r="AR30" s="486">
        <v>6.99</v>
      </c>
      <c r="AS30" s="482">
        <v>1</v>
      </c>
      <c r="AT30" s="482">
        <v>1.99</v>
      </c>
      <c r="AU30" s="482">
        <v>3</v>
      </c>
      <c r="AV30" s="482">
        <v>3.99</v>
      </c>
      <c r="AW30" s="490"/>
      <c r="AX30" s="485">
        <v>3.99</v>
      </c>
      <c r="AY30" s="482">
        <v>2</v>
      </c>
      <c r="AZ30" s="482">
        <v>2.99</v>
      </c>
      <c r="BA30" s="490"/>
      <c r="BB30" s="485">
        <v>2.99</v>
      </c>
    </row>
    <row r="31" spans="1:56" ht="15.75" x14ac:dyDescent="0.25">
      <c r="A31" s="466">
        <v>43644</v>
      </c>
      <c r="B31" s="468"/>
      <c r="C31" s="467"/>
      <c r="D31" s="445"/>
      <c r="E31" s="429"/>
      <c r="F31" s="391" t="s">
        <v>235</v>
      </c>
      <c r="G31" s="381"/>
      <c r="H31" s="379"/>
      <c r="I31" s="379"/>
      <c r="J31" s="379"/>
      <c r="K31" s="379"/>
      <c r="L31" s="379"/>
      <c r="M31" s="379"/>
      <c r="N31" s="379"/>
      <c r="O31" s="379"/>
      <c r="P31" s="379"/>
      <c r="Q31" s="416"/>
      <c r="R31" s="416"/>
      <c r="S31" s="379"/>
      <c r="T31" s="379"/>
      <c r="U31" s="379"/>
      <c r="V31" s="379"/>
      <c r="W31" s="379"/>
      <c r="X31" s="379"/>
      <c r="Y31" s="379"/>
      <c r="Z31" s="379"/>
      <c r="AA31" s="379"/>
      <c r="AB31" s="379"/>
      <c r="AC31" s="379"/>
      <c r="AD31" s="379"/>
      <c r="AE31" s="379"/>
      <c r="AF31" s="379"/>
      <c r="AG31" s="379"/>
      <c r="AH31" s="435"/>
      <c r="AI31" s="379"/>
      <c r="AK31" s="510" t="s">
        <v>529</v>
      </c>
      <c r="AL31" s="443">
        <v>19</v>
      </c>
      <c r="AM31" s="444">
        <v>1289</v>
      </c>
      <c r="AN31" s="446"/>
      <c r="AO31" s="490"/>
      <c r="AP31" s="490"/>
      <c r="AQ31" s="490"/>
      <c r="AR31" s="484">
        <v>5.99</v>
      </c>
      <c r="AS31" s="480">
        <v>4</v>
      </c>
      <c r="AT31" s="480">
        <v>4.99</v>
      </c>
      <c r="AU31" s="490"/>
      <c r="AV31" s="485">
        <v>2.99</v>
      </c>
      <c r="AW31" s="485">
        <v>5</v>
      </c>
      <c r="AX31" s="484">
        <v>5.99</v>
      </c>
      <c r="AY31" s="482">
        <v>5</v>
      </c>
      <c r="AZ31" s="483">
        <v>5.99</v>
      </c>
      <c r="BA31" s="482">
        <v>2</v>
      </c>
      <c r="BB31" s="482">
        <v>2.99</v>
      </c>
    </row>
    <row r="32" spans="1:56" ht="15.75" x14ac:dyDescent="0.25">
      <c r="A32" s="448">
        <f ca="1">TODAY()</f>
        <v>43644</v>
      </c>
      <c r="B32" s="445"/>
      <c r="C32" s="445"/>
      <c r="D32" s="445"/>
      <c r="E32" s="416"/>
      <c r="F32" s="380" t="s">
        <v>617</v>
      </c>
      <c r="G32" s="379"/>
      <c r="H32" s="379"/>
      <c r="I32" s="379"/>
      <c r="J32" s="379"/>
      <c r="K32" s="379"/>
      <c r="L32" s="379"/>
      <c r="M32" s="379"/>
      <c r="N32" s="379"/>
      <c r="O32" s="379"/>
      <c r="P32" s="380"/>
      <c r="Q32" s="416"/>
      <c r="R32" s="416"/>
      <c r="S32" s="379"/>
      <c r="T32" s="379"/>
      <c r="U32" s="379"/>
      <c r="V32" s="379"/>
      <c r="W32" s="379"/>
      <c r="X32" s="379"/>
      <c r="Y32" s="379"/>
      <c r="Z32" s="379"/>
      <c r="AA32" s="379"/>
      <c r="AB32" s="379"/>
      <c r="AC32" s="379"/>
      <c r="AD32" s="379"/>
      <c r="AE32" s="379"/>
      <c r="AF32" s="379"/>
      <c r="AG32" s="379"/>
      <c r="AH32" s="379"/>
      <c r="AI32" s="379"/>
      <c r="AK32" s="510" t="s">
        <v>530</v>
      </c>
      <c r="AL32" s="443">
        <v>17</v>
      </c>
      <c r="AM32" s="444">
        <v>1296</v>
      </c>
      <c r="AN32" s="446"/>
      <c r="AO32" s="493"/>
      <c r="AP32" s="485">
        <v>1.99</v>
      </c>
      <c r="AQ32" s="482">
        <v>2</v>
      </c>
      <c r="AR32" s="482">
        <v>2.99</v>
      </c>
      <c r="AS32" s="480">
        <v>3</v>
      </c>
      <c r="AT32" s="480">
        <v>3.99</v>
      </c>
      <c r="AU32" s="482">
        <v>3</v>
      </c>
      <c r="AV32" s="482">
        <v>3.99</v>
      </c>
      <c r="AW32" s="482">
        <v>6</v>
      </c>
      <c r="AX32" s="487">
        <v>6.99</v>
      </c>
      <c r="AY32" s="480">
        <v>6</v>
      </c>
      <c r="AZ32" s="494">
        <v>6.99</v>
      </c>
      <c r="BA32" s="493"/>
      <c r="BB32" s="493"/>
    </row>
    <row r="33" spans="1:54" ht="15.75" x14ac:dyDescent="0.25">
      <c r="A33" s="448"/>
      <c r="B33" s="449"/>
      <c r="C33" s="449"/>
      <c r="D33" s="445"/>
      <c r="E33" s="416"/>
      <c r="F33" s="379"/>
      <c r="G33" s="379"/>
      <c r="H33" s="379"/>
      <c r="I33" s="379"/>
      <c r="J33" s="379"/>
      <c r="K33" s="379"/>
      <c r="L33" s="379"/>
      <c r="M33" s="379"/>
      <c r="N33" s="379"/>
      <c r="O33" s="379"/>
      <c r="P33" s="380"/>
      <c r="Q33" s="416"/>
      <c r="R33" s="416"/>
      <c r="AK33" s="510" t="s">
        <v>531</v>
      </c>
      <c r="AL33" s="443">
        <v>17</v>
      </c>
      <c r="AM33" s="444">
        <v>1291</v>
      </c>
      <c r="AN33" s="446"/>
      <c r="AO33" s="488"/>
      <c r="AP33" s="488"/>
      <c r="AQ33" s="482">
        <v>1</v>
      </c>
      <c r="AR33" s="482">
        <v>1.99</v>
      </c>
      <c r="AS33" s="485">
        <v>4</v>
      </c>
      <c r="AT33" s="486">
        <v>6.99</v>
      </c>
      <c r="AU33" s="482">
        <v>3</v>
      </c>
      <c r="AV33" s="482">
        <v>3.99</v>
      </c>
      <c r="AW33" s="488"/>
      <c r="AX33" s="485">
        <v>2.99</v>
      </c>
      <c r="AY33" s="482">
        <v>3</v>
      </c>
      <c r="AZ33" s="482">
        <v>3.99</v>
      </c>
      <c r="BA33" s="488"/>
      <c r="BB33" s="488"/>
    </row>
    <row r="34" spans="1:54" ht="15.75" x14ac:dyDescent="0.25">
      <c r="A34" s="445"/>
      <c r="B34" s="445"/>
      <c r="C34" s="445"/>
      <c r="D34" s="445"/>
      <c r="E34" s="416"/>
      <c r="F34" s="379"/>
      <c r="G34" s="379"/>
      <c r="H34" s="379"/>
      <c r="I34" s="379"/>
      <c r="J34" s="379"/>
      <c r="K34" s="379"/>
      <c r="L34" s="379"/>
      <c r="M34" s="379"/>
      <c r="N34" s="379"/>
      <c r="O34" s="379"/>
      <c r="P34" s="380"/>
      <c r="Q34" s="416"/>
      <c r="R34" s="416"/>
      <c r="AK34" s="510" t="s">
        <v>532</v>
      </c>
      <c r="AL34" s="443">
        <v>17</v>
      </c>
      <c r="AM34" s="444">
        <v>1328</v>
      </c>
      <c r="AN34" s="446"/>
      <c r="AO34" s="488"/>
      <c r="AP34" s="488"/>
      <c r="AQ34" s="482">
        <v>3</v>
      </c>
      <c r="AR34" s="482">
        <v>3.99</v>
      </c>
      <c r="AS34" s="482">
        <v>6</v>
      </c>
      <c r="AT34" s="487">
        <v>6.99</v>
      </c>
      <c r="AU34" s="482">
        <v>3</v>
      </c>
      <c r="AV34" s="482">
        <v>3.99</v>
      </c>
      <c r="AW34" s="480">
        <v>4</v>
      </c>
      <c r="AX34" s="480">
        <v>4.99</v>
      </c>
      <c r="AY34" s="482">
        <v>4</v>
      </c>
      <c r="AZ34" s="482">
        <v>4.99</v>
      </c>
      <c r="BA34" s="488"/>
      <c r="BB34" s="488"/>
    </row>
    <row r="35" spans="1:54" ht="15.75" x14ac:dyDescent="0.25">
      <c r="AK35" s="510" t="s">
        <v>533</v>
      </c>
      <c r="AL35" s="443">
        <v>17</v>
      </c>
      <c r="AM35" s="444">
        <v>-628</v>
      </c>
      <c r="AN35" s="446"/>
      <c r="AO35" s="488"/>
      <c r="AP35" s="488"/>
      <c r="AQ35" s="480">
        <v>6</v>
      </c>
      <c r="AR35" s="494">
        <v>6.99</v>
      </c>
      <c r="AS35" s="480">
        <v>4</v>
      </c>
      <c r="AT35" s="480">
        <v>4.99</v>
      </c>
      <c r="AU35" s="482">
        <v>1</v>
      </c>
      <c r="AV35" s="482">
        <v>1.99</v>
      </c>
      <c r="AW35" s="488"/>
      <c r="AX35" s="485">
        <v>3.99</v>
      </c>
      <c r="AY35" s="482">
        <v>1</v>
      </c>
      <c r="AZ35" s="482">
        <v>1.99</v>
      </c>
      <c r="BA35" s="488"/>
      <c r="BB35" s="485">
        <v>4.99</v>
      </c>
    </row>
    <row r="36" spans="1:54" ht="15.75" x14ac:dyDescent="0.25">
      <c r="AK36" s="510" t="s">
        <v>534</v>
      </c>
      <c r="AL36" s="443">
        <v>17</v>
      </c>
      <c r="AM36" s="444">
        <v>1272</v>
      </c>
      <c r="AN36" s="446"/>
      <c r="AO36" s="495"/>
      <c r="AP36" s="495"/>
      <c r="AQ36" s="482">
        <v>2</v>
      </c>
      <c r="AR36" s="482">
        <v>2.99</v>
      </c>
      <c r="AS36" s="480">
        <v>6</v>
      </c>
      <c r="AT36" s="494">
        <v>6.99</v>
      </c>
      <c r="AU36" s="482">
        <v>3</v>
      </c>
      <c r="AV36" s="482">
        <v>3.99</v>
      </c>
      <c r="AW36" s="482">
        <v>3</v>
      </c>
      <c r="AX36" s="482">
        <v>3.99</v>
      </c>
      <c r="AY36" s="482">
        <v>2</v>
      </c>
      <c r="AZ36" s="482">
        <v>2.99</v>
      </c>
      <c r="BA36" s="482">
        <v>2</v>
      </c>
      <c r="BB36" s="482">
        <v>2.99</v>
      </c>
    </row>
    <row r="37" spans="1:54" ht="15.75" x14ac:dyDescent="0.25">
      <c r="AK37" s="510" t="s">
        <v>258</v>
      </c>
      <c r="AL37" s="443">
        <v>18</v>
      </c>
      <c r="AM37" s="444">
        <v>1200</v>
      </c>
      <c r="AN37" s="446"/>
      <c r="AO37" s="490"/>
      <c r="AP37" s="490"/>
      <c r="AQ37" s="482">
        <v>6</v>
      </c>
      <c r="AR37" s="487">
        <v>6.99</v>
      </c>
      <c r="AS37" s="482">
        <v>6.7</v>
      </c>
      <c r="AT37" s="487">
        <v>6.99</v>
      </c>
      <c r="AU37" s="482">
        <v>5</v>
      </c>
      <c r="AV37" s="483">
        <v>5.99</v>
      </c>
      <c r="AW37" s="482">
        <v>2</v>
      </c>
      <c r="AX37" s="482">
        <v>2.99</v>
      </c>
      <c r="AY37" s="482">
        <v>3</v>
      </c>
      <c r="AZ37" s="482">
        <v>3.99</v>
      </c>
      <c r="BA37" s="490"/>
      <c r="BB37" s="485">
        <v>2.99</v>
      </c>
    </row>
    <row r="38" spans="1:54" ht="15.75" x14ac:dyDescent="0.25">
      <c r="AK38" s="510" t="s">
        <v>535</v>
      </c>
      <c r="AL38" s="443">
        <v>18</v>
      </c>
      <c r="AM38" s="444">
        <v>1220</v>
      </c>
      <c r="AN38" s="446"/>
      <c r="AO38" s="488"/>
      <c r="AP38" s="485">
        <v>1.99</v>
      </c>
      <c r="AQ38" s="480">
        <v>6</v>
      </c>
      <c r="AR38" s="494">
        <v>6.99</v>
      </c>
      <c r="AS38" s="488"/>
      <c r="AT38" s="485">
        <v>3.99</v>
      </c>
      <c r="AU38" s="482">
        <v>3</v>
      </c>
      <c r="AV38" s="482">
        <v>3.99</v>
      </c>
      <c r="AW38" s="482">
        <v>2</v>
      </c>
      <c r="AX38" s="482">
        <v>2.99</v>
      </c>
      <c r="AY38" s="482">
        <v>4</v>
      </c>
      <c r="AZ38" s="482">
        <v>4.99</v>
      </c>
      <c r="BA38" s="488"/>
      <c r="BB38" s="484">
        <v>5.99</v>
      </c>
    </row>
    <row r="39" spans="1:54" ht="15.75" x14ac:dyDescent="0.25">
      <c r="AK39" s="510" t="s">
        <v>536</v>
      </c>
      <c r="AL39" s="443">
        <v>18</v>
      </c>
      <c r="AM39" s="444">
        <v>-673</v>
      </c>
      <c r="AN39" s="446"/>
      <c r="AO39" s="488"/>
      <c r="AP39" s="485">
        <v>1.99</v>
      </c>
      <c r="AQ39" s="482">
        <v>2</v>
      </c>
      <c r="AR39" s="482">
        <v>2.99</v>
      </c>
      <c r="AS39" s="482">
        <v>2</v>
      </c>
      <c r="AT39" s="482">
        <v>2.99</v>
      </c>
      <c r="AU39" s="482">
        <v>5</v>
      </c>
      <c r="AV39" s="483">
        <v>5.99</v>
      </c>
      <c r="AW39" s="485">
        <v>5</v>
      </c>
      <c r="AX39" s="486">
        <v>6.99</v>
      </c>
      <c r="AY39" s="482">
        <v>4</v>
      </c>
      <c r="AZ39" s="482">
        <v>4.99</v>
      </c>
      <c r="BA39" s="488"/>
      <c r="BB39" s="485">
        <v>4.99</v>
      </c>
    </row>
    <row r="40" spans="1:54" ht="15.75" x14ac:dyDescent="0.25">
      <c r="AK40" s="510" t="s">
        <v>297</v>
      </c>
      <c r="AL40" s="443">
        <v>17</v>
      </c>
      <c r="AM40" s="444">
        <v>1145</v>
      </c>
      <c r="AN40" s="446" t="s">
        <v>220</v>
      </c>
      <c r="AO40" s="488"/>
      <c r="AP40" s="485">
        <v>1.99</v>
      </c>
      <c r="AQ40" s="482">
        <v>5</v>
      </c>
      <c r="AR40" s="483">
        <v>5.99</v>
      </c>
      <c r="AS40" s="496">
        <v>7</v>
      </c>
      <c r="AT40" s="497">
        <v>7</v>
      </c>
      <c r="AU40" s="482">
        <v>1</v>
      </c>
      <c r="AV40" s="482">
        <v>1.99</v>
      </c>
      <c r="AW40" s="488"/>
      <c r="AX40" s="485">
        <v>2.99</v>
      </c>
      <c r="AY40" s="482">
        <v>1</v>
      </c>
      <c r="AZ40" s="482">
        <v>1.99</v>
      </c>
      <c r="BA40" s="488"/>
      <c r="BB40" s="488"/>
    </row>
    <row r="41" spans="1:54" ht="15.75" x14ac:dyDescent="0.25">
      <c r="AK41" s="510" t="s">
        <v>537</v>
      </c>
      <c r="AL41" s="443">
        <v>19</v>
      </c>
      <c r="AM41" s="444">
        <v>1042</v>
      </c>
      <c r="AN41" s="446" t="s">
        <v>94</v>
      </c>
      <c r="AO41" s="488"/>
      <c r="AP41" s="485">
        <v>1.99</v>
      </c>
      <c r="AQ41" s="485">
        <v>5</v>
      </c>
      <c r="AR41" s="486">
        <v>6.99</v>
      </c>
      <c r="AS41" s="480">
        <v>4</v>
      </c>
      <c r="AT41" s="480">
        <v>4.99</v>
      </c>
      <c r="AU41" s="482">
        <v>1</v>
      </c>
      <c r="AV41" s="482">
        <v>1.99</v>
      </c>
      <c r="AW41" s="488"/>
      <c r="AX41" s="485">
        <v>2.99</v>
      </c>
      <c r="AY41" s="485">
        <v>2</v>
      </c>
      <c r="AZ41" s="485">
        <v>3.99</v>
      </c>
      <c r="BA41" s="488"/>
      <c r="BB41" s="485">
        <v>1.99</v>
      </c>
    </row>
    <row r="42" spans="1:54" ht="15.75" x14ac:dyDescent="0.25">
      <c r="AK42" s="510" t="s">
        <v>538</v>
      </c>
      <c r="AL42" s="443">
        <v>19</v>
      </c>
      <c r="AM42" s="444">
        <v>-813</v>
      </c>
      <c r="AN42" s="446"/>
      <c r="AO42" s="490"/>
      <c r="AP42" s="485">
        <v>0.99</v>
      </c>
      <c r="AQ42" s="482">
        <v>3</v>
      </c>
      <c r="AR42" s="482">
        <v>3.99</v>
      </c>
      <c r="AS42" s="480">
        <v>5</v>
      </c>
      <c r="AT42" s="481">
        <v>5.99</v>
      </c>
      <c r="AU42" s="482">
        <v>5</v>
      </c>
      <c r="AV42" s="483">
        <v>5.99</v>
      </c>
      <c r="AW42" s="490"/>
      <c r="AX42" s="490">
        <v>3.99</v>
      </c>
      <c r="AY42" s="490"/>
      <c r="AZ42" s="498">
        <v>5.99</v>
      </c>
      <c r="BA42" s="490"/>
      <c r="BB42" s="490"/>
    </row>
    <row r="43" spans="1:54" ht="15.75" x14ac:dyDescent="0.25">
      <c r="AK43" s="510" t="s">
        <v>539</v>
      </c>
      <c r="AL43" s="443">
        <v>18</v>
      </c>
      <c r="AM43" s="444">
        <v>4</v>
      </c>
      <c r="AN43" s="446" t="s">
        <v>94</v>
      </c>
      <c r="AO43" s="488"/>
      <c r="AP43" s="485">
        <v>1.99</v>
      </c>
      <c r="AQ43" s="482">
        <v>4</v>
      </c>
      <c r="AR43" s="482">
        <v>4.99</v>
      </c>
      <c r="AS43" s="482">
        <v>3</v>
      </c>
      <c r="AT43" s="482">
        <v>3.99</v>
      </c>
      <c r="AU43" s="488"/>
      <c r="AV43" s="486">
        <v>6.99</v>
      </c>
      <c r="AW43" s="488"/>
      <c r="AX43" s="485">
        <v>3.99</v>
      </c>
      <c r="AY43" s="482">
        <v>2</v>
      </c>
      <c r="AZ43" s="482">
        <v>2.99</v>
      </c>
      <c r="BA43" s="488"/>
      <c r="BB43" s="488">
        <v>3.99</v>
      </c>
    </row>
    <row r="44" spans="1:54" ht="15.75" x14ac:dyDescent="0.25">
      <c r="AK44" s="510" t="s">
        <v>540</v>
      </c>
      <c r="AL44" s="443">
        <v>16</v>
      </c>
      <c r="AM44" s="444">
        <v>-718</v>
      </c>
      <c r="AN44" s="446" t="s">
        <v>220</v>
      </c>
      <c r="AO44" s="490"/>
      <c r="AP44" s="485">
        <v>1.99</v>
      </c>
      <c r="AQ44" s="482">
        <v>1</v>
      </c>
      <c r="AR44" s="482">
        <v>1.99</v>
      </c>
      <c r="AS44" s="480">
        <v>6</v>
      </c>
      <c r="AT44" s="494">
        <v>6.99</v>
      </c>
      <c r="AU44" s="490"/>
      <c r="AV44" s="485">
        <v>3.99</v>
      </c>
      <c r="AW44" s="490"/>
      <c r="AX44" s="485">
        <v>3.99</v>
      </c>
      <c r="AY44" s="482">
        <v>2</v>
      </c>
      <c r="AZ44" s="482">
        <v>2.99</v>
      </c>
      <c r="BA44" s="490"/>
      <c r="BB44" s="485">
        <v>2.99</v>
      </c>
    </row>
    <row r="45" spans="1:54" ht="15.75" x14ac:dyDescent="0.25">
      <c r="AK45" s="510" t="s">
        <v>541</v>
      </c>
      <c r="AL45" s="443">
        <v>18</v>
      </c>
      <c r="AM45" s="444">
        <v>1028</v>
      </c>
      <c r="AN45" s="446"/>
      <c r="AO45" s="499"/>
      <c r="AP45" s="499"/>
      <c r="AQ45" s="480">
        <v>5</v>
      </c>
      <c r="AR45" s="481">
        <v>5.99</v>
      </c>
      <c r="AS45" s="482">
        <v>6</v>
      </c>
      <c r="AT45" s="487">
        <v>6.99</v>
      </c>
      <c r="AU45" s="482">
        <v>2</v>
      </c>
      <c r="AV45" s="482">
        <v>2.99</v>
      </c>
      <c r="AW45" s="499"/>
      <c r="AX45" s="485">
        <v>2.99</v>
      </c>
      <c r="AY45" s="482">
        <v>4</v>
      </c>
      <c r="AZ45" s="482">
        <v>4.99</v>
      </c>
      <c r="BA45" s="499"/>
      <c r="BB45" s="499"/>
    </row>
    <row r="46" spans="1:54" ht="15.75" x14ac:dyDescent="0.25">
      <c r="AK46" s="510" t="s">
        <v>542</v>
      </c>
      <c r="AL46" s="443">
        <v>17</v>
      </c>
      <c r="AM46" s="444">
        <v>932</v>
      </c>
      <c r="AN46" s="446"/>
      <c r="AO46" s="488"/>
      <c r="AP46" s="488"/>
      <c r="AQ46" s="482">
        <v>2</v>
      </c>
      <c r="AR46" s="482">
        <v>2.99</v>
      </c>
      <c r="AS46" s="480">
        <v>7</v>
      </c>
      <c r="AT46" s="494">
        <v>7</v>
      </c>
      <c r="AU46" s="480">
        <v>3</v>
      </c>
      <c r="AV46" s="480">
        <v>3.99</v>
      </c>
      <c r="AW46" s="482">
        <v>1</v>
      </c>
      <c r="AX46" s="482">
        <v>1.99</v>
      </c>
      <c r="AY46" s="488"/>
      <c r="AZ46" s="485">
        <v>3.99</v>
      </c>
      <c r="BA46" s="488"/>
      <c r="BB46" s="488"/>
    </row>
    <row r="47" spans="1:54" ht="15.75" x14ac:dyDescent="0.25">
      <c r="AK47" s="510" t="s">
        <v>543</v>
      </c>
      <c r="AL47" s="443">
        <v>18</v>
      </c>
      <c r="AM47" s="444">
        <v>1032</v>
      </c>
      <c r="AN47" s="446" t="s">
        <v>105</v>
      </c>
      <c r="AO47" s="499"/>
      <c r="AP47" s="485">
        <v>1.99</v>
      </c>
      <c r="AQ47" s="499"/>
      <c r="AR47" s="485">
        <v>2.99</v>
      </c>
      <c r="AS47" s="482">
        <v>3</v>
      </c>
      <c r="AT47" s="482">
        <v>3.99</v>
      </c>
      <c r="AU47" s="482">
        <v>5</v>
      </c>
      <c r="AV47" s="483">
        <v>5.99</v>
      </c>
      <c r="AW47" s="482">
        <v>6</v>
      </c>
      <c r="AX47" s="487">
        <v>6.99</v>
      </c>
      <c r="AY47" s="482">
        <v>2</v>
      </c>
      <c r="AZ47" s="482">
        <v>2.99</v>
      </c>
      <c r="BA47" s="482">
        <v>4</v>
      </c>
      <c r="BB47" s="482">
        <v>4.99</v>
      </c>
    </row>
    <row r="48" spans="1:54" ht="15.75" x14ac:dyDescent="0.25">
      <c r="AK48" s="510" t="s">
        <v>544</v>
      </c>
      <c r="AL48" s="443">
        <v>17</v>
      </c>
      <c r="AM48" s="444">
        <v>959</v>
      </c>
      <c r="AN48" s="446"/>
      <c r="AO48" s="500"/>
      <c r="AP48" s="500">
        <v>1.99</v>
      </c>
      <c r="AQ48" s="500"/>
      <c r="AR48" s="485">
        <v>3.99</v>
      </c>
      <c r="AS48" s="480">
        <v>5</v>
      </c>
      <c r="AT48" s="481">
        <v>5.99</v>
      </c>
      <c r="AU48" s="499"/>
      <c r="AV48" s="485">
        <v>2.99</v>
      </c>
      <c r="AW48" s="482">
        <v>5</v>
      </c>
      <c r="AX48" s="483">
        <v>5.99</v>
      </c>
      <c r="AY48" s="480">
        <v>4</v>
      </c>
      <c r="AZ48" s="480">
        <v>4.99</v>
      </c>
      <c r="BA48" s="499"/>
      <c r="BB48" s="499">
        <v>3.99</v>
      </c>
    </row>
    <row r="49" spans="37:54" ht="15.75" x14ac:dyDescent="0.25">
      <c r="AK49" s="510" t="s">
        <v>545</v>
      </c>
      <c r="AL49" s="443">
        <v>17</v>
      </c>
      <c r="AM49" s="444">
        <v>852</v>
      </c>
      <c r="AN49" s="446"/>
      <c r="AO49" s="490"/>
      <c r="AP49" s="490"/>
      <c r="AQ49" s="490"/>
      <c r="AR49" s="485">
        <v>4.99</v>
      </c>
      <c r="AS49" s="482">
        <v>3</v>
      </c>
      <c r="AT49" s="482">
        <v>3.99</v>
      </c>
      <c r="AU49" s="480">
        <v>5</v>
      </c>
      <c r="AV49" s="481">
        <v>5.99</v>
      </c>
      <c r="AW49" s="490"/>
      <c r="AX49" s="485">
        <v>2.99</v>
      </c>
      <c r="AY49" s="482">
        <v>4</v>
      </c>
      <c r="AZ49" s="482">
        <v>4.99</v>
      </c>
      <c r="BA49" s="490"/>
      <c r="BB49" s="490"/>
    </row>
    <row r="50" spans="37:54" ht="15.75" x14ac:dyDescent="0.25">
      <c r="AK50" s="510" t="s">
        <v>546</v>
      </c>
      <c r="AL50" s="443">
        <v>18</v>
      </c>
      <c r="AM50" s="444">
        <v>908</v>
      </c>
      <c r="AN50" s="446" t="s">
        <v>220</v>
      </c>
      <c r="AO50" s="499"/>
      <c r="AP50" s="499"/>
      <c r="AQ50" s="485">
        <v>4</v>
      </c>
      <c r="AR50" s="484">
        <v>5.99</v>
      </c>
      <c r="AS50" s="482">
        <v>3</v>
      </c>
      <c r="AT50" s="482">
        <v>3.99</v>
      </c>
      <c r="AU50" s="480">
        <v>6</v>
      </c>
      <c r="AV50" s="494">
        <v>6.99</v>
      </c>
      <c r="AW50" s="485">
        <v>6</v>
      </c>
      <c r="AX50" s="486">
        <v>7</v>
      </c>
      <c r="AY50" s="482">
        <v>4</v>
      </c>
      <c r="AZ50" s="482">
        <v>4.99</v>
      </c>
      <c r="BA50" s="499"/>
      <c r="BB50" s="485">
        <v>2.99</v>
      </c>
    </row>
    <row r="51" spans="37:54" ht="15.75" x14ac:dyDescent="0.25">
      <c r="AK51" s="510" t="s">
        <v>547</v>
      </c>
      <c r="AL51" s="443">
        <v>17</v>
      </c>
      <c r="AM51" s="444">
        <v>856</v>
      </c>
      <c r="AN51" s="446" t="s">
        <v>220</v>
      </c>
      <c r="AO51" s="488"/>
      <c r="AP51" s="485">
        <v>0.99</v>
      </c>
      <c r="AQ51" s="485">
        <v>4</v>
      </c>
      <c r="AR51" s="484">
        <v>5.99</v>
      </c>
      <c r="AS51" s="482">
        <v>3</v>
      </c>
      <c r="AT51" s="482">
        <v>3.99</v>
      </c>
      <c r="AU51" s="482">
        <v>3</v>
      </c>
      <c r="AV51" s="482">
        <v>3.99</v>
      </c>
      <c r="AW51" s="482">
        <v>5.3</v>
      </c>
      <c r="AX51" s="483">
        <v>5.99</v>
      </c>
      <c r="AY51" s="485">
        <v>5</v>
      </c>
      <c r="AZ51" s="486">
        <v>6.99</v>
      </c>
      <c r="BA51" s="488"/>
      <c r="BB51" s="488"/>
    </row>
    <row r="52" spans="37:54" ht="15.75" x14ac:dyDescent="0.25">
      <c r="AK52" s="510" t="s">
        <v>548</v>
      </c>
      <c r="AL52" s="443">
        <v>18</v>
      </c>
      <c r="AM52" s="444">
        <v>-975</v>
      </c>
      <c r="AN52" s="446" t="s">
        <v>105</v>
      </c>
      <c r="AO52" s="488"/>
      <c r="AP52" s="485">
        <v>1.99</v>
      </c>
      <c r="AQ52" s="485">
        <v>4</v>
      </c>
      <c r="AR52" s="484">
        <v>5.99</v>
      </c>
      <c r="AS52" s="480">
        <v>5</v>
      </c>
      <c r="AT52" s="481">
        <v>5.99</v>
      </c>
      <c r="AU52" s="480">
        <v>4</v>
      </c>
      <c r="AV52" s="480">
        <v>4.99</v>
      </c>
      <c r="AW52" s="482">
        <v>4</v>
      </c>
      <c r="AX52" s="482">
        <v>4.99</v>
      </c>
      <c r="AY52" s="480">
        <v>3</v>
      </c>
      <c r="AZ52" s="480">
        <v>3.99</v>
      </c>
      <c r="BA52" s="488"/>
      <c r="BB52" s="488"/>
    </row>
    <row r="53" spans="37:54" ht="15.75" x14ac:dyDescent="0.25">
      <c r="AK53" s="510" t="s">
        <v>549</v>
      </c>
      <c r="AL53" s="443">
        <v>17</v>
      </c>
      <c r="AM53" s="444">
        <v>724</v>
      </c>
      <c r="AN53" s="446"/>
      <c r="AO53" s="488"/>
      <c r="AP53" s="485">
        <v>1.99</v>
      </c>
      <c r="AQ53" s="482">
        <v>4</v>
      </c>
      <c r="AR53" s="482">
        <v>4.99</v>
      </c>
      <c r="AS53" s="480">
        <v>6</v>
      </c>
      <c r="AT53" s="494">
        <v>6.99</v>
      </c>
      <c r="AU53" s="488"/>
      <c r="AV53" s="485">
        <v>3.99</v>
      </c>
      <c r="AW53" s="482">
        <v>2</v>
      </c>
      <c r="AX53" s="482">
        <v>2.99</v>
      </c>
      <c r="AY53" s="482">
        <v>3</v>
      </c>
      <c r="AZ53" s="482">
        <v>3.99</v>
      </c>
      <c r="BA53" s="488"/>
      <c r="BB53" s="484">
        <v>5.99</v>
      </c>
    </row>
    <row r="54" spans="37:54" ht="15.75" x14ac:dyDescent="0.25">
      <c r="AK54" s="510" t="s">
        <v>550</v>
      </c>
      <c r="AL54" s="443">
        <v>17</v>
      </c>
      <c r="AM54" s="444">
        <v>789</v>
      </c>
      <c r="AN54" s="446" t="s">
        <v>105</v>
      </c>
      <c r="AO54" s="490"/>
      <c r="AP54" s="490"/>
      <c r="AQ54" s="480">
        <v>5</v>
      </c>
      <c r="AR54" s="481">
        <v>5.99</v>
      </c>
      <c r="AS54" s="490"/>
      <c r="AT54" s="485">
        <v>2.99</v>
      </c>
      <c r="AU54" s="485">
        <v>5</v>
      </c>
      <c r="AV54" s="486">
        <v>7</v>
      </c>
      <c r="AW54" s="482">
        <v>3</v>
      </c>
      <c r="AX54" s="482">
        <v>3.99</v>
      </c>
      <c r="AY54" s="482">
        <v>3</v>
      </c>
      <c r="AZ54" s="482">
        <v>3.99</v>
      </c>
      <c r="BA54" s="490"/>
      <c r="BB54" s="485">
        <v>3.99</v>
      </c>
    </row>
    <row r="55" spans="37:54" ht="15.75" x14ac:dyDescent="0.25">
      <c r="AK55" s="510" t="s">
        <v>551</v>
      </c>
      <c r="AL55" s="443">
        <v>16</v>
      </c>
      <c r="AM55" s="444">
        <v>796</v>
      </c>
      <c r="AN55" s="446" t="s">
        <v>220</v>
      </c>
      <c r="AO55" s="499"/>
      <c r="AP55" s="499"/>
      <c r="AQ55" s="482">
        <v>2</v>
      </c>
      <c r="AR55" s="482">
        <v>2.99</v>
      </c>
      <c r="AS55" s="480">
        <v>5</v>
      </c>
      <c r="AT55" s="481">
        <v>5.99</v>
      </c>
      <c r="AU55" s="480">
        <v>5</v>
      </c>
      <c r="AV55" s="481">
        <v>5.99</v>
      </c>
      <c r="AW55" s="482">
        <v>4</v>
      </c>
      <c r="AX55" s="482">
        <v>4.99</v>
      </c>
      <c r="AY55" s="482">
        <v>3</v>
      </c>
      <c r="AZ55" s="482">
        <v>3.99</v>
      </c>
      <c r="BA55" s="499"/>
      <c r="BB55" s="499"/>
    </row>
    <row r="56" spans="37:54" ht="15.75" x14ac:dyDescent="0.25">
      <c r="AK56" s="510" t="s">
        <v>552</v>
      </c>
      <c r="AL56" s="443">
        <v>17</v>
      </c>
      <c r="AM56" s="444">
        <v>681</v>
      </c>
      <c r="AN56" s="446" t="s">
        <v>67</v>
      </c>
      <c r="AO56" s="488"/>
      <c r="AP56" s="485">
        <v>1.99</v>
      </c>
      <c r="AQ56" s="482">
        <v>3</v>
      </c>
      <c r="AR56" s="482">
        <v>3.99</v>
      </c>
      <c r="AS56" s="480">
        <v>5</v>
      </c>
      <c r="AT56" s="481">
        <v>5.99</v>
      </c>
      <c r="AU56" s="488"/>
      <c r="AV56" s="485">
        <v>2.99</v>
      </c>
      <c r="AW56" s="482">
        <v>4</v>
      </c>
      <c r="AX56" s="482">
        <v>4.99</v>
      </c>
      <c r="AY56" s="482">
        <v>4</v>
      </c>
      <c r="AZ56" s="482">
        <v>4.99</v>
      </c>
      <c r="BA56" s="482">
        <v>2</v>
      </c>
      <c r="BB56" s="482">
        <v>2.99</v>
      </c>
    </row>
    <row r="57" spans="37:54" ht="15.75" x14ac:dyDescent="0.25">
      <c r="AK57" s="510" t="s">
        <v>553</v>
      </c>
      <c r="AL57" s="443">
        <v>19</v>
      </c>
      <c r="AM57" s="444">
        <v>686</v>
      </c>
      <c r="AN57" s="446" t="s">
        <v>94</v>
      </c>
      <c r="AO57" s="499"/>
      <c r="AP57" s="485">
        <v>1.99</v>
      </c>
      <c r="AQ57" s="482">
        <v>2</v>
      </c>
      <c r="AR57" s="482">
        <v>2.99</v>
      </c>
      <c r="AS57" s="482">
        <v>3</v>
      </c>
      <c r="AT57" s="482">
        <v>3.99</v>
      </c>
      <c r="AU57" s="485">
        <v>4</v>
      </c>
      <c r="AV57" s="484">
        <v>5.99</v>
      </c>
      <c r="AW57" s="482">
        <v>4</v>
      </c>
      <c r="AX57" s="482">
        <v>4.99</v>
      </c>
      <c r="AY57" s="482">
        <v>5</v>
      </c>
      <c r="AZ57" s="483">
        <v>5.99</v>
      </c>
      <c r="BA57" s="499"/>
      <c r="BB57" s="485">
        <v>3.99</v>
      </c>
    </row>
    <row r="58" spans="37:54" ht="15.75" x14ac:dyDescent="0.25">
      <c r="AK58" s="510" t="s">
        <v>554</v>
      </c>
      <c r="AL58" s="443">
        <v>17</v>
      </c>
      <c r="AM58" s="444">
        <v>736</v>
      </c>
      <c r="AN58" s="446" t="s">
        <v>67</v>
      </c>
      <c r="AO58" s="488"/>
      <c r="AP58" s="485">
        <v>1.99</v>
      </c>
      <c r="AQ58" s="482">
        <v>1</v>
      </c>
      <c r="AR58" s="482">
        <v>1.99</v>
      </c>
      <c r="AS58" s="480">
        <v>6</v>
      </c>
      <c r="AT58" s="494">
        <v>6.99</v>
      </c>
      <c r="AU58" s="488"/>
      <c r="AV58" s="485">
        <v>2.99</v>
      </c>
      <c r="AW58" s="488"/>
      <c r="AX58" s="485">
        <v>3.99</v>
      </c>
      <c r="AY58" s="488"/>
      <c r="AZ58" s="485">
        <v>3.99</v>
      </c>
      <c r="BA58" s="488"/>
      <c r="BB58" s="485">
        <v>2.99</v>
      </c>
    </row>
    <row r="59" spans="37:54" ht="15.75" x14ac:dyDescent="0.25">
      <c r="AK59" s="510" t="s">
        <v>555</v>
      </c>
      <c r="AL59" s="443">
        <v>16</v>
      </c>
      <c r="AM59" s="444">
        <v>774</v>
      </c>
      <c r="AN59" s="446"/>
      <c r="AO59" s="499"/>
      <c r="AP59" s="485">
        <v>1.99</v>
      </c>
      <c r="AQ59" s="485">
        <v>4</v>
      </c>
      <c r="AR59" s="484">
        <v>5.99</v>
      </c>
      <c r="AS59" s="485">
        <v>4</v>
      </c>
      <c r="AT59" s="484">
        <v>5.99</v>
      </c>
      <c r="AU59" s="482">
        <v>5</v>
      </c>
      <c r="AV59" s="483">
        <v>5.99</v>
      </c>
      <c r="AW59" s="499"/>
      <c r="AX59" s="485">
        <v>3.99</v>
      </c>
      <c r="AY59" s="499"/>
      <c r="AZ59" s="485">
        <v>3.99</v>
      </c>
      <c r="BA59" s="499"/>
      <c r="BB59" s="485">
        <v>2.99</v>
      </c>
    </row>
    <row r="60" spans="37:54" ht="15.75" x14ac:dyDescent="0.25">
      <c r="AK60" s="510" t="s">
        <v>556</v>
      </c>
      <c r="AL60" s="443">
        <v>17</v>
      </c>
      <c r="AM60" s="444">
        <v>761</v>
      </c>
      <c r="AN60" s="446" t="s">
        <v>220</v>
      </c>
      <c r="AO60" s="490"/>
      <c r="AP60" s="485">
        <v>1.99</v>
      </c>
      <c r="AQ60" s="480">
        <v>3</v>
      </c>
      <c r="AR60" s="480">
        <v>3.99</v>
      </c>
      <c r="AS60" s="485">
        <v>5</v>
      </c>
      <c r="AT60" s="486">
        <v>6.99</v>
      </c>
      <c r="AU60" s="490"/>
      <c r="AV60" s="485">
        <v>2.99</v>
      </c>
      <c r="AW60" s="482">
        <v>2</v>
      </c>
      <c r="AX60" s="482">
        <v>2.99</v>
      </c>
      <c r="AY60" s="490"/>
      <c r="AZ60" s="484">
        <v>5.99</v>
      </c>
      <c r="BA60" s="482">
        <v>2</v>
      </c>
      <c r="BB60" s="482">
        <v>2.99</v>
      </c>
    </row>
    <row r="61" spans="37:54" ht="15.75" x14ac:dyDescent="0.25">
      <c r="AK61" s="510" t="s">
        <v>557</v>
      </c>
      <c r="AL61" s="443">
        <v>19</v>
      </c>
      <c r="AM61" s="444">
        <v>633</v>
      </c>
      <c r="AN61" s="446"/>
      <c r="AO61" s="488"/>
      <c r="AP61" s="488"/>
      <c r="AQ61" s="485">
        <v>5</v>
      </c>
      <c r="AR61" s="486">
        <v>6.99</v>
      </c>
      <c r="AS61" s="480">
        <v>4</v>
      </c>
      <c r="AT61" s="480">
        <v>4.99</v>
      </c>
      <c r="AU61" s="480">
        <v>4</v>
      </c>
      <c r="AV61" s="480">
        <v>4.99</v>
      </c>
      <c r="AW61" s="482">
        <v>3</v>
      </c>
      <c r="AX61" s="482">
        <v>3.99</v>
      </c>
      <c r="AY61" s="482">
        <v>3</v>
      </c>
      <c r="AZ61" s="482">
        <v>3.99</v>
      </c>
      <c r="BA61" s="488"/>
      <c r="BB61" s="488"/>
    </row>
    <row r="62" spans="37:54" ht="15.75" x14ac:dyDescent="0.25">
      <c r="AK62" s="510" t="s">
        <v>558</v>
      </c>
      <c r="AL62" s="443">
        <v>16</v>
      </c>
      <c r="AM62" s="444">
        <v>679</v>
      </c>
      <c r="AN62" s="446"/>
      <c r="AO62" s="499"/>
      <c r="AP62" s="485">
        <v>1.99</v>
      </c>
      <c r="AQ62" s="480">
        <v>5</v>
      </c>
      <c r="AR62" s="481">
        <v>5.99</v>
      </c>
      <c r="AS62" s="482">
        <v>3</v>
      </c>
      <c r="AT62" s="482">
        <v>3.99</v>
      </c>
      <c r="AU62" s="482">
        <v>4</v>
      </c>
      <c r="AV62" s="482">
        <v>4.99</v>
      </c>
      <c r="AW62" s="485">
        <v>3</v>
      </c>
      <c r="AX62" s="485">
        <v>4.99</v>
      </c>
      <c r="AY62" s="482">
        <v>1</v>
      </c>
      <c r="AZ62" s="482">
        <v>1.99</v>
      </c>
      <c r="BA62" s="499"/>
      <c r="BB62" s="485">
        <v>2.99</v>
      </c>
    </row>
    <row r="63" spans="37:54" ht="15.75" x14ac:dyDescent="0.25">
      <c r="AK63" s="510" t="s">
        <v>559</v>
      </c>
      <c r="AL63" s="443">
        <v>16</v>
      </c>
      <c r="AM63" s="444">
        <v>663</v>
      </c>
      <c r="AN63" s="446" t="s">
        <v>96</v>
      </c>
      <c r="AO63" s="499"/>
      <c r="AP63" s="499"/>
      <c r="AQ63" s="482">
        <v>4</v>
      </c>
      <c r="AR63" s="482">
        <v>4.99</v>
      </c>
      <c r="AS63" s="482">
        <v>5</v>
      </c>
      <c r="AT63" s="483">
        <v>5.99</v>
      </c>
      <c r="AU63" s="480">
        <v>4</v>
      </c>
      <c r="AV63" s="480">
        <v>4.99</v>
      </c>
      <c r="AW63" s="499"/>
      <c r="AX63" s="485">
        <v>3.99</v>
      </c>
      <c r="AY63" s="482">
        <v>3</v>
      </c>
      <c r="AZ63" s="482">
        <v>3.99</v>
      </c>
      <c r="BA63" s="499"/>
      <c r="BB63" s="499"/>
    </row>
    <row r="64" spans="37:54" ht="15.75" x14ac:dyDescent="0.25">
      <c r="AK64" s="510" t="s">
        <v>560</v>
      </c>
      <c r="AL64" s="443">
        <v>16</v>
      </c>
      <c r="AM64" s="444">
        <v>644</v>
      </c>
      <c r="AN64" s="446"/>
      <c r="AO64" s="499"/>
      <c r="AP64" s="485">
        <v>1.99</v>
      </c>
      <c r="AQ64" s="480">
        <v>3</v>
      </c>
      <c r="AR64" s="480">
        <v>3.99</v>
      </c>
      <c r="AS64" s="480">
        <v>6</v>
      </c>
      <c r="AT64" s="494">
        <v>6.99</v>
      </c>
      <c r="AU64" s="480">
        <v>5</v>
      </c>
      <c r="AV64" s="481">
        <v>5.99</v>
      </c>
      <c r="AW64" s="499"/>
      <c r="AX64" s="485">
        <v>2.99</v>
      </c>
      <c r="AY64" s="482">
        <v>3</v>
      </c>
      <c r="AZ64" s="482">
        <v>3.99</v>
      </c>
      <c r="BA64" s="499"/>
      <c r="BB64" s="499"/>
    </row>
    <row r="65" spans="37:54" ht="15.75" x14ac:dyDescent="0.25">
      <c r="AK65" s="510" t="s">
        <v>561</v>
      </c>
      <c r="AL65" s="443">
        <v>16</v>
      </c>
      <c r="AM65" s="444">
        <v>607</v>
      </c>
      <c r="AN65" s="446" t="s">
        <v>94</v>
      </c>
      <c r="AO65" s="499"/>
      <c r="AP65" s="499"/>
      <c r="AQ65" s="482">
        <v>4</v>
      </c>
      <c r="AR65" s="482">
        <v>4.99</v>
      </c>
      <c r="AS65" s="480">
        <v>4</v>
      </c>
      <c r="AT65" s="480">
        <v>4.99</v>
      </c>
      <c r="AU65" s="482">
        <v>4</v>
      </c>
      <c r="AV65" s="482">
        <v>4.99</v>
      </c>
      <c r="AW65" s="480">
        <v>4</v>
      </c>
      <c r="AX65" s="480">
        <v>4.99</v>
      </c>
      <c r="AY65" s="480">
        <v>5</v>
      </c>
      <c r="AZ65" s="481">
        <v>5.99</v>
      </c>
      <c r="BA65" s="499"/>
      <c r="BB65" s="485">
        <v>2.99</v>
      </c>
    </row>
    <row r="66" spans="37:54" ht="15.75" x14ac:dyDescent="0.25">
      <c r="AK66" s="510" t="s">
        <v>562</v>
      </c>
      <c r="AL66" s="443">
        <v>17</v>
      </c>
      <c r="AM66" s="444">
        <v>621</v>
      </c>
      <c r="AN66" s="446" t="s">
        <v>94</v>
      </c>
      <c r="AO66" s="490"/>
      <c r="AP66" s="490"/>
      <c r="AQ66" s="485">
        <v>3</v>
      </c>
      <c r="AR66" s="485">
        <v>4.99</v>
      </c>
      <c r="AS66" s="485">
        <v>5</v>
      </c>
      <c r="AT66" s="486">
        <v>6.99</v>
      </c>
      <c r="AU66" s="482">
        <v>5</v>
      </c>
      <c r="AV66" s="483">
        <v>5.99</v>
      </c>
      <c r="AW66" s="490"/>
      <c r="AX66" s="485">
        <v>2.99</v>
      </c>
      <c r="AY66" s="480">
        <v>5</v>
      </c>
      <c r="AZ66" s="481">
        <v>5.99</v>
      </c>
      <c r="BA66" s="490"/>
      <c r="BB66" s="485">
        <v>3.99</v>
      </c>
    </row>
    <row r="67" spans="37:54" ht="15.75" x14ac:dyDescent="0.25">
      <c r="AK67" s="510" t="s">
        <v>563</v>
      </c>
      <c r="AL67" s="443">
        <v>16</v>
      </c>
      <c r="AM67" s="444">
        <v>571</v>
      </c>
      <c r="AN67" s="446"/>
      <c r="AO67" s="499"/>
      <c r="AP67" s="485">
        <v>1.99</v>
      </c>
      <c r="AQ67" s="480">
        <v>4</v>
      </c>
      <c r="AR67" s="480">
        <v>4.99</v>
      </c>
      <c r="AS67" s="482">
        <v>3</v>
      </c>
      <c r="AT67" s="482">
        <v>3.99</v>
      </c>
      <c r="AU67" s="485">
        <v>7</v>
      </c>
      <c r="AV67" s="486">
        <v>7</v>
      </c>
      <c r="AW67" s="482">
        <v>2</v>
      </c>
      <c r="AX67" s="482">
        <v>2.99</v>
      </c>
      <c r="AY67" s="480">
        <v>4</v>
      </c>
      <c r="AZ67" s="480">
        <v>4.99</v>
      </c>
      <c r="BA67" s="499"/>
      <c r="BB67" s="499"/>
    </row>
    <row r="68" spans="37:54" ht="15.75" x14ac:dyDescent="0.25">
      <c r="AK68" s="510" t="s">
        <v>564</v>
      </c>
      <c r="AL68" s="443">
        <v>17</v>
      </c>
      <c r="AM68" s="444">
        <v>467</v>
      </c>
      <c r="AN68" s="446"/>
      <c r="AO68" s="490"/>
      <c r="AP68" s="490"/>
      <c r="AQ68" s="490"/>
      <c r="AR68" s="485">
        <v>2.99</v>
      </c>
      <c r="AS68" s="482">
        <v>2</v>
      </c>
      <c r="AT68" s="482">
        <v>2.99</v>
      </c>
      <c r="AU68" s="482">
        <v>5</v>
      </c>
      <c r="AV68" s="483">
        <v>5.99</v>
      </c>
      <c r="AW68" s="490"/>
      <c r="AX68" s="484">
        <v>5.99</v>
      </c>
      <c r="AY68" s="480">
        <v>3</v>
      </c>
      <c r="AZ68" s="480">
        <v>3.99</v>
      </c>
      <c r="BA68" s="490"/>
      <c r="BB68" s="490"/>
    </row>
    <row r="69" spans="37:54" ht="15.75" x14ac:dyDescent="0.25">
      <c r="AK69" s="510" t="s">
        <v>565</v>
      </c>
      <c r="AL69" s="443">
        <v>16</v>
      </c>
      <c r="AM69" s="444">
        <v>475</v>
      </c>
      <c r="AN69" s="446"/>
      <c r="AO69" s="499"/>
      <c r="AP69" s="485">
        <v>1.99</v>
      </c>
      <c r="AQ69" s="499"/>
      <c r="AR69" s="485">
        <v>3.99</v>
      </c>
      <c r="AS69" s="480">
        <v>5</v>
      </c>
      <c r="AT69" s="481">
        <v>5.99</v>
      </c>
      <c r="AU69" s="480">
        <v>6</v>
      </c>
      <c r="AV69" s="494">
        <v>6.99</v>
      </c>
      <c r="AW69" s="499"/>
      <c r="AX69" s="499"/>
      <c r="AY69" s="482">
        <v>2</v>
      </c>
      <c r="AZ69" s="482">
        <v>2.99</v>
      </c>
      <c r="BA69" s="499"/>
      <c r="BB69" s="499"/>
    </row>
    <row r="70" spans="37:54" ht="15.75" x14ac:dyDescent="0.25">
      <c r="AK70" s="510" t="s">
        <v>566</v>
      </c>
      <c r="AL70" s="443">
        <v>16</v>
      </c>
      <c r="AM70" s="444">
        <v>422</v>
      </c>
      <c r="AN70" s="446"/>
      <c r="AO70" s="499"/>
      <c r="AP70" s="499"/>
      <c r="AQ70" s="482">
        <v>1</v>
      </c>
      <c r="AR70" s="482">
        <v>1.99</v>
      </c>
      <c r="AS70" s="480">
        <v>5</v>
      </c>
      <c r="AT70" s="481">
        <v>5.99</v>
      </c>
      <c r="AU70" s="480">
        <v>4</v>
      </c>
      <c r="AV70" s="480">
        <v>4.99</v>
      </c>
      <c r="AW70" s="499"/>
      <c r="AX70" s="485">
        <v>2.99</v>
      </c>
      <c r="AY70" s="499"/>
      <c r="AZ70" s="485">
        <v>2.99</v>
      </c>
      <c r="BA70" s="499"/>
      <c r="BB70" s="499"/>
    </row>
    <row r="71" spans="37:54" ht="15.75" x14ac:dyDescent="0.25">
      <c r="AK71" s="510" t="s">
        <v>567</v>
      </c>
      <c r="AL71" s="443">
        <v>16</v>
      </c>
      <c r="AM71" s="444">
        <v>434</v>
      </c>
      <c r="AN71" s="446"/>
      <c r="AO71" s="499"/>
      <c r="AP71" s="485">
        <v>1.99</v>
      </c>
      <c r="AQ71" s="485">
        <v>3</v>
      </c>
      <c r="AR71" s="485">
        <v>4.99</v>
      </c>
      <c r="AS71" s="480">
        <v>2</v>
      </c>
      <c r="AT71" s="480">
        <v>2.99</v>
      </c>
      <c r="AU71" s="485">
        <v>4</v>
      </c>
      <c r="AV71" s="486">
        <v>6.99</v>
      </c>
      <c r="AW71" s="499"/>
      <c r="AX71" s="485">
        <v>2.99</v>
      </c>
      <c r="AY71" s="499"/>
      <c r="AZ71" s="486">
        <v>6.99</v>
      </c>
      <c r="BA71" s="499"/>
      <c r="BB71" s="499"/>
    </row>
    <row r="72" spans="37:54" ht="15.75" x14ac:dyDescent="0.25">
      <c r="AK72" s="510" t="s">
        <v>568</v>
      </c>
      <c r="AL72" s="443">
        <v>16</v>
      </c>
      <c r="AM72" s="444">
        <v>454</v>
      </c>
      <c r="AN72" s="446"/>
      <c r="AO72" s="499"/>
      <c r="AP72" s="485">
        <v>1.99</v>
      </c>
      <c r="AQ72" s="499"/>
      <c r="AR72" s="484">
        <v>5.99</v>
      </c>
      <c r="AS72" s="480">
        <v>5</v>
      </c>
      <c r="AT72" s="481">
        <v>5.99</v>
      </c>
      <c r="AU72" s="482">
        <v>4</v>
      </c>
      <c r="AV72" s="482">
        <v>4.99</v>
      </c>
      <c r="AW72" s="485">
        <v>3</v>
      </c>
      <c r="AX72" s="484">
        <v>5.99</v>
      </c>
      <c r="AY72" s="485">
        <v>4</v>
      </c>
      <c r="AZ72" s="484">
        <v>5.99</v>
      </c>
      <c r="BA72" s="499"/>
      <c r="BB72" s="499"/>
    </row>
    <row r="73" spans="37:54" ht="15.75" x14ac:dyDescent="0.25">
      <c r="AK73" s="510" t="s">
        <v>569</v>
      </c>
      <c r="AL73" s="443">
        <v>16</v>
      </c>
      <c r="AM73" s="444">
        <v>458</v>
      </c>
      <c r="AN73" s="446"/>
      <c r="AO73" s="499"/>
      <c r="AP73" s="499"/>
      <c r="AQ73" s="499"/>
      <c r="AR73" s="485">
        <v>2.99</v>
      </c>
      <c r="AS73" s="480">
        <v>5</v>
      </c>
      <c r="AT73" s="481">
        <v>5.99</v>
      </c>
      <c r="AU73" s="485">
        <v>4</v>
      </c>
      <c r="AV73" s="484">
        <v>5.99</v>
      </c>
      <c r="AW73" s="499"/>
      <c r="AX73" s="485">
        <v>3.99</v>
      </c>
      <c r="AY73" s="482">
        <v>2</v>
      </c>
      <c r="AZ73" s="482">
        <v>2.99</v>
      </c>
      <c r="BA73" s="499"/>
      <c r="BB73" s="499"/>
    </row>
    <row r="74" spans="37:54" ht="15.75" x14ac:dyDescent="0.25">
      <c r="AK74" s="510" t="s">
        <v>570</v>
      </c>
      <c r="AL74" s="443">
        <v>15</v>
      </c>
      <c r="AM74" s="444">
        <v>517</v>
      </c>
      <c r="AN74" s="446"/>
      <c r="AO74" s="499"/>
      <c r="AP74" s="499"/>
      <c r="AQ74" s="499"/>
      <c r="AR74" s="485">
        <v>4.99</v>
      </c>
      <c r="AS74" s="499"/>
      <c r="AT74" s="499"/>
      <c r="AU74" s="499"/>
      <c r="AV74" s="485">
        <v>4.99</v>
      </c>
      <c r="AW74" s="485">
        <v>3</v>
      </c>
      <c r="AX74" s="499"/>
      <c r="AY74" s="499"/>
      <c r="AZ74" s="484">
        <v>5.99</v>
      </c>
      <c r="BA74" s="499"/>
      <c r="BB74" s="499"/>
    </row>
    <row r="75" spans="37:54" ht="15.75" x14ac:dyDescent="0.25">
      <c r="AK75" s="510" t="s">
        <v>571</v>
      </c>
      <c r="AL75" s="443">
        <v>17</v>
      </c>
      <c r="AM75" s="444">
        <v>499</v>
      </c>
      <c r="AN75" s="446"/>
      <c r="AO75" s="499"/>
      <c r="AP75" s="499"/>
      <c r="AQ75" s="485">
        <v>4</v>
      </c>
      <c r="AR75" s="484">
        <v>5.99</v>
      </c>
      <c r="AS75" s="482">
        <v>4</v>
      </c>
      <c r="AT75" s="482">
        <v>4.99</v>
      </c>
      <c r="AU75" s="482">
        <v>4</v>
      </c>
      <c r="AV75" s="482">
        <v>4.99</v>
      </c>
      <c r="AW75" s="499"/>
      <c r="AX75" s="486">
        <v>6.99</v>
      </c>
      <c r="AY75" s="482">
        <v>2</v>
      </c>
      <c r="AZ75" s="482">
        <v>2.99</v>
      </c>
      <c r="BA75" s="499"/>
      <c r="BB75" s="499"/>
    </row>
    <row r="76" spans="37:54" ht="15.75" x14ac:dyDescent="0.25">
      <c r="AK76" s="510" t="s">
        <v>572</v>
      </c>
      <c r="AL76" s="443">
        <v>16</v>
      </c>
      <c r="AM76" s="444">
        <v>-1491</v>
      </c>
      <c r="AN76" s="446"/>
      <c r="AO76" s="490"/>
      <c r="AP76" s="490"/>
      <c r="AQ76" s="501">
        <v>1</v>
      </c>
      <c r="AR76" s="482">
        <v>1.99</v>
      </c>
      <c r="AS76" s="502">
        <v>5</v>
      </c>
      <c r="AT76" s="481">
        <v>5.99</v>
      </c>
      <c r="AU76" s="490"/>
      <c r="AV76" s="485">
        <v>2.99</v>
      </c>
      <c r="AW76" s="502" t="s">
        <v>573</v>
      </c>
      <c r="AX76" s="481">
        <v>5.99</v>
      </c>
      <c r="AY76" s="502">
        <v>4</v>
      </c>
      <c r="AZ76" s="481">
        <v>4.99</v>
      </c>
      <c r="BA76" s="490"/>
      <c r="BB76" s="490"/>
    </row>
    <row r="77" spans="37:54" ht="15.75" x14ac:dyDescent="0.25">
      <c r="AK77" s="510" t="s">
        <v>574</v>
      </c>
      <c r="AL77" s="443">
        <v>16</v>
      </c>
      <c r="AM77" s="444">
        <v>336</v>
      </c>
      <c r="AN77" s="446" t="s">
        <v>67</v>
      </c>
      <c r="AO77" s="490"/>
      <c r="AP77" s="485">
        <v>1.99</v>
      </c>
      <c r="AQ77" s="502">
        <v>6</v>
      </c>
      <c r="AR77" s="494">
        <v>6.99</v>
      </c>
      <c r="AS77" s="502">
        <v>5</v>
      </c>
      <c r="AT77" s="481">
        <v>5.99</v>
      </c>
      <c r="AU77" s="502">
        <v>3</v>
      </c>
      <c r="AV77" s="480">
        <v>3.99</v>
      </c>
      <c r="AW77" s="501">
        <v>1</v>
      </c>
      <c r="AX77" s="482">
        <v>1.99</v>
      </c>
      <c r="AY77" s="501">
        <v>2</v>
      </c>
      <c r="AZ77" s="482">
        <v>2.99</v>
      </c>
      <c r="BA77" s="490"/>
      <c r="BB77" s="490"/>
    </row>
    <row r="78" spans="37:54" ht="15.75" x14ac:dyDescent="0.25">
      <c r="AK78" s="510" t="s">
        <v>575</v>
      </c>
      <c r="AL78" s="443">
        <v>16</v>
      </c>
      <c r="AM78" s="444">
        <v>305</v>
      </c>
      <c r="AN78" s="446" t="s">
        <v>67</v>
      </c>
      <c r="AO78" s="490"/>
      <c r="AP78" s="485">
        <v>1.99</v>
      </c>
      <c r="AQ78" s="490"/>
      <c r="AR78" s="485">
        <v>3.99</v>
      </c>
      <c r="AS78" s="490"/>
      <c r="AT78" s="485">
        <v>2.99</v>
      </c>
      <c r="AU78" s="490"/>
      <c r="AV78" s="485">
        <v>2.99</v>
      </c>
      <c r="AW78" s="501">
        <v>3</v>
      </c>
      <c r="AX78" s="482">
        <v>3.99</v>
      </c>
      <c r="AY78" s="502">
        <v>5</v>
      </c>
      <c r="AZ78" s="481">
        <v>5.99</v>
      </c>
      <c r="BA78" s="490"/>
      <c r="BB78" s="490"/>
    </row>
    <row r="79" spans="37:54" ht="15.75" x14ac:dyDescent="0.25">
      <c r="AK79" s="510" t="s">
        <v>576</v>
      </c>
      <c r="AL79" s="443">
        <v>16</v>
      </c>
      <c r="AM79" s="444">
        <v>262</v>
      </c>
      <c r="AN79" s="446"/>
      <c r="AO79" s="490"/>
      <c r="AP79" s="485">
        <v>1.99</v>
      </c>
      <c r="AQ79" s="501">
        <v>1</v>
      </c>
      <c r="AR79" s="482">
        <v>1.99</v>
      </c>
      <c r="AS79" s="502">
        <v>4</v>
      </c>
      <c r="AT79" s="480">
        <v>4.99</v>
      </c>
      <c r="AU79" s="501">
        <v>5</v>
      </c>
      <c r="AV79" s="483">
        <v>5.99</v>
      </c>
      <c r="AW79" s="502">
        <v>6</v>
      </c>
      <c r="AX79" s="494">
        <v>6.99</v>
      </c>
      <c r="AY79" s="502">
        <v>2</v>
      </c>
      <c r="AZ79" s="480">
        <v>2.99</v>
      </c>
      <c r="BA79" s="490"/>
      <c r="BB79" s="490"/>
    </row>
    <row r="80" spans="37:54" ht="15.75" x14ac:dyDescent="0.25">
      <c r="AK80" s="510" t="s">
        <v>577</v>
      </c>
      <c r="AL80" s="443">
        <v>17</v>
      </c>
      <c r="AM80" s="444">
        <v>208</v>
      </c>
      <c r="AN80" s="446"/>
      <c r="AO80" s="490"/>
      <c r="AP80" s="485">
        <v>1.99</v>
      </c>
      <c r="AQ80" s="501">
        <v>2</v>
      </c>
      <c r="AR80" s="482">
        <v>2.99</v>
      </c>
      <c r="AS80" s="503">
        <v>5</v>
      </c>
      <c r="AT80" s="486">
        <v>7</v>
      </c>
      <c r="AU80" s="501">
        <v>3</v>
      </c>
      <c r="AV80" s="482">
        <v>3.99</v>
      </c>
      <c r="AW80" s="503">
        <v>4</v>
      </c>
      <c r="AX80" s="486">
        <v>6.99</v>
      </c>
      <c r="AY80" s="490"/>
      <c r="AZ80" s="485">
        <v>2.99</v>
      </c>
      <c r="BA80" s="490"/>
      <c r="BB80" s="490"/>
    </row>
    <row r="81" spans="37:54" x14ac:dyDescent="0.25">
      <c r="AK81" s="510" t="s">
        <v>578</v>
      </c>
      <c r="AL81" s="443"/>
      <c r="AM81" s="444"/>
      <c r="AN81" s="446"/>
      <c r="AO81" s="504"/>
      <c r="AP81" s="504"/>
      <c r="AQ81" s="504"/>
      <c r="AR81" s="504"/>
      <c r="AS81" s="504"/>
      <c r="AT81" s="504"/>
      <c r="AU81" s="504"/>
      <c r="AV81" s="504"/>
      <c r="AW81" s="504"/>
      <c r="AX81" s="504"/>
      <c r="AY81" s="504"/>
      <c r="AZ81" s="504"/>
      <c r="BA81" s="504"/>
      <c r="BB81" s="504"/>
    </row>
    <row r="82" spans="37:54" x14ac:dyDescent="0.25">
      <c r="AK82" s="510" t="s">
        <v>579</v>
      </c>
      <c r="AL82" s="443"/>
      <c r="AM82" s="444"/>
      <c r="AN82" s="446"/>
      <c r="AO82" s="504"/>
      <c r="AP82" s="504"/>
      <c r="AQ82" s="504"/>
      <c r="AR82" s="504"/>
      <c r="AS82" s="504"/>
      <c r="AT82" s="504"/>
      <c r="AU82" s="504"/>
      <c r="AV82" s="504"/>
      <c r="AW82" s="504"/>
      <c r="AX82" s="504"/>
      <c r="AY82" s="504"/>
      <c r="AZ82" s="504"/>
      <c r="BA82" s="504"/>
      <c r="BB82" s="504"/>
    </row>
    <row r="83" spans="37:54" x14ac:dyDescent="0.25">
      <c r="AK83" s="510" t="s">
        <v>580</v>
      </c>
      <c r="AL83" s="443"/>
      <c r="AM83" s="444"/>
      <c r="AN83" s="446"/>
      <c r="AO83" s="504"/>
      <c r="AP83" s="504"/>
      <c r="AQ83" s="504"/>
      <c r="AR83" s="504"/>
      <c r="AS83" s="504"/>
      <c r="AT83" s="504"/>
      <c r="AU83" s="504"/>
      <c r="AV83" s="504"/>
      <c r="AW83" s="504"/>
      <c r="AX83" s="504"/>
      <c r="AY83" s="504"/>
      <c r="AZ83" s="504"/>
      <c r="BA83" s="504"/>
      <c r="BB83" s="504"/>
    </row>
    <row r="84" spans="37:54" ht="15.75" x14ac:dyDescent="0.25">
      <c r="AK84" s="510" t="s">
        <v>581</v>
      </c>
      <c r="AL84" s="443">
        <v>16</v>
      </c>
      <c r="AM84" s="444">
        <v>146</v>
      </c>
      <c r="AN84" s="446"/>
      <c r="AO84" s="490"/>
      <c r="AP84" s="490"/>
      <c r="AQ84" s="501">
        <v>3</v>
      </c>
      <c r="AR84" s="482">
        <v>3.99</v>
      </c>
      <c r="AS84" s="501">
        <v>5</v>
      </c>
      <c r="AT84" s="483">
        <v>5.99</v>
      </c>
      <c r="AU84" s="501">
        <v>3</v>
      </c>
      <c r="AV84" s="482">
        <v>3.99</v>
      </c>
      <c r="AW84" s="501">
        <v>1</v>
      </c>
      <c r="AX84" s="482">
        <v>1.99</v>
      </c>
      <c r="AY84" s="490"/>
      <c r="AZ84" s="485">
        <v>1.99</v>
      </c>
      <c r="BA84" s="490"/>
      <c r="BB84" s="490"/>
    </row>
    <row r="85" spans="37:54" ht="15.75" x14ac:dyDescent="0.25">
      <c r="AK85" s="510" t="s">
        <v>582</v>
      </c>
      <c r="AL85" s="443">
        <v>16</v>
      </c>
      <c r="AM85" s="444">
        <v>210</v>
      </c>
      <c r="AN85" s="446"/>
      <c r="AO85" s="502">
        <v>6</v>
      </c>
      <c r="AP85" s="494">
        <v>6.99</v>
      </c>
      <c r="AQ85" s="501">
        <v>2.6</v>
      </c>
      <c r="AR85" s="482">
        <v>2.99</v>
      </c>
      <c r="AS85" s="490"/>
      <c r="AT85" s="485">
        <v>3.99</v>
      </c>
      <c r="AU85" s="490"/>
      <c r="AV85" s="485">
        <v>1.99</v>
      </c>
      <c r="AW85" s="490"/>
      <c r="AX85" s="485">
        <v>0.99</v>
      </c>
      <c r="AY85" s="490"/>
      <c r="AZ85" s="485">
        <v>2.99</v>
      </c>
      <c r="BA85" s="490"/>
      <c r="BB85" s="490"/>
    </row>
    <row r="86" spans="37:54" ht="15.75" x14ac:dyDescent="0.25">
      <c r="AK86" s="510" t="s">
        <v>583</v>
      </c>
      <c r="AL86" s="443">
        <v>17</v>
      </c>
      <c r="AM86" s="444">
        <v>384</v>
      </c>
      <c r="AN86" s="446" t="s">
        <v>105</v>
      </c>
      <c r="AO86" s="490"/>
      <c r="AP86" s="485">
        <v>1.99</v>
      </c>
      <c r="AQ86" s="501">
        <v>3</v>
      </c>
      <c r="AR86" s="482">
        <v>3.99</v>
      </c>
      <c r="AS86" s="501">
        <v>5</v>
      </c>
      <c r="AT86" s="483">
        <v>5.99</v>
      </c>
      <c r="AU86" s="501">
        <v>1</v>
      </c>
      <c r="AV86" s="482">
        <v>1.99</v>
      </c>
      <c r="AW86" s="501">
        <v>4</v>
      </c>
      <c r="AX86" s="482">
        <v>4.99</v>
      </c>
      <c r="AY86" s="502">
        <v>4</v>
      </c>
      <c r="AZ86" s="480">
        <v>4.99</v>
      </c>
      <c r="BA86" s="490"/>
      <c r="BB86" s="490"/>
    </row>
    <row r="87" spans="37:54" ht="15.75" x14ac:dyDescent="0.25">
      <c r="AK87" s="510" t="s">
        <v>584</v>
      </c>
      <c r="AL87" s="443">
        <v>17</v>
      </c>
      <c r="AM87" s="444">
        <v>382</v>
      </c>
      <c r="AN87" s="446"/>
      <c r="AO87" s="499"/>
      <c r="AP87" s="485">
        <v>1.99</v>
      </c>
      <c r="AQ87" s="502">
        <v>5</v>
      </c>
      <c r="AR87" s="481">
        <v>5.99</v>
      </c>
      <c r="AS87" s="501">
        <v>4</v>
      </c>
      <c r="AT87" s="482">
        <v>4.99</v>
      </c>
      <c r="AU87" s="503">
        <v>2</v>
      </c>
      <c r="AV87" s="485">
        <v>3.99</v>
      </c>
      <c r="AW87" s="501">
        <v>4</v>
      </c>
      <c r="AX87" s="482">
        <v>4.99</v>
      </c>
      <c r="AY87" s="499"/>
      <c r="AZ87" s="485">
        <v>4.99</v>
      </c>
      <c r="BA87" s="499"/>
      <c r="BB87" s="499"/>
    </row>
    <row r="88" spans="37:54" ht="15.75" x14ac:dyDescent="0.25">
      <c r="AK88" s="510" t="s">
        <v>585</v>
      </c>
      <c r="AL88" s="443">
        <v>18</v>
      </c>
      <c r="AM88" s="444">
        <v>408</v>
      </c>
      <c r="AN88" s="446"/>
      <c r="AO88" s="490"/>
      <c r="AP88" s="485">
        <v>1.99</v>
      </c>
      <c r="AQ88" s="501">
        <v>2</v>
      </c>
      <c r="AR88" s="482">
        <v>2.99</v>
      </c>
      <c r="AS88" s="490"/>
      <c r="AT88" s="485">
        <v>4.99</v>
      </c>
      <c r="AU88" s="490"/>
      <c r="AV88" s="484">
        <v>5.99</v>
      </c>
      <c r="AW88" s="501">
        <v>4</v>
      </c>
      <c r="AX88" s="482">
        <v>4.99</v>
      </c>
      <c r="AY88" s="501">
        <v>3</v>
      </c>
      <c r="AZ88" s="482">
        <v>3.99</v>
      </c>
      <c r="BA88" s="490"/>
      <c r="BB88" s="490"/>
    </row>
    <row r="89" spans="37:54" ht="15.75" x14ac:dyDescent="0.25">
      <c r="AK89" s="510" t="s">
        <v>586</v>
      </c>
      <c r="AL89" s="443">
        <v>18</v>
      </c>
      <c r="AM89" s="444">
        <v>423</v>
      </c>
      <c r="AN89" s="446" t="s">
        <v>94</v>
      </c>
      <c r="AO89" s="499"/>
      <c r="AP89" s="485">
        <v>1.99</v>
      </c>
      <c r="AQ89" s="501">
        <v>2</v>
      </c>
      <c r="AR89" s="482">
        <v>2.99</v>
      </c>
      <c r="AS89" s="502">
        <v>4</v>
      </c>
      <c r="AT89" s="480">
        <v>4.99</v>
      </c>
      <c r="AU89" s="501">
        <v>5</v>
      </c>
      <c r="AV89" s="483">
        <v>5.99</v>
      </c>
      <c r="AW89" s="501">
        <v>3</v>
      </c>
      <c r="AX89" s="482">
        <v>3.99</v>
      </c>
      <c r="AY89" s="503">
        <v>3</v>
      </c>
      <c r="AZ89" s="486">
        <v>7</v>
      </c>
      <c r="BA89" s="499"/>
      <c r="BB89" s="499"/>
    </row>
    <row r="90" spans="37:54" ht="15.75" x14ac:dyDescent="0.25">
      <c r="AK90" s="510" t="s">
        <v>587</v>
      </c>
      <c r="AL90" s="443">
        <v>17</v>
      </c>
      <c r="AM90" s="444">
        <v>408</v>
      </c>
      <c r="AN90" s="446" t="s">
        <v>105</v>
      </c>
      <c r="AO90" s="490"/>
      <c r="AP90" s="485">
        <v>0.99</v>
      </c>
      <c r="AQ90" s="501">
        <v>4</v>
      </c>
      <c r="AR90" s="482">
        <v>4.99</v>
      </c>
      <c r="AS90" s="501">
        <v>2</v>
      </c>
      <c r="AT90" s="482">
        <v>2.99</v>
      </c>
      <c r="AU90" s="503">
        <v>4</v>
      </c>
      <c r="AV90" s="484">
        <v>5.99</v>
      </c>
      <c r="AW90" s="501">
        <v>2</v>
      </c>
      <c r="AX90" s="482">
        <v>2.99</v>
      </c>
      <c r="AY90" s="501">
        <v>2</v>
      </c>
      <c r="AZ90" s="482">
        <v>2.99</v>
      </c>
      <c r="BA90" s="490"/>
      <c r="BB90" s="490"/>
    </row>
    <row r="91" spans="37:54" ht="15.75" x14ac:dyDescent="0.25">
      <c r="AK91" s="510" t="s">
        <v>588</v>
      </c>
      <c r="AL91" s="443">
        <v>17</v>
      </c>
      <c r="AM91" s="444">
        <v>330</v>
      </c>
      <c r="AN91" s="446"/>
      <c r="AO91" s="499"/>
      <c r="AP91" s="499"/>
      <c r="AQ91" s="499"/>
      <c r="AR91" s="485">
        <v>2.99</v>
      </c>
      <c r="AS91" s="501">
        <v>3</v>
      </c>
      <c r="AT91" s="482">
        <v>3.99</v>
      </c>
      <c r="AU91" s="503">
        <v>5</v>
      </c>
      <c r="AV91" s="486">
        <v>6.99</v>
      </c>
      <c r="AW91" s="502">
        <v>4</v>
      </c>
      <c r="AX91" s="480">
        <v>4.99</v>
      </c>
      <c r="AY91" s="502">
        <v>4</v>
      </c>
      <c r="AZ91" s="480">
        <v>4.99</v>
      </c>
      <c r="BA91" s="499"/>
      <c r="BB91" s="499"/>
    </row>
    <row r="92" spans="37:54" ht="15.75" x14ac:dyDescent="0.25">
      <c r="AK92" s="510" t="s">
        <v>589</v>
      </c>
      <c r="AL92" s="443">
        <v>16</v>
      </c>
      <c r="AM92" s="444">
        <v>329</v>
      </c>
      <c r="AN92" s="446"/>
      <c r="AO92" s="499"/>
      <c r="AP92" s="499"/>
      <c r="AQ92" s="502">
        <v>3</v>
      </c>
      <c r="AR92" s="480">
        <v>3.99</v>
      </c>
      <c r="AS92" s="503">
        <v>4</v>
      </c>
      <c r="AT92" s="486">
        <v>6.99</v>
      </c>
      <c r="AU92" s="499"/>
      <c r="AV92" s="485">
        <v>3.99</v>
      </c>
      <c r="AW92" s="502">
        <v>3</v>
      </c>
      <c r="AX92" s="480">
        <v>3.99</v>
      </c>
      <c r="AY92" s="499"/>
      <c r="AZ92" s="485">
        <v>3.99</v>
      </c>
      <c r="BA92" s="499"/>
      <c r="BB92" s="499"/>
    </row>
    <row r="93" spans="37:54" ht="15.75" x14ac:dyDescent="0.25">
      <c r="AK93" s="510" t="s">
        <v>590</v>
      </c>
      <c r="AL93" s="443">
        <v>16</v>
      </c>
      <c r="AM93" s="444">
        <v>331</v>
      </c>
      <c r="AN93" s="446"/>
      <c r="AO93" s="499"/>
      <c r="AP93" s="499"/>
      <c r="AQ93" s="501">
        <v>2</v>
      </c>
      <c r="AR93" s="482">
        <v>2.99</v>
      </c>
      <c r="AS93" s="502">
        <v>4</v>
      </c>
      <c r="AT93" s="480">
        <v>4.99</v>
      </c>
      <c r="AU93" s="501">
        <v>2</v>
      </c>
      <c r="AV93" s="482">
        <v>2.99</v>
      </c>
      <c r="AW93" s="501">
        <v>3</v>
      </c>
      <c r="AX93" s="482">
        <v>3.99</v>
      </c>
      <c r="AY93" s="503">
        <v>4</v>
      </c>
      <c r="AZ93" s="486">
        <v>6.99</v>
      </c>
      <c r="BA93" s="499"/>
      <c r="BB93" s="499"/>
    </row>
    <row r="94" spans="37:54" ht="15.75" x14ac:dyDescent="0.25">
      <c r="AK94" s="510" t="s">
        <v>591</v>
      </c>
      <c r="AL94" s="443">
        <v>16</v>
      </c>
      <c r="AM94" s="444">
        <v>342</v>
      </c>
      <c r="AN94" s="446"/>
      <c r="AO94" s="499"/>
      <c r="AP94" s="499"/>
      <c r="AQ94" s="503">
        <v>4</v>
      </c>
      <c r="AR94" s="486">
        <v>6.99</v>
      </c>
      <c r="AS94" s="501">
        <v>2</v>
      </c>
      <c r="AT94" s="482">
        <v>2.99</v>
      </c>
      <c r="AU94" s="505">
        <v>2</v>
      </c>
      <c r="AV94" s="506">
        <v>2.99</v>
      </c>
      <c r="AW94" s="502">
        <v>5</v>
      </c>
      <c r="AX94" s="481">
        <v>5.99</v>
      </c>
      <c r="AY94" s="503">
        <v>1</v>
      </c>
      <c r="AZ94" s="485">
        <v>2.99</v>
      </c>
      <c r="BA94" s="499"/>
      <c r="BB94" s="485">
        <v>3.99</v>
      </c>
    </row>
    <row r="95" spans="37:54" ht="15.75" x14ac:dyDescent="0.25">
      <c r="AK95" s="510" t="s">
        <v>592</v>
      </c>
      <c r="AL95" s="443">
        <v>16</v>
      </c>
      <c r="AM95" s="444">
        <v>373</v>
      </c>
      <c r="AN95" s="446"/>
      <c r="AO95" s="490"/>
      <c r="AP95" s="490"/>
      <c r="AQ95" s="502">
        <v>5</v>
      </c>
      <c r="AR95" s="481">
        <v>5.99</v>
      </c>
      <c r="AS95" s="501">
        <v>5</v>
      </c>
      <c r="AT95" s="483">
        <v>5.99</v>
      </c>
      <c r="AU95" s="490"/>
      <c r="AV95" s="485">
        <v>4.99</v>
      </c>
      <c r="AW95" s="490"/>
      <c r="AX95" s="485">
        <v>4.99</v>
      </c>
      <c r="AY95" s="490"/>
      <c r="AZ95" s="485">
        <v>4.99</v>
      </c>
      <c r="BA95" s="490"/>
      <c r="BB95" s="490"/>
    </row>
    <row r="96" spans="37:54" ht="15.75" x14ac:dyDescent="0.25">
      <c r="AK96" s="510" t="s">
        <v>593</v>
      </c>
      <c r="AL96" s="443">
        <v>16</v>
      </c>
      <c r="AM96" s="444">
        <v>390</v>
      </c>
      <c r="AN96" s="446" t="s">
        <v>67</v>
      </c>
      <c r="AO96" s="490"/>
      <c r="AP96" s="490"/>
      <c r="AQ96" s="501">
        <v>1</v>
      </c>
      <c r="AR96" s="482">
        <v>1.99</v>
      </c>
      <c r="AS96" s="501">
        <v>6</v>
      </c>
      <c r="AT96" s="487">
        <v>6.99</v>
      </c>
      <c r="AU96" s="502">
        <v>2</v>
      </c>
      <c r="AV96" s="480">
        <v>2.99</v>
      </c>
      <c r="AW96" s="501">
        <v>5</v>
      </c>
      <c r="AX96" s="483">
        <v>5.99</v>
      </c>
      <c r="AY96" s="502">
        <v>4</v>
      </c>
      <c r="AZ96" s="480">
        <v>4.99</v>
      </c>
      <c r="BA96" s="490"/>
      <c r="BB96" s="485">
        <v>3.99</v>
      </c>
    </row>
    <row r="97" spans="37:54" ht="15.75" x14ac:dyDescent="0.25">
      <c r="AK97" s="510" t="s">
        <v>594</v>
      </c>
      <c r="AL97" s="443">
        <v>16</v>
      </c>
      <c r="AM97" s="444">
        <v>262</v>
      </c>
      <c r="AN97" s="446"/>
      <c r="AO97" s="490"/>
      <c r="AP97" s="490"/>
      <c r="AQ97" s="502">
        <v>6</v>
      </c>
      <c r="AR97" s="494">
        <v>6.99</v>
      </c>
      <c r="AS97" s="505">
        <v>3</v>
      </c>
      <c r="AT97" s="480">
        <v>3.99</v>
      </c>
      <c r="AU97" s="502">
        <v>5</v>
      </c>
      <c r="AV97" s="481">
        <v>5.99</v>
      </c>
      <c r="AW97" s="490"/>
      <c r="AX97" s="485">
        <v>2.99</v>
      </c>
      <c r="AY97" s="503">
        <v>3</v>
      </c>
      <c r="AZ97" s="485">
        <v>4.99</v>
      </c>
      <c r="BA97" s="490"/>
      <c r="BB97" s="490"/>
    </row>
    <row r="98" spans="37:54" ht="15.75" x14ac:dyDescent="0.25">
      <c r="AK98" s="510" t="s">
        <v>595</v>
      </c>
      <c r="AL98" s="443">
        <v>16</v>
      </c>
      <c r="AM98" s="444">
        <v>240</v>
      </c>
      <c r="AN98" s="446" t="s">
        <v>67</v>
      </c>
      <c r="AO98" s="490"/>
      <c r="AP98" s="490"/>
      <c r="AQ98" s="490"/>
      <c r="AR98" s="485">
        <v>2.99</v>
      </c>
      <c r="AS98" s="502">
        <v>5</v>
      </c>
      <c r="AT98" s="481">
        <v>5.99</v>
      </c>
      <c r="AU98" s="501">
        <v>2</v>
      </c>
      <c r="AV98" s="482">
        <v>2.99</v>
      </c>
      <c r="AW98" s="501">
        <v>3</v>
      </c>
      <c r="AX98" s="482">
        <v>3.99</v>
      </c>
      <c r="AY98" s="503">
        <v>3</v>
      </c>
      <c r="AZ98" s="485">
        <v>4.99</v>
      </c>
      <c r="BA98" s="490"/>
      <c r="BB98" s="490"/>
    </row>
    <row r="99" spans="37:54" ht="15.75" x14ac:dyDescent="0.25">
      <c r="AK99" s="510" t="s">
        <v>596</v>
      </c>
      <c r="AL99" s="443">
        <v>16</v>
      </c>
      <c r="AM99" s="444">
        <v>255</v>
      </c>
      <c r="AN99" s="446"/>
      <c r="AO99" s="490"/>
      <c r="AP99" s="485">
        <v>0.99</v>
      </c>
      <c r="AQ99" s="501">
        <v>2</v>
      </c>
      <c r="AR99" s="482">
        <v>2.99</v>
      </c>
      <c r="AS99" s="503">
        <v>5</v>
      </c>
      <c r="AT99" s="486">
        <v>6.99</v>
      </c>
      <c r="AU99" s="505">
        <v>2</v>
      </c>
      <c r="AV99" s="506">
        <v>2.99</v>
      </c>
      <c r="AW99" s="501">
        <v>2</v>
      </c>
      <c r="AX99" s="482">
        <v>2.99</v>
      </c>
      <c r="AY99" s="501">
        <v>2</v>
      </c>
      <c r="AZ99" s="482">
        <v>2.99</v>
      </c>
      <c r="BA99" s="490"/>
      <c r="BB99" s="490"/>
    </row>
    <row r="100" spans="37:54" ht="15.75" x14ac:dyDescent="0.25">
      <c r="AK100" s="510" t="s">
        <v>597</v>
      </c>
      <c r="AL100" s="437">
        <v>18</v>
      </c>
      <c r="AM100" s="438">
        <v>238</v>
      </c>
      <c r="AN100" s="439" t="s">
        <v>94</v>
      </c>
      <c r="AO100" s="499"/>
      <c r="AP100" s="485">
        <v>1.99</v>
      </c>
      <c r="AQ100" s="502">
        <v>4</v>
      </c>
      <c r="AR100" s="480">
        <v>4.99</v>
      </c>
      <c r="AS100" s="501">
        <v>2</v>
      </c>
      <c r="AT100" s="482">
        <v>2.99</v>
      </c>
      <c r="AU100" s="501">
        <v>3</v>
      </c>
      <c r="AV100" s="482">
        <v>3.99</v>
      </c>
      <c r="AW100" s="501">
        <v>1</v>
      </c>
      <c r="AX100" s="482">
        <v>1.99</v>
      </c>
      <c r="AY100" s="503">
        <v>4</v>
      </c>
      <c r="AZ100" s="486">
        <v>6.99</v>
      </c>
      <c r="BA100" s="499"/>
      <c r="BB100" s="499"/>
    </row>
    <row r="101" spans="37:54" ht="15.75" x14ac:dyDescent="0.25">
      <c r="AK101" s="510" t="s">
        <v>598</v>
      </c>
      <c r="AL101" s="443">
        <v>17</v>
      </c>
      <c r="AM101" s="444">
        <v>105</v>
      </c>
      <c r="AN101" s="446" t="s">
        <v>94</v>
      </c>
      <c r="AO101" s="490"/>
      <c r="AP101" s="485">
        <v>1.99</v>
      </c>
      <c r="AQ101" s="501">
        <v>3</v>
      </c>
      <c r="AR101" s="482">
        <v>3.99</v>
      </c>
      <c r="AS101" s="502">
        <v>5</v>
      </c>
      <c r="AT101" s="481">
        <v>5.99</v>
      </c>
      <c r="AU101" s="501">
        <v>4</v>
      </c>
      <c r="AV101" s="482">
        <v>4.99</v>
      </c>
      <c r="AW101" s="501">
        <v>4</v>
      </c>
      <c r="AX101" s="482">
        <v>4.99</v>
      </c>
      <c r="AY101" s="490"/>
      <c r="AZ101" s="485">
        <v>2.99</v>
      </c>
      <c r="BA101" s="490"/>
      <c r="BB101" s="490"/>
    </row>
    <row r="102" spans="37:54" ht="15.75" x14ac:dyDescent="0.25">
      <c r="AK102" s="510" t="s">
        <v>599</v>
      </c>
      <c r="AL102" s="443">
        <v>17</v>
      </c>
      <c r="AM102" s="444">
        <v>181</v>
      </c>
      <c r="AN102" s="446" t="s">
        <v>105</v>
      </c>
      <c r="AO102" s="490"/>
      <c r="AP102" s="490"/>
      <c r="AQ102" s="502">
        <v>5</v>
      </c>
      <c r="AR102" s="481">
        <v>5.99</v>
      </c>
      <c r="AS102" s="502">
        <v>4</v>
      </c>
      <c r="AT102" s="480">
        <v>4.99</v>
      </c>
      <c r="AU102" s="490"/>
      <c r="AV102" s="484">
        <v>5.99</v>
      </c>
      <c r="AW102" s="501">
        <v>3</v>
      </c>
      <c r="AX102" s="482">
        <v>3.99</v>
      </c>
      <c r="AY102" s="490"/>
      <c r="AZ102" s="485">
        <v>2.99</v>
      </c>
      <c r="BA102" s="490"/>
      <c r="BB102" s="490"/>
    </row>
    <row r="103" spans="37:54" ht="15.75" x14ac:dyDescent="0.25">
      <c r="AK103" s="510" t="s">
        <v>600</v>
      </c>
      <c r="AL103" s="443">
        <v>17</v>
      </c>
      <c r="AM103" s="444">
        <v>34</v>
      </c>
      <c r="AN103" s="446" t="s">
        <v>220</v>
      </c>
      <c r="AO103" s="499"/>
      <c r="AP103" s="485">
        <v>0.99</v>
      </c>
      <c r="AQ103" s="501">
        <v>5</v>
      </c>
      <c r="AR103" s="483">
        <v>5.99</v>
      </c>
      <c r="AS103" s="503">
        <v>4</v>
      </c>
      <c r="AT103" s="484">
        <v>5.99</v>
      </c>
      <c r="AU103" s="507">
        <v>6</v>
      </c>
      <c r="AV103" s="508">
        <v>6.99</v>
      </c>
      <c r="AW103" s="499"/>
      <c r="AX103" s="485">
        <v>2.99</v>
      </c>
      <c r="AY103" s="507">
        <v>5</v>
      </c>
      <c r="AZ103" s="509">
        <v>5.99</v>
      </c>
      <c r="BA103" s="499"/>
      <c r="BB103" s="499"/>
    </row>
  </sheetData>
  <mergeCells count="7">
    <mergeCell ref="A15:E15"/>
    <mergeCell ref="AK3:AN3"/>
    <mergeCell ref="AO3:BB3"/>
    <mergeCell ref="AK1:AN1"/>
    <mergeCell ref="A1:E1"/>
    <mergeCell ref="A3:E3"/>
    <mergeCell ref="A7:E7"/>
  </mergeCells>
  <conditionalFormatting sqref="E6 E10:E14 E19:E28">
    <cfRule type="cellIs" dxfId="62" priority="1" operator="between">
      <formula>1</formula>
      <formula>50</formula>
    </cfRule>
    <cfRule type="cellIs" dxfId="61" priority="2" operator="greaterThan">
      <formula>50</formula>
    </cfRule>
    <cfRule type="cellIs" dxfId="60" priority="3" operator="less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A37" sqref="A37"/>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30"/>
      <c r="N2" s="51">
        <f>SUM(N4:N17)</f>
        <v>5960</v>
      </c>
      <c r="O2" s="51">
        <f>SUM(O4:O17)</f>
        <v>7201.2000000000007</v>
      </c>
      <c r="R2" s="330"/>
      <c r="AC2" s="51">
        <f>SUM(AC4:AC17)</f>
        <v>135443.92000000001</v>
      </c>
      <c r="AD2" s="51">
        <f>SUM(AD4:AD17)</f>
        <v>154644.09599999999</v>
      </c>
    </row>
    <row r="3" spans="1:35" x14ac:dyDescent="0.25">
      <c r="A3" s="96" t="s">
        <v>446</v>
      </c>
      <c r="B3" s="94" t="s">
        <v>100</v>
      </c>
      <c r="C3" s="94" t="s">
        <v>447</v>
      </c>
      <c r="D3" s="94" t="s">
        <v>319</v>
      </c>
      <c r="E3" s="94" t="s">
        <v>318</v>
      </c>
      <c r="F3" s="94" t="s">
        <v>61</v>
      </c>
      <c r="G3" s="94" t="s">
        <v>106</v>
      </c>
      <c r="H3" s="94" t="s">
        <v>77</v>
      </c>
      <c r="I3" s="94" t="s">
        <v>78</v>
      </c>
      <c r="J3" s="94" t="s">
        <v>79</v>
      </c>
      <c r="K3" s="94" t="s">
        <v>80</v>
      </c>
      <c r="L3" s="94" t="s">
        <v>81</v>
      </c>
      <c r="M3" s="94" t="s">
        <v>74</v>
      </c>
      <c r="N3" s="94" t="s">
        <v>65</v>
      </c>
      <c r="O3" s="156" t="s">
        <v>448</v>
      </c>
      <c r="Q3" s="96" t="s">
        <v>446</v>
      </c>
      <c r="R3" s="94" t="s">
        <v>100</v>
      </c>
      <c r="S3" s="94" t="s">
        <v>319</v>
      </c>
      <c r="T3" s="94" t="s">
        <v>318</v>
      </c>
      <c r="U3" s="94" t="s">
        <v>61</v>
      </c>
      <c r="V3" s="94" t="s">
        <v>106</v>
      </c>
      <c r="W3" s="94" t="s">
        <v>77</v>
      </c>
      <c r="X3" s="94" t="s">
        <v>78</v>
      </c>
      <c r="Y3" s="94" t="s">
        <v>79</v>
      </c>
      <c r="Z3" s="94" t="s">
        <v>80</v>
      </c>
      <c r="AA3" s="94" t="s">
        <v>81</v>
      </c>
      <c r="AB3" s="94" t="s">
        <v>74</v>
      </c>
      <c r="AC3" s="94" t="s">
        <v>65</v>
      </c>
      <c r="AD3" s="156" t="s">
        <v>448</v>
      </c>
      <c r="AF3" s="339" t="s">
        <v>309</v>
      </c>
      <c r="AG3">
        <v>0</v>
      </c>
      <c r="AI3" s="2" t="s">
        <v>441</v>
      </c>
    </row>
    <row r="4" spans="1:35" x14ac:dyDescent="0.25">
      <c r="A4" s="340" t="s">
        <v>170</v>
      </c>
      <c r="B4" s="341" t="s">
        <v>1</v>
      </c>
      <c r="C4" s="139"/>
      <c r="D4" s="139"/>
      <c r="E4" s="139"/>
      <c r="F4" s="139"/>
      <c r="G4" s="342">
        <v>2</v>
      </c>
      <c r="H4" s="140">
        <v>2</v>
      </c>
      <c r="I4" s="342">
        <v>2</v>
      </c>
      <c r="J4" s="140">
        <v>0</v>
      </c>
      <c r="K4" s="342">
        <v>0</v>
      </c>
      <c r="L4" s="140">
        <v>0</v>
      </c>
      <c r="M4" s="342">
        <v>2</v>
      </c>
      <c r="N4" s="120"/>
      <c r="O4" s="51"/>
      <c r="Q4" s="340" t="s">
        <v>170</v>
      </c>
      <c r="R4" s="341" t="str">
        <f t="shared" ref="R4:R17" si="0">B4</f>
        <v>POR</v>
      </c>
      <c r="S4" s="139"/>
      <c r="T4" s="139"/>
      <c r="U4" s="139"/>
      <c r="V4" s="342">
        <f t="shared" ref="V4:AC4" si="1">G4</f>
        <v>2</v>
      </c>
      <c r="W4" s="342">
        <f t="shared" si="1"/>
        <v>2</v>
      </c>
      <c r="X4" s="342">
        <f t="shared" si="1"/>
        <v>2</v>
      </c>
      <c r="Y4" s="342">
        <f t="shared" si="1"/>
        <v>0</v>
      </c>
      <c r="Z4" s="342">
        <f t="shared" si="1"/>
        <v>0</v>
      </c>
      <c r="AA4" s="342">
        <f t="shared" si="1"/>
        <v>0</v>
      </c>
      <c r="AB4" s="342">
        <f t="shared" si="1"/>
        <v>2</v>
      </c>
      <c r="AC4" s="120">
        <f t="shared" si="1"/>
        <v>0</v>
      </c>
      <c r="AD4" s="51">
        <f>AC4*1.2</f>
        <v>0</v>
      </c>
      <c r="AF4" s="339" t="s">
        <v>308</v>
      </c>
      <c r="AG4">
        <v>41</v>
      </c>
      <c r="AI4" t="s">
        <v>442</v>
      </c>
    </row>
    <row r="5" spans="1:35" x14ac:dyDescent="0.25">
      <c r="A5" s="340" t="s">
        <v>222</v>
      </c>
      <c r="B5" s="341" t="s">
        <v>2</v>
      </c>
      <c r="C5" s="80"/>
      <c r="D5" s="80" t="s">
        <v>449</v>
      </c>
      <c r="E5" s="80"/>
      <c r="F5" s="80"/>
      <c r="G5" s="101">
        <v>0</v>
      </c>
      <c r="H5" s="92">
        <v>2</v>
      </c>
      <c r="I5" s="92">
        <v>2</v>
      </c>
      <c r="J5" s="140">
        <v>2</v>
      </c>
      <c r="K5" s="101">
        <v>2</v>
      </c>
      <c r="L5" s="92">
        <v>2</v>
      </c>
      <c r="M5" s="101">
        <v>2</v>
      </c>
      <c r="N5" s="120"/>
      <c r="O5" s="51"/>
      <c r="Q5" s="340" t="s">
        <v>222</v>
      </c>
      <c r="R5" s="341" t="str">
        <f t="shared" si="0"/>
        <v>DEF</v>
      </c>
      <c r="S5" s="139" t="str">
        <f t="shared" ref="S5:S17" si="2">D5</f>
        <v>IMP/CAB</v>
      </c>
      <c r="T5" s="139"/>
      <c r="U5" s="139"/>
      <c r="V5" s="342">
        <f t="shared" ref="V5:V17" si="3">G5</f>
        <v>0</v>
      </c>
      <c r="W5" s="342">
        <f t="shared" ref="W5:W17" si="4">H5</f>
        <v>2</v>
      </c>
      <c r="X5" s="342">
        <f t="shared" ref="X5:X17" si="5">I5</f>
        <v>2</v>
      </c>
      <c r="Y5" s="342">
        <f t="shared" ref="Y5:Y17" si="6">J5</f>
        <v>2</v>
      </c>
      <c r="Z5" s="342">
        <f t="shared" ref="Z5:Z17" si="7">K5</f>
        <v>2</v>
      </c>
      <c r="AA5" s="342">
        <f t="shared" ref="AA5:AA17" si="8">L5</f>
        <v>2</v>
      </c>
      <c r="AB5" s="342">
        <f t="shared" ref="AB5:AB17" si="9">M5</f>
        <v>2</v>
      </c>
      <c r="AC5" s="120">
        <f>N5</f>
        <v>0</v>
      </c>
      <c r="AD5" s="51">
        <f t="shared" ref="AD5:AD17" si="10">AC5*1.2</f>
        <v>0</v>
      </c>
      <c r="AF5" s="339" t="s">
        <v>0</v>
      </c>
      <c r="AG5">
        <v>0</v>
      </c>
      <c r="AI5" t="s">
        <v>443</v>
      </c>
    </row>
    <row r="6" spans="1:35" x14ac:dyDescent="0.25">
      <c r="A6" s="340" t="s">
        <v>172</v>
      </c>
      <c r="B6" s="341" t="s">
        <v>2</v>
      </c>
      <c r="C6" s="80"/>
      <c r="D6" s="80" t="s">
        <v>449</v>
      </c>
      <c r="E6" s="80"/>
      <c r="F6" s="80"/>
      <c r="G6" s="101">
        <v>0</v>
      </c>
      <c r="H6" s="92">
        <v>2</v>
      </c>
      <c r="I6" s="92">
        <v>2</v>
      </c>
      <c r="J6" s="140">
        <v>2</v>
      </c>
      <c r="K6" s="101">
        <v>2</v>
      </c>
      <c r="L6" s="92">
        <v>2</v>
      </c>
      <c r="M6" s="101">
        <v>2</v>
      </c>
      <c r="N6" s="120"/>
      <c r="O6" s="51"/>
      <c r="Q6" s="340" t="s">
        <v>172</v>
      </c>
      <c r="R6" s="341" t="str">
        <f t="shared" si="0"/>
        <v>DEF</v>
      </c>
      <c r="S6" s="139" t="str">
        <f t="shared" si="2"/>
        <v>IMP/CAB</v>
      </c>
      <c r="T6" s="139"/>
      <c r="U6" s="139"/>
      <c r="V6" s="342">
        <f t="shared" si="3"/>
        <v>0</v>
      </c>
      <c r="W6" s="342">
        <f t="shared" si="4"/>
        <v>2</v>
      </c>
      <c r="X6" s="342">
        <f t="shared" si="5"/>
        <v>2</v>
      </c>
      <c r="Y6" s="342">
        <f t="shared" si="6"/>
        <v>2</v>
      </c>
      <c r="Z6" s="342">
        <f t="shared" si="7"/>
        <v>2</v>
      </c>
      <c r="AA6" s="342">
        <f t="shared" si="8"/>
        <v>2</v>
      </c>
      <c r="AB6" s="342">
        <f t="shared" si="9"/>
        <v>2</v>
      </c>
      <c r="AC6" s="120">
        <f>N6</f>
        <v>0</v>
      </c>
      <c r="AD6" s="51">
        <f t="shared" si="10"/>
        <v>0</v>
      </c>
      <c r="AF6" s="339" t="s">
        <v>327</v>
      </c>
      <c r="AG6">
        <v>17</v>
      </c>
      <c r="AI6" t="s">
        <v>444</v>
      </c>
    </row>
    <row r="7" spans="1:35" x14ac:dyDescent="0.25">
      <c r="A7" s="340" t="s">
        <v>174</v>
      </c>
      <c r="B7" s="341" t="s">
        <v>2</v>
      </c>
      <c r="C7" s="80"/>
      <c r="D7" s="80" t="s">
        <v>449</v>
      </c>
      <c r="E7" s="80"/>
      <c r="F7" s="80"/>
      <c r="G7" s="101">
        <v>0</v>
      </c>
      <c r="H7" s="92">
        <v>2</v>
      </c>
      <c r="I7" s="92">
        <v>2</v>
      </c>
      <c r="J7" s="140">
        <v>2</v>
      </c>
      <c r="K7" s="101">
        <v>2</v>
      </c>
      <c r="L7" s="92">
        <v>2</v>
      </c>
      <c r="M7" s="101">
        <v>2</v>
      </c>
      <c r="N7" s="120"/>
      <c r="O7" s="51"/>
      <c r="Q7" s="340" t="s">
        <v>174</v>
      </c>
      <c r="R7" s="341" t="str">
        <f t="shared" si="0"/>
        <v>DEF</v>
      </c>
      <c r="S7" s="139" t="str">
        <f t="shared" si="2"/>
        <v>IMP/CAB</v>
      </c>
      <c r="T7" s="139"/>
      <c r="U7" s="139"/>
      <c r="V7" s="342">
        <f t="shared" si="3"/>
        <v>0</v>
      </c>
      <c r="W7" s="342">
        <f t="shared" si="4"/>
        <v>2</v>
      </c>
      <c r="X7" s="342">
        <f t="shared" si="5"/>
        <v>2</v>
      </c>
      <c r="Y7" s="342">
        <f t="shared" si="6"/>
        <v>2</v>
      </c>
      <c r="Z7" s="342">
        <f t="shared" si="7"/>
        <v>2</v>
      </c>
      <c r="AA7" s="342">
        <f t="shared" si="8"/>
        <v>2</v>
      </c>
      <c r="AB7" s="342">
        <f t="shared" si="9"/>
        <v>2</v>
      </c>
      <c r="AC7" s="120">
        <f>N7</f>
        <v>0</v>
      </c>
      <c r="AD7" s="51">
        <f t="shared" si="10"/>
        <v>0</v>
      </c>
      <c r="AF7" s="339" t="s">
        <v>246</v>
      </c>
      <c r="AG7">
        <f>AG5+AG4+AG3+AG6</f>
        <v>58</v>
      </c>
      <c r="AI7" t="s">
        <v>445</v>
      </c>
    </row>
    <row r="8" spans="1:35" x14ac:dyDescent="0.25">
      <c r="A8" s="340" t="s">
        <v>178</v>
      </c>
      <c r="B8" s="341" t="s">
        <v>2</v>
      </c>
      <c r="C8" s="80"/>
      <c r="D8" s="80" t="s">
        <v>449</v>
      </c>
      <c r="E8" s="80"/>
      <c r="F8" s="80"/>
      <c r="G8" s="101">
        <v>0</v>
      </c>
      <c r="H8" s="92">
        <v>2</v>
      </c>
      <c r="I8" s="92">
        <v>2</v>
      </c>
      <c r="J8" s="140">
        <v>2</v>
      </c>
      <c r="K8" s="101">
        <v>2</v>
      </c>
      <c r="L8" s="92">
        <v>2</v>
      </c>
      <c r="M8" s="101">
        <v>2</v>
      </c>
      <c r="N8" s="120"/>
      <c r="O8" s="51"/>
      <c r="Q8" s="340" t="s">
        <v>178</v>
      </c>
      <c r="R8" s="341" t="str">
        <f t="shared" si="0"/>
        <v>DEF</v>
      </c>
      <c r="S8" s="139" t="str">
        <f t="shared" si="2"/>
        <v>IMP/CAB</v>
      </c>
      <c r="T8" s="139"/>
      <c r="U8" s="139"/>
      <c r="V8" s="342">
        <f t="shared" si="3"/>
        <v>0</v>
      </c>
      <c r="W8" s="342">
        <f t="shared" si="4"/>
        <v>2</v>
      </c>
      <c r="X8" s="342">
        <f t="shared" si="5"/>
        <v>2</v>
      </c>
      <c r="Y8" s="342">
        <f t="shared" si="6"/>
        <v>2</v>
      </c>
      <c r="Z8" s="342">
        <f t="shared" si="7"/>
        <v>2</v>
      </c>
      <c r="AA8" s="342">
        <f t="shared" si="8"/>
        <v>2</v>
      </c>
      <c r="AB8" s="342">
        <f t="shared" si="9"/>
        <v>2</v>
      </c>
      <c r="AC8" s="120">
        <f>N8</f>
        <v>0</v>
      </c>
      <c r="AD8" s="51">
        <f t="shared" si="10"/>
        <v>0</v>
      </c>
      <c r="AF8" s="339" t="s">
        <v>60</v>
      </c>
      <c r="AG8" s="83">
        <f>AG7/16</f>
        <v>3.625</v>
      </c>
    </row>
    <row r="9" spans="1:35" x14ac:dyDescent="0.25">
      <c r="A9" s="340" t="s">
        <v>173</v>
      </c>
      <c r="B9" s="341" t="s">
        <v>2</v>
      </c>
      <c r="C9" s="80"/>
      <c r="D9" s="80" t="s">
        <v>449</v>
      </c>
      <c r="E9" s="80"/>
      <c r="F9" s="80"/>
      <c r="G9" s="101">
        <v>0</v>
      </c>
      <c r="H9" s="92">
        <v>2</v>
      </c>
      <c r="I9" s="92">
        <v>2</v>
      </c>
      <c r="J9" s="140">
        <v>2</v>
      </c>
      <c r="K9" s="101">
        <v>2</v>
      </c>
      <c r="L9" s="92">
        <v>2</v>
      </c>
      <c r="M9" s="101">
        <v>2</v>
      </c>
      <c r="N9" s="120"/>
      <c r="O9" s="51"/>
      <c r="Q9" s="340" t="s">
        <v>173</v>
      </c>
      <c r="R9" s="341" t="str">
        <f t="shared" si="0"/>
        <v>DEF</v>
      </c>
      <c r="S9" s="139" t="str">
        <f t="shared" si="2"/>
        <v>IMP/CAB</v>
      </c>
      <c r="T9" s="139"/>
      <c r="U9" s="139"/>
      <c r="V9" s="342">
        <f t="shared" si="3"/>
        <v>0</v>
      </c>
      <c r="W9" s="342">
        <f t="shared" si="4"/>
        <v>2</v>
      </c>
      <c r="X9" s="342">
        <f t="shared" si="5"/>
        <v>2</v>
      </c>
      <c r="Y9" s="342">
        <f t="shared" si="6"/>
        <v>2</v>
      </c>
      <c r="Z9" s="342">
        <f t="shared" si="7"/>
        <v>2</v>
      </c>
      <c r="AA9" s="342">
        <f t="shared" si="8"/>
        <v>2</v>
      </c>
      <c r="AB9" s="342">
        <f t="shared" si="9"/>
        <v>2</v>
      </c>
      <c r="AC9" s="120">
        <f>N9</f>
        <v>0</v>
      </c>
      <c r="AD9" s="51">
        <f t="shared" si="10"/>
        <v>0</v>
      </c>
    </row>
    <row r="10" spans="1:35" x14ac:dyDescent="0.25">
      <c r="A10" s="340" t="s">
        <v>175</v>
      </c>
      <c r="B10" s="341" t="s">
        <v>450</v>
      </c>
      <c r="C10" s="303" t="str">
        <f>Plantilla!D13</f>
        <v>I. Vanags</v>
      </c>
      <c r="D10" s="80" t="str">
        <f>Plantilla!G13</f>
        <v>CAB</v>
      </c>
      <c r="E10" s="80">
        <v>18</v>
      </c>
      <c r="F10" s="80">
        <v>64</v>
      </c>
      <c r="G10" s="101">
        <f>Plantilla!X13</f>
        <v>0</v>
      </c>
      <c r="H10" s="101">
        <f>Plantilla!Y13</f>
        <v>4</v>
      </c>
      <c r="I10" s="101">
        <f>Plantilla!Z13</f>
        <v>7.6</v>
      </c>
      <c r="J10" s="101">
        <f>Plantilla!AA13</f>
        <v>3</v>
      </c>
      <c r="K10" s="101">
        <f>Plantilla!AB13</f>
        <v>4</v>
      </c>
      <c r="L10" s="101">
        <f>Plantilla!AC13</f>
        <v>7</v>
      </c>
      <c r="M10" s="101">
        <f>Plantilla!AD13</f>
        <v>6</v>
      </c>
      <c r="N10" s="120">
        <f>Plantilla!V13</f>
        <v>684</v>
      </c>
      <c r="O10" s="51">
        <v>870</v>
      </c>
      <c r="Q10" s="340" t="s">
        <v>175</v>
      </c>
      <c r="R10" s="341" t="str">
        <f t="shared" si="0"/>
        <v>Inners</v>
      </c>
      <c r="S10" s="139" t="str">
        <f t="shared" si="2"/>
        <v>CAB</v>
      </c>
      <c r="T10" s="139">
        <f>E10+3+1</f>
        <v>22</v>
      </c>
      <c r="U10" s="139">
        <f>F10+13*7-122</f>
        <v>33</v>
      </c>
      <c r="V10" s="342">
        <f t="shared" si="3"/>
        <v>0</v>
      </c>
      <c r="W10" s="342">
        <f t="shared" si="4"/>
        <v>4</v>
      </c>
      <c r="X10" s="342">
        <f>13+5/10</f>
        <v>13.5</v>
      </c>
      <c r="Y10" s="342">
        <f t="shared" si="6"/>
        <v>3</v>
      </c>
      <c r="Z10" s="342">
        <f t="shared" si="7"/>
        <v>4</v>
      </c>
      <c r="AA10" s="342">
        <f>10+1/6</f>
        <v>10.166666666666666</v>
      </c>
      <c r="AB10" s="342">
        <f t="shared" si="9"/>
        <v>6</v>
      </c>
      <c r="AC10" s="120">
        <f>(20000+1500+125+125)*1.02</f>
        <v>22185</v>
      </c>
      <c r="AD10" s="51">
        <f t="shared" si="10"/>
        <v>26622</v>
      </c>
    </row>
    <row r="11" spans="1:35" x14ac:dyDescent="0.25">
      <c r="A11" s="340" t="s">
        <v>179</v>
      </c>
      <c r="B11" s="341" t="s">
        <v>450</v>
      </c>
      <c r="C11" s="303" t="str">
        <f>Plantilla!D14</f>
        <v>I. Stone</v>
      </c>
      <c r="D11" s="80" t="str">
        <f>Plantilla!G14</f>
        <v>RAP</v>
      </c>
      <c r="E11" s="80">
        <v>18</v>
      </c>
      <c r="F11" s="80">
        <v>7</v>
      </c>
      <c r="G11" s="101">
        <f>Plantilla!X14</f>
        <v>0</v>
      </c>
      <c r="H11" s="101">
        <f>Plantilla!Y14</f>
        <v>3</v>
      </c>
      <c r="I11" s="101">
        <f>Plantilla!Z14</f>
        <v>6</v>
      </c>
      <c r="J11" s="101">
        <f>Plantilla!AA14</f>
        <v>2</v>
      </c>
      <c r="K11" s="101">
        <f>Plantilla!AB14</f>
        <v>6</v>
      </c>
      <c r="L11" s="101">
        <f>Plantilla!AC14</f>
        <v>9</v>
      </c>
      <c r="M11" s="101">
        <f>Plantilla!AD14</f>
        <v>2</v>
      </c>
      <c r="N11" s="120">
        <f>Plantilla!V14</f>
        <v>1490</v>
      </c>
      <c r="O11" s="51">
        <f t="shared" ref="O11:O15" si="11">N11*1.2</f>
        <v>1788</v>
      </c>
      <c r="Q11" s="340" t="s">
        <v>179</v>
      </c>
      <c r="R11" s="341" t="str">
        <f t="shared" si="0"/>
        <v>Inners</v>
      </c>
      <c r="S11" s="139" t="str">
        <f t="shared" si="2"/>
        <v>RAP</v>
      </c>
      <c r="T11" s="139">
        <f>E11+3</f>
        <v>21</v>
      </c>
      <c r="U11" s="139">
        <f>F11+13*7</f>
        <v>98</v>
      </c>
      <c r="V11" s="342">
        <f t="shared" si="3"/>
        <v>0</v>
      </c>
      <c r="W11" s="342">
        <f t="shared" si="4"/>
        <v>3</v>
      </c>
      <c r="X11" s="342">
        <v>13</v>
      </c>
      <c r="Y11" s="342">
        <f t="shared" si="6"/>
        <v>2</v>
      </c>
      <c r="Z11" s="342">
        <f t="shared" si="7"/>
        <v>6</v>
      </c>
      <c r="AA11" s="342">
        <f>11+4/7</f>
        <v>11.571428571428571</v>
      </c>
      <c r="AB11" s="342">
        <f t="shared" si="9"/>
        <v>2</v>
      </c>
      <c r="AC11" s="120">
        <f>(14490+3125+145)*1.008</f>
        <v>17902.080000000002</v>
      </c>
      <c r="AD11" s="51">
        <f>AC11</f>
        <v>17902.080000000002</v>
      </c>
    </row>
    <row r="12" spans="1:35" x14ac:dyDescent="0.25">
      <c r="A12" s="340" t="s">
        <v>224</v>
      </c>
      <c r="B12" s="341" t="s">
        <v>450</v>
      </c>
      <c r="C12" s="303" t="str">
        <f>Plantilla!D15</f>
        <v>G. Piscaer</v>
      </c>
      <c r="D12" s="80" t="str">
        <f>Plantilla!G15</f>
        <v>IMP</v>
      </c>
      <c r="E12" s="80">
        <v>18</v>
      </c>
      <c r="F12" s="80">
        <v>80</v>
      </c>
      <c r="G12" s="101">
        <f>Plantilla!X15</f>
        <v>0</v>
      </c>
      <c r="H12" s="101">
        <f>Plantilla!Y15</f>
        <v>4</v>
      </c>
      <c r="I12" s="101">
        <f>Plantilla!Z15</f>
        <v>8.4</v>
      </c>
      <c r="J12" s="101">
        <f>Plantilla!AA15</f>
        <v>3</v>
      </c>
      <c r="K12" s="101">
        <f>Plantilla!AB15</f>
        <v>2</v>
      </c>
      <c r="L12" s="101">
        <f>Plantilla!AC15</f>
        <v>8</v>
      </c>
      <c r="M12" s="101">
        <f>Plantilla!AD15</f>
        <v>0</v>
      </c>
      <c r="N12" s="120">
        <f>Plantilla!V15</f>
        <v>1044</v>
      </c>
      <c r="O12" s="51">
        <f t="shared" si="11"/>
        <v>1252.8</v>
      </c>
      <c r="Q12" s="340" t="s">
        <v>224</v>
      </c>
      <c r="R12" s="341" t="str">
        <f t="shared" si="0"/>
        <v>Inners</v>
      </c>
      <c r="S12" s="139" t="str">
        <f t="shared" si="2"/>
        <v>IMP</v>
      </c>
      <c r="T12" s="139">
        <f t="shared" ref="T12:T13" si="12">E12+3+1</f>
        <v>22</v>
      </c>
      <c r="U12" s="139">
        <f t="shared" ref="U12:U13" si="13">F12+13*7-122</f>
        <v>49</v>
      </c>
      <c r="V12" s="342">
        <f t="shared" si="3"/>
        <v>0</v>
      </c>
      <c r="W12" s="342">
        <f t="shared" si="4"/>
        <v>4</v>
      </c>
      <c r="X12" s="342">
        <f>14</f>
        <v>14</v>
      </c>
      <c r="Y12" s="342">
        <f t="shared" si="6"/>
        <v>3</v>
      </c>
      <c r="Z12" s="342">
        <f t="shared" si="7"/>
        <v>2</v>
      </c>
      <c r="AA12" s="342">
        <f>10+6/7</f>
        <v>10.857142857142858</v>
      </c>
      <c r="AB12" s="342">
        <f t="shared" si="9"/>
        <v>0</v>
      </c>
      <c r="AC12" s="120">
        <f>(23500+2295+125)*1</f>
        <v>25920</v>
      </c>
      <c r="AD12" s="51">
        <f t="shared" si="10"/>
        <v>31104</v>
      </c>
    </row>
    <row r="13" spans="1:35" x14ac:dyDescent="0.25">
      <c r="A13" s="340" t="s">
        <v>176</v>
      </c>
      <c r="B13" s="341" t="s">
        <v>450</v>
      </c>
      <c r="C13" s="303" t="str">
        <f>Plantilla!D16</f>
        <v>M. Bondarewski</v>
      </c>
      <c r="D13" s="80" t="str">
        <f>Plantilla!G16</f>
        <v>RAP</v>
      </c>
      <c r="E13" s="80">
        <v>18</v>
      </c>
      <c r="F13" s="80">
        <v>80</v>
      </c>
      <c r="G13" s="101">
        <f>Plantilla!X16</f>
        <v>0</v>
      </c>
      <c r="H13" s="101">
        <f>Plantilla!Y16</f>
        <v>2</v>
      </c>
      <c r="I13" s="101">
        <f>Plantilla!Z16</f>
        <v>8.6</v>
      </c>
      <c r="J13" s="101">
        <f>Plantilla!AA16</f>
        <v>5</v>
      </c>
      <c r="K13" s="101">
        <f>Plantilla!AB16</f>
        <v>4</v>
      </c>
      <c r="L13" s="101">
        <f>Plantilla!AC16</f>
        <v>8</v>
      </c>
      <c r="M13" s="101">
        <f>Plantilla!AD16</f>
        <v>6</v>
      </c>
      <c r="N13" s="120">
        <f>Plantilla!V16</f>
        <v>924</v>
      </c>
      <c r="O13" s="51">
        <f t="shared" si="11"/>
        <v>1108.8</v>
      </c>
      <c r="Q13" s="340" t="s">
        <v>176</v>
      </c>
      <c r="R13" s="341" t="str">
        <f t="shared" si="0"/>
        <v>Inners</v>
      </c>
      <c r="S13" s="139" t="str">
        <f t="shared" si="2"/>
        <v>RAP</v>
      </c>
      <c r="T13" s="139">
        <f t="shared" si="12"/>
        <v>22</v>
      </c>
      <c r="U13" s="139">
        <f t="shared" si="13"/>
        <v>49</v>
      </c>
      <c r="V13" s="342">
        <f t="shared" si="3"/>
        <v>0</v>
      </c>
      <c r="W13" s="342">
        <f t="shared" si="4"/>
        <v>2</v>
      </c>
      <c r="X13" s="342">
        <f>14</f>
        <v>14</v>
      </c>
      <c r="Y13" s="342">
        <f t="shared" si="6"/>
        <v>5</v>
      </c>
      <c r="Z13" s="342">
        <f t="shared" si="7"/>
        <v>4</v>
      </c>
      <c r="AA13" s="342">
        <f>10+6/7</f>
        <v>10.857142857142858</v>
      </c>
      <c r="AB13" s="342">
        <f t="shared" si="9"/>
        <v>6</v>
      </c>
      <c r="AC13" s="120">
        <f>(23500+2295+125+125)*1.02</f>
        <v>26565.9</v>
      </c>
      <c r="AD13" s="51">
        <f t="shared" si="10"/>
        <v>31879.08</v>
      </c>
    </row>
    <row r="14" spans="1:35" x14ac:dyDescent="0.25">
      <c r="A14" s="340" t="s">
        <v>177</v>
      </c>
      <c r="B14" s="341" t="s">
        <v>450</v>
      </c>
      <c r="C14" s="303" t="str">
        <f>Plantilla!D17</f>
        <v>J. Vartiainen</v>
      </c>
      <c r="D14" s="80" t="str">
        <f>Plantilla!G17</f>
        <v>CAB</v>
      </c>
      <c r="E14" s="80">
        <v>19</v>
      </c>
      <c r="F14" s="80">
        <v>14</v>
      </c>
      <c r="G14" s="101">
        <f>Plantilla!X17</f>
        <v>0</v>
      </c>
      <c r="H14" s="101">
        <f>Plantilla!Y17</f>
        <v>7</v>
      </c>
      <c r="I14" s="101">
        <f>Plantilla!Z17</f>
        <v>7.5111111111111111</v>
      </c>
      <c r="J14" s="101">
        <f>Plantilla!AA17</f>
        <v>1</v>
      </c>
      <c r="K14" s="101">
        <f>Plantilla!AB17</f>
        <v>1</v>
      </c>
      <c r="L14" s="101">
        <f>Plantilla!AC17</f>
        <v>6</v>
      </c>
      <c r="M14" s="101">
        <f>Plantilla!AD17</f>
        <v>1</v>
      </c>
      <c r="N14" s="120">
        <f>Plantilla!V17</f>
        <v>948</v>
      </c>
      <c r="O14" s="51">
        <f t="shared" si="11"/>
        <v>1137.5999999999999</v>
      </c>
      <c r="Q14" s="340" t="s">
        <v>177</v>
      </c>
      <c r="R14" s="341" t="str">
        <f t="shared" si="0"/>
        <v>Inners</v>
      </c>
      <c r="S14" s="139" t="str">
        <f t="shared" si="2"/>
        <v>CAB</v>
      </c>
      <c r="T14" s="139">
        <f>E14+3</f>
        <v>22</v>
      </c>
      <c r="U14" s="139">
        <f>F14+13*7</f>
        <v>105</v>
      </c>
      <c r="V14" s="342">
        <f t="shared" si="3"/>
        <v>0</v>
      </c>
      <c r="W14" s="342">
        <f t="shared" si="4"/>
        <v>7</v>
      </c>
      <c r="X14" s="342">
        <f>13+4/9</f>
        <v>13.444444444444445</v>
      </c>
      <c r="Y14" s="342">
        <f t="shared" si="6"/>
        <v>1</v>
      </c>
      <c r="Z14" s="342">
        <f t="shared" si="7"/>
        <v>1</v>
      </c>
      <c r="AA14" s="342">
        <f>9+3/6</f>
        <v>9.5</v>
      </c>
      <c r="AB14" s="342">
        <f t="shared" si="9"/>
        <v>1</v>
      </c>
      <c r="AC14" s="120">
        <f>(20000+1020+225)*1.004</f>
        <v>21329.98</v>
      </c>
      <c r="AD14" s="51">
        <f t="shared" si="10"/>
        <v>25595.975999999999</v>
      </c>
    </row>
    <row r="15" spans="1:35" x14ac:dyDescent="0.25">
      <c r="A15" s="340" t="s">
        <v>171</v>
      </c>
      <c r="B15" s="341" t="s">
        <v>450</v>
      </c>
      <c r="C15" s="303" t="str">
        <f>Plantilla!D18</f>
        <v>R. Forsyth</v>
      </c>
      <c r="D15" s="80" t="str">
        <f>Plantilla!G18</f>
        <v>POT</v>
      </c>
      <c r="E15" s="80">
        <v>19</v>
      </c>
      <c r="F15" s="80">
        <v>9</v>
      </c>
      <c r="G15" s="101">
        <f>Plantilla!X18</f>
        <v>0</v>
      </c>
      <c r="H15" s="101">
        <f>Plantilla!Y18</f>
        <v>7</v>
      </c>
      <c r="I15" s="101">
        <f>Plantilla!Z18</f>
        <v>7.6</v>
      </c>
      <c r="J15" s="101">
        <f>Plantilla!AA18</f>
        <v>2</v>
      </c>
      <c r="K15" s="101">
        <f>Plantilla!AB18</f>
        <v>4</v>
      </c>
      <c r="L15" s="101">
        <f>Plantilla!AC18</f>
        <v>6</v>
      </c>
      <c r="M15" s="101">
        <f>Plantilla!AD18</f>
        <v>2</v>
      </c>
      <c r="N15" s="120">
        <f>Plantilla!V18</f>
        <v>870</v>
      </c>
      <c r="O15" s="51">
        <f t="shared" si="11"/>
        <v>1044</v>
      </c>
      <c r="Q15" s="340" t="s">
        <v>171</v>
      </c>
      <c r="R15" s="341" t="str">
        <f t="shared" si="0"/>
        <v>Inners</v>
      </c>
      <c r="S15" s="139" t="str">
        <f t="shared" si="2"/>
        <v>POT</v>
      </c>
      <c r="T15" s="139">
        <f>E15+3</f>
        <v>22</v>
      </c>
      <c r="U15" s="139">
        <f>F15+13*7</f>
        <v>100</v>
      </c>
      <c r="V15" s="342">
        <f t="shared" si="3"/>
        <v>0</v>
      </c>
      <c r="W15" s="342">
        <f t="shared" si="4"/>
        <v>7</v>
      </c>
      <c r="X15" s="342">
        <f>13+4/9</f>
        <v>13.444444444444445</v>
      </c>
      <c r="Y15" s="342">
        <f t="shared" si="6"/>
        <v>2</v>
      </c>
      <c r="Z15" s="342">
        <f t="shared" si="7"/>
        <v>4</v>
      </c>
      <c r="AA15" s="342">
        <f>9+3/6</f>
        <v>9.5</v>
      </c>
      <c r="AB15" s="342">
        <f t="shared" si="9"/>
        <v>2</v>
      </c>
      <c r="AC15" s="120">
        <f>(20000+1020+225+125)*1.008</f>
        <v>21540.959999999999</v>
      </c>
      <c r="AD15" s="51">
        <f>AC15</f>
        <v>21540.959999999999</v>
      </c>
    </row>
    <row r="16" spans="1:35" x14ac:dyDescent="0.25">
      <c r="A16" s="340" t="s">
        <v>216</v>
      </c>
      <c r="B16" s="341" t="s">
        <v>277</v>
      </c>
      <c r="C16" s="80"/>
      <c r="D16" s="80" t="s">
        <v>451</v>
      </c>
      <c r="E16" s="80"/>
      <c r="F16" s="80"/>
      <c r="G16" s="101">
        <v>0</v>
      </c>
      <c r="H16" s="92">
        <v>2</v>
      </c>
      <c r="I16" s="92">
        <v>2</v>
      </c>
      <c r="J16" s="140">
        <v>2</v>
      </c>
      <c r="K16" s="101">
        <v>2</v>
      </c>
      <c r="L16" s="92">
        <v>2</v>
      </c>
      <c r="M16" s="101">
        <v>2</v>
      </c>
      <c r="N16" s="120"/>
      <c r="O16" s="51"/>
      <c r="Q16" s="340" t="s">
        <v>216</v>
      </c>
      <c r="R16" s="341" t="str">
        <f t="shared" si="0"/>
        <v>DD</v>
      </c>
      <c r="S16" s="139" t="str">
        <f t="shared" si="2"/>
        <v>RAP/IMP/CAB</v>
      </c>
      <c r="T16" s="139"/>
      <c r="U16" s="139"/>
      <c r="V16" s="342">
        <f t="shared" si="3"/>
        <v>0</v>
      </c>
      <c r="W16" s="342">
        <f t="shared" si="4"/>
        <v>2</v>
      </c>
      <c r="X16" s="342">
        <f t="shared" si="5"/>
        <v>2</v>
      </c>
      <c r="Y16" s="342">
        <f t="shared" si="6"/>
        <v>2</v>
      </c>
      <c r="Z16" s="342">
        <f t="shared" si="7"/>
        <v>2</v>
      </c>
      <c r="AA16" s="342">
        <f t="shared" si="8"/>
        <v>2</v>
      </c>
      <c r="AB16" s="342">
        <f t="shared" si="9"/>
        <v>2</v>
      </c>
      <c r="AC16" s="120">
        <f>N16</f>
        <v>0</v>
      </c>
      <c r="AD16" s="51">
        <f t="shared" si="10"/>
        <v>0</v>
      </c>
    </row>
    <row r="17" spans="1:33" x14ac:dyDescent="0.25">
      <c r="A17" s="340" t="s">
        <v>223</v>
      </c>
      <c r="B17" s="341" t="s">
        <v>277</v>
      </c>
      <c r="C17" s="80"/>
      <c r="D17" s="80" t="s">
        <v>451</v>
      </c>
      <c r="E17" s="80"/>
      <c r="F17" s="80"/>
      <c r="G17" s="101">
        <v>0</v>
      </c>
      <c r="H17" s="92">
        <v>2</v>
      </c>
      <c r="I17" s="92">
        <v>2</v>
      </c>
      <c r="J17" s="140">
        <v>2</v>
      </c>
      <c r="K17" s="101">
        <v>2</v>
      </c>
      <c r="L17" s="92">
        <v>2</v>
      </c>
      <c r="M17" s="101">
        <v>2</v>
      </c>
      <c r="N17" s="120"/>
      <c r="O17" s="51"/>
      <c r="Q17" s="340" t="s">
        <v>223</v>
      </c>
      <c r="R17" s="341" t="str">
        <f t="shared" si="0"/>
        <v>DD</v>
      </c>
      <c r="S17" s="139" t="str">
        <f t="shared" si="2"/>
        <v>RAP/IMP/CAB</v>
      </c>
      <c r="T17" s="139"/>
      <c r="U17" s="139"/>
      <c r="V17" s="342">
        <f t="shared" si="3"/>
        <v>0</v>
      </c>
      <c r="W17" s="342">
        <f t="shared" si="4"/>
        <v>2</v>
      </c>
      <c r="X17" s="342">
        <f t="shared" si="5"/>
        <v>2</v>
      </c>
      <c r="Y17" s="342">
        <f t="shared" si="6"/>
        <v>2</v>
      </c>
      <c r="Z17" s="342">
        <f t="shared" si="7"/>
        <v>2</v>
      </c>
      <c r="AA17" s="342">
        <f t="shared" si="8"/>
        <v>2</v>
      </c>
      <c r="AB17" s="342">
        <f t="shared" si="9"/>
        <v>2</v>
      </c>
      <c r="AC17" s="120">
        <f>N17</f>
        <v>0</v>
      </c>
      <c r="AD17" s="51">
        <f t="shared" si="10"/>
        <v>0</v>
      </c>
    </row>
    <row r="19" spans="1:33" x14ac:dyDescent="0.25">
      <c r="B19" s="330"/>
      <c r="N19" s="51">
        <f>SUM(N21:N34)</f>
        <v>305878.36</v>
      </c>
      <c r="O19" s="51">
        <f>SUM(O21:O34)</f>
        <v>359165.42400000012</v>
      </c>
      <c r="R19" s="330"/>
      <c r="AC19" s="51">
        <f>SUM(AC21:AC34)</f>
        <v>314127.67499999999</v>
      </c>
      <c r="AD19" s="51">
        <f>SUM(AD21:AD34)</f>
        <v>376953.20999999996</v>
      </c>
    </row>
    <row r="20" spans="1:33" x14ac:dyDescent="0.25">
      <c r="A20" s="96" t="s">
        <v>446</v>
      </c>
      <c r="B20" s="94" t="s">
        <v>100</v>
      </c>
      <c r="C20" s="94" t="s">
        <v>447</v>
      </c>
      <c r="D20" s="94" t="s">
        <v>319</v>
      </c>
      <c r="E20" s="94" t="s">
        <v>318</v>
      </c>
      <c r="F20" s="94" t="s">
        <v>61</v>
      </c>
      <c r="G20" s="94" t="s">
        <v>106</v>
      </c>
      <c r="H20" s="94" t="s">
        <v>77</v>
      </c>
      <c r="I20" s="94" t="s">
        <v>78</v>
      </c>
      <c r="J20" s="94" t="s">
        <v>79</v>
      </c>
      <c r="K20" s="94" t="s">
        <v>80</v>
      </c>
      <c r="L20" s="94" t="s">
        <v>81</v>
      </c>
      <c r="M20" s="94" t="s">
        <v>74</v>
      </c>
      <c r="N20" s="94" t="s">
        <v>65</v>
      </c>
      <c r="O20" s="156" t="s">
        <v>448</v>
      </c>
      <c r="Q20" s="96" t="s">
        <v>446</v>
      </c>
      <c r="R20" s="94" t="s">
        <v>100</v>
      </c>
      <c r="S20" s="94" t="s">
        <v>319</v>
      </c>
      <c r="T20" s="94" t="s">
        <v>318</v>
      </c>
      <c r="U20" s="94" t="s">
        <v>61</v>
      </c>
      <c r="V20" s="94" t="s">
        <v>106</v>
      </c>
      <c r="W20" s="94" t="s">
        <v>77</v>
      </c>
      <c r="X20" s="94" t="s">
        <v>78</v>
      </c>
      <c r="Y20" s="94" t="s">
        <v>79</v>
      </c>
      <c r="Z20" s="94" t="s">
        <v>80</v>
      </c>
      <c r="AA20" s="94" t="s">
        <v>81</v>
      </c>
      <c r="AB20" s="94" t="s">
        <v>74</v>
      </c>
      <c r="AC20" s="94" t="s">
        <v>65</v>
      </c>
      <c r="AD20" s="156" t="s">
        <v>448</v>
      </c>
      <c r="AF20" s="339" t="s">
        <v>309</v>
      </c>
      <c r="AG20">
        <v>0</v>
      </c>
    </row>
    <row r="21" spans="1:33" x14ac:dyDescent="0.25">
      <c r="A21" s="340" t="str">
        <f>A4</f>
        <v>#1</v>
      </c>
      <c r="B21" s="341" t="str">
        <f>B4</f>
        <v>POR</v>
      </c>
      <c r="C21" s="139" t="s">
        <v>311</v>
      </c>
      <c r="D21" s="139">
        <f>D4</f>
        <v>0</v>
      </c>
      <c r="E21" s="139">
        <v>22</v>
      </c>
      <c r="F21" s="139">
        <v>50</v>
      </c>
      <c r="G21" s="342">
        <v>15</v>
      </c>
      <c r="H21" s="342">
        <v>4</v>
      </c>
      <c r="I21" s="342">
        <f t="shared" ref="I21:L21" si="14">X4</f>
        <v>2</v>
      </c>
      <c r="J21" s="342">
        <f t="shared" si="14"/>
        <v>0</v>
      </c>
      <c r="K21" s="342">
        <f t="shared" si="14"/>
        <v>0</v>
      </c>
      <c r="L21" s="342">
        <f t="shared" si="14"/>
        <v>0</v>
      </c>
      <c r="M21" s="342">
        <v>4</v>
      </c>
      <c r="N21" s="120">
        <f>(24270+125)*1.012</f>
        <v>24687.74</v>
      </c>
      <c r="O21" s="120">
        <f>N21*1.2</f>
        <v>29625.288</v>
      </c>
      <c r="Q21" s="340" t="s">
        <v>170</v>
      </c>
      <c r="R21" s="341" t="str">
        <f t="shared" ref="R21:R34" si="15">B21</f>
        <v>POR</v>
      </c>
      <c r="S21" s="139"/>
      <c r="T21" s="139"/>
      <c r="U21" s="139"/>
      <c r="V21" s="342">
        <f>G21</f>
        <v>15</v>
      </c>
      <c r="W21" s="342">
        <f t="shared" ref="W21:AA21" si="16">H21</f>
        <v>4</v>
      </c>
      <c r="X21" s="342">
        <f t="shared" si="16"/>
        <v>2</v>
      </c>
      <c r="Y21" s="342">
        <f t="shared" si="16"/>
        <v>0</v>
      </c>
      <c r="Z21" s="342">
        <f t="shared" si="16"/>
        <v>0</v>
      </c>
      <c r="AA21" s="342">
        <f t="shared" si="16"/>
        <v>0</v>
      </c>
      <c r="AB21" s="342">
        <v>17</v>
      </c>
      <c r="AC21" s="120">
        <f>(24270+125)*1.047</f>
        <v>25541.564999999999</v>
      </c>
      <c r="AD21" s="51">
        <f>AC21*1.2</f>
        <v>30649.877999999997</v>
      </c>
      <c r="AF21" s="339" t="s">
        <v>308</v>
      </c>
      <c r="AG21">
        <v>0</v>
      </c>
    </row>
    <row r="22" spans="1:33" x14ac:dyDescent="0.25">
      <c r="A22" s="340" t="str">
        <f t="shared" ref="A22:B22" si="17">A5</f>
        <v>#2</v>
      </c>
      <c r="B22" s="341" t="str">
        <f t="shared" si="17"/>
        <v>DEF</v>
      </c>
      <c r="C22" s="139" t="s">
        <v>66</v>
      </c>
      <c r="D22" s="139" t="s">
        <v>220</v>
      </c>
      <c r="E22" s="139">
        <v>22</v>
      </c>
      <c r="F22" s="139">
        <v>50</v>
      </c>
      <c r="G22" s="342">
        <f t="shared" ref="G22:G33" si="18">V5</f>
        <v>0</v>
      </c>
      <c r="H22" s="342">
        <v>14</v>
      </c>
      <c r="I22" s="342">
        <v>5</v>
      </c>
      <c r="J22" s="342">
        <f t="shared" ref="J22:J33" si="19">Y5</f>
        <v>2</v>
      </c>
      <c r="K22" s="342">
        <f t="shared" ref="K22:K33" si="20">Z5</f>
        <v>2</v>
      </c>
      <c r="L22" s="342">
        <v>7</v>
      </c>
      <c r="M22" s="342">
        <v>3</v>
      </c>
      <c r="N22" s="120">
        <f>(18370+135+245)*1.012</f>
        <v>18975</v>
      </c>
      <c r="O22" s="120">
        <f t="shared" ref="O22:O26" si="21">N22*1.2</f>
        <v>22770</v>
      </c>
      <c r="Q22" s="340" t="s">
        <v>222</v>
      </c>
      <c r="R22" s="341" t="str">
        <f t="shared" si="15"/>
        <v>DEF</v>
      </c>
      <c r="S22" s="139" t="str">
        <f t="shared" ref="S22:S34" si="22">D22</f>
        <v>CAB</v>
      </c>
      <c r="T22" s="139"/>
      <c r="U22" s="139"/>
      <c r="V22" s="342">
        <f t="shared" ref="V22:V34" si="23">G22</f>
        <v>0</v>
      </c>
      <c r="W22" s="342">
        <f t="shared" ref="W22:W34" si="24">H22</f>
        <v>14</v>
      </c>
      <c r="X22" s="342">
        <f t="shared" ref="X22:X34" si="25">I22</f>
        <v>5</v>
      </c>
      <c r="Y22" s="342">
        <f t="shared" ref="Y22:Y34" si="26">J22</f>
        <v>2</v>
      </c>
      <c r="Z22" s="342">
        <f t="shared" ref="Z22:Z34" si="27">K22</f>
        <v>2</v>
      </c>
      <c r="AA22" s="342">
        <f t="shared" ref="AA22:AA34" si="28">L22</f>
        <v>7</v>
      </c>
      <c r="AB22" s="342">
        <v>14</v>
      </c>
      <c r="AC22" s="120">
        <f>(18370+135+245)*1.04</f>
        <v>19500</v>
      </c>
      <c r="AD22" s="51">
        <f t="shared" ref="AD22:AD34" si="29">AC22*1.2</f>
        <v>23400</v>
      </c>
      <c r="AF22" s="339" t="s">
        <v>0</v>
      </c>
      <c r="AG22">
        <v>16</v>
      </c>
    </row>
    <row r="23" spans="1:33" x14ac:dyDescent="0.25">
      <c r="A23" s="340" t="str">
        <f t="shared" ref="A23:B23" si="30">A6</f>
        <v>#3</v>
      </c>
      <c r="B23" s="341" t="str">
        <f t="shared" si="30"/>
        <v>DEF</v>
      </c>
      <c r="C23" s="139" t="s">
        <v>66</v>
      </c>
      <c r="D23" s="139" t="s">
        <v>220</v>
      </c>
      <c r="E23" s="139">
        <v>22</v>
      </c>
      <c r="F23" s="139">
        <v>50</v>
      </c>
      <c r="G23" s="342">
        <f t="shared" ref="G23:G26" si="31">V6</f>
        <v>0</v>
      </c>
      <c r="H23" s="342">
        <v>14</v>
      </c>
      <c r="I23" s="342">
        <v>5</v>
      </c>
      <c r="J23" s="342">
        <f t="shared" ref="J23:J26" si="32">Y6</f>
        <v>2</v>
      </c>
      <c r="K23" s="342">
        <f t="shared" ref="K23:K26" si="33">Z6</f>
        <v>2</v>
      </c>
      <c r="L23" s="342">
        <v>7</v>
      </c>
      <c r="M23" s="342">
        <v>3</v>
      </c>
      <c r="N23" s="120">
        <f>(18370+135+245)*1.012</f>
        <v>18975</v>
      </c>
      <c r="O23" s="120">
        <f t="shared" si="21"/>
        <v>22770</v>
      </c>
      <c r="Q23" s="340" t="s">
        <v>172</v>
      </c>
      <c r="R23" s="341" t="str">
        <f t="shared" si="15"/>
        <v>DEF</v>
      </c>
      <c r="S23" s="139" t="str">
        <f t="shared" si="22"/>
        <v>CAB</v>
      </c>
      <c r="T23" s="139"/>
      <c r="U23" s="139"/>
      <c r="V23" s="342">
        <f t="shared" si="23"/>
        <v>0</v>
      </c>
      <c r="W23" s="342">
        <f t="shared" si="24"/>
        <v>14</v>
      </c>
      <c r="X23" s="342">
        <f t="shared" si="25"/>
        <v>5</v>
      </c>
      <c r="Y23" s="342">
        <f t="shared" si="26"/>
        <v>2</v>
      </c>
      <c r="Z23" s="342">
        <f t="shared" si="27"/>
        <v>2</v>
      </c>
      <c r="AA23" s="342">
        <f t="shared" si="28"/>
        <v>7</v>
      </c>
      <c r="AB23" s="342">
        <v>14</v>
      </c>
      <c r="AC23" s="120">
        <f t="shared" ref="AC23:AC26" si="34">(18370+135+245)*1.04</f>
        <v>19500</v>
      </c>
      <c r="AD23" s="51">
        <f t="shared" si="29"/>
        <v>23400</v>
      </c>
      <c r="AF23" s="339" t="s">
        <v>327</v>
      </c>
      <c r="AG23">
        <v>0</v>
      </c>
    </row>
    <row r="24" spans="1:33" x14ac:dyDescent="0.25">
      <c r="A24" s="340" t="str">
        <f t="shared" ref="A24:B24" si="35">A7</f>
        <v>#4</v>
      </c>
      <c r="B24" s="341" t="str">
        <f t="shared" si="35"/>
        <v>DEF</v>
      </c>
      <c r="C24" s="139" t="s">
        <v>66</v>
      </c>
      <c r="D24" s="139" t="s">
        <v>220</v>
      </c>
      <c r="E24" s="139">
        <v>22</v>
      </c>
      <c r="F24" s="139">
        <v>50</v>
      </c>
      <c r="G24" s="342">
        <f t="shared" si="31"/>
        <v>0</v>
      </c>
      <c r="H24" s="342">
        <v>14</v>
      </c>
      <c r="I24" s="342">
        <v>5</v>
      </c>
      <c r="J24" s="342">
        <f t="shared" si="32"/>
        <v>2</v>
      </c>
      <c r="K24" s="342">
        <f t="shared" si="33"/>
        <v>2</v>
      </c>
      <c r="L24" s="342">
        <v>7</v>
      </c>
      <c r="M24" s="342">
        <v>3</v>
      </c>
      <c r="N24" s="120">
        <f>(18370+135+245)*1.012</f>
        <v>18975</v>
      </c>
      <c r="O24" s="120">
        <f t="shared" si="21"/>
        <v>22770</v>
      </c>
      <c r="Q24" s="340" t="s">
        <v>174</v>
      </c>
      <c r="R24" s="341" t="str">
        <f t="shared" si="15"/>
        <v>DEF</v>
      </c>
      <c r="S24" s="139" t="str">
        <f t="shared" si="22"/>
        <v>CAB</v>
      </c>
      <c r="T24" s="139"/>
      <c r="U24" s="139"/>
      <c r="V24" s="342">
        <f t="shared" si="23"/>
        <v>0</v>
      </c>
      <c r="W24" s="342">
        <f t="shared" si="24"/>
        <v>14</v>
      </c>
      <c r="X24" s="342">
        <f t="shared" si="25"/>
        <v>5</v>
      </c>
      <c r="Y24" s="342">
        <f t="shared" si="26"/>
        <v>2</v>
      </c>
      <c r="Z24" s="342">
        <f t="shared" si="27"/>
        <v>2</v>
      </c>
      <c r="AA24" s="342">
        <f t="shared" si="28"/>
        <v>7</v>
      </c>
      <c r="AB24" s="342">
        <v>14</v>
      </c>
      <c r="AC24" s="120">
        <f t="shared" si="34"/>
        <v>19500</v>
      </c>
      <c r="AD24" s="51">
        <f t="shared" si="29"/>
        <v>23400</v>
      </c>
      <c r="AF24" s="339" t="s">
        <v>246</v>
      </c>
      <c r="AG24">
        <f>AG22+AG21+AG20+AG23</f>
        <v>16</v>
      </c>
    </row>
    <row r="25" spans="1:33" x14ac:dyDescent="0.25">
      <c r="A25" s="340" t="str">
        <f t="shared" ref="A25:B25" si="36">A8</f>
        <v>#5</v>
      </c>
      <c r="B25" s="341" t="str">
        <f t="shared" si="36"/>
        <v>DEF</v>
      </c>
      <c r="C25" s="139" t="s">
        <v>66</v>
      </c>
      <c r="D25" s="139" t="s">
        <v>220</v>
      </c>
      <c r="E25" s="139">
        <v>22</v>
      </c>
      <c r="F25" s="139">
        <v>50</v>
      </c>
      <c r="G25" s="342">
        <f t="shared" si="31"/>
        <v>0</v>
      </c>
      <c r="H25" s="342">
        <v>14</v>
      </c>
      <c r="I25" s="342">
        <v>5</v>
      </c>
      <c r="J25" s="342">
        <f t="shared" si="32"/>
        <v>2</v>
      </c>
      <c r="K25" s="342">
        <f t="shared" si="33"/>
        <v>2</v>
      </c>
      <c r="L25" s="342">
        <v>7</v>
      </c>
      <c r="M25" s="342">
        <v>3</v>
      </c>
      <c r="N25" s="120">
        <f>(18370+135+245)*1.012</f>
        <v>18975</v>
      </c>
      <c r="O25" s="120">
        <f t="shared" si="21"/>
        <v>22770</v>
      </c>
      <c r="Q25" s="340" t="s">
        <v>178</v>
      </c>
      <c r="R25" s="341" t="str">
        <f t="shared" si="15"/>
        <v>DEF</v>
      </c>
      <c r="S25" s="139" t="str">
        <f t="shared" si="22"/>
        <v>CAB</v>
      </c>
      <c r="T25" s="139"/>
      <c r="U25" s="139"/>
      <c r="V25" s="342">
        <f t="shared" si="23"/>
        <v>0</v>
      </c>
      <c r="W25" s="342">
        <f t="shared" si="24"/>
        <v>14</v>
      </c>
      <c r="X25" s="342">
        <f t="shared" si="25"/>
        <v>5</v>
      </c>
      <c r="Y25" s="342">
        <f t="shared" si="26"/>
        <v>2</v>
      </c>
      <c r="Z25" s="342">
        <f t="shared" si="27"/>
        <v>2</v>
      </c>
      <c r="AA25" s="342">
        <f t="shared" si="28"/>
        <v>7</v>
      </c>
      <c r="AB25" s="342">
        <v>14</v>
      </c>
      <c r="AC25" s="120">
        <f t="shared" si="34"/>
        <v>19500</v>
      </c>
      <c r="AD25" s="51">
        <f t="shared" si="29"/>
        <v>23400</v>
      </c>
      <c r="AF25" s="339" t="s">
        <v>60</v>
      </c>
      <c r="AG25" s="83">
        <f>AG24/16</f>
        <v>1</v>
      </c>
    </row>
    <row r="26" spans="1:33" x14ac:dyDescent="0.25">
      <c r="A26" s="340" t="str">
        <f t="shared" ref="A26:B26" si="37">A9</f>
        <v>#6</v>
      </c>
      <c r="B26" s="341" t="str">
        <f t="shared" si="37"/>
        <v>DEF</v>
      </c>
      <c r="C26" s="139" t="s">
        <v>66</v>
      </c>
      <c r="D26" s="139" t="s">
        <v>220</v>
      </c>
      <c r="E26" s="139">
        <v>22</v>
      </c>
      <c r="F26" s="139">
        <v>50</v>
      </c>
      <c r="G26" s="342">
        <f t="shared" si="31"/>
        <v>0</v>
      </c>
      <c r="H26" s="342">
        <v>14</v>
      </c>
      <c r="I26" s="342">
        <v>5</v>
      </c>
      <c r="J26" s="342">
        <f t="shared" si="32"/>
        <v>2</v>
      </c>
      <c r="K26" s="342">
        <f t="shared" si="33"/>
        <v>2</v>
      </c>
      <c r="L26" s="342">
        <v>7</v>
      </c>
      <c r="M26" s="342">
        <v>3</v>
      </c>
      <c r="N26" s="120">
        <f>(18370+135+245)*1.012</f>
        <v>18975</v>
      </c>
      <c r="O26" s="120">
        <f t="shared" si="21"/>
        <v>22770</v>
      </c>
      <c r="Q26" s="340" t="s">
        <v>173</v>
      </c>
      <c r="R26" s="341" t="str">
        <f t="shared" si="15"/>
        <v>DEF</v>
      </c>
      <c r="S26" s="139" t="str">
        <f t="shared" si="22"/>
        <v>CAB</v>
      </c>
      <c r="T26" s="139"/>
      <c r="U26" s="139"/>
      <c r="V26" s="342">
        <f t="shared" si="23"/>
        <v>0</v>
      </c>
      <c r="W26" s="342">
        <f t="shared" si="24"/>
        <v>14</v>
      </c>
      <c r="X26" s="342">
        <f t="shared" si="25"/>
        <v>5</v>
      </c>
      <c r="Y26" s="342">
        <f t="shared" si="26"/>
        <v>2</v>
      </c>
      <c r="Z26" s="342">
        <f t="shared" si="27"/>
        <v>2</v>
      </c>
      <c r="AA26" s="342">
        <f t="shared" si="28"/>
        <v>7</v>
      </c>
      <c r="AB26" s="342">
        <v>14</v>
      </c>
      <c r="AC26" s="120">
        <f t="shared" si="34"/>
        <v>19500</v>
      </c>
      <c r="AD26" s="51">
        <f t="shared" si="29"/>
        <v>23400</v>
      </c>
    </row>
    <row r="27" spans="1:33" x14ac:dyDescent="0.25">
      <c r="A27" s="340" t="str">
        <f t="shared" ref="A27:D27" si="38">A10</f>
        <v>#7</v>
      </c>
      <c r="B27" s="341" t="str">
        <f t="shared" si="38"/>
        <v>Inners</v>
      </c>
      <c r="C27" s="139" t="str">
        <f t="shared" si="38"/>
        <v>I. Vanags</v>
      </c>
      <c r="D27" s="139" t="str">
        <f t="shared" si="38"/>
        <v>CAB</v>
      </c>
      <c r="E27" s="139">
        <f>T10</f>
        <v>22</v>
      </c>
      <c r="F27" s="139">
        <f>U10</f>
        <v>33</v>
      </c>
      <c r="G27" s="342">
        <f t="shared" si="18"/>
        <v>0</v>
      </c>
      <c r="H27" s="342">
        <f t="shared" ref="H27:H33" si="39">W10</f>
        <v>4</v>
      </c>
      <c r="I27" s="342">
        <f t="shared" ref="I27:I32" si="40">X10</f>
        <v>13.5</v>
      </c>
      <c r="J27" s="342">
        <f t="shared" si="19"/>
        <v>3</v>
      </c>
      <c r="K27" s="342">
        <f t="shared" si="20"/>
        <v>4</v>
      </c>
      <c r="L27" s="342">
        <f t="shared" ref="L27:L32" si="41">AA10</f>
        <v>10.166666666666666</v>
      </c>
      <c r="M27" s="342">
        <f t="shared" ref="M27:M32" si="42">AB10</f>
        <v>6</v>
      </c>
      <c r="N27" s="120">
        <f t="shared" ref="N27:O27" si="43">AC10</f>
        <v>22185</v>
      </c>
      <c r="O27" s="120">
        <f t="shared" si="43"/>
        <v>26622</v>
      </c>
      <c r="Q27" s="340" t="s">
        <v>175</v>
      </c>
      <c r="R27" s="341" t="str">
        <f t="shared" si="15"/>
        <v>Inners</v>
      </c>
      <c r="S27" s="139" t="str">
        <f t="shared" si="22"/>
        <v>CAB</v>
      </c>
      <c r="T27" s="139">
        <f>E27+1</f>
        <v>23</v>
      </c>
      <c r="U27" s="139">
        <f>F27</f>
        <v>33</v>
      </c>
      <c r="V27" s="342">
        <f t="shared" si="23"/>
        <v>0</v>
      </c>
      <c r="W27" s="342">
        <f t="shared" si="24"/>
        <v>4</v>
      </c>
      <c r="X27" s="342">
        <f t="shared" si="25"/>
        <v>13.5</v>
      </c>
      <c r="Y27" s="342">
        <f t="shared" si="26"/>
        <v>3</v>
      </c>
      <c r="Z27" s="342">
        <f t="shared" si="27"/>
        <v>4</v>
      </c>
      <c r="AA27" s="342">
        <f t="shared" si="28"/>
        <v>10.166666666666666</v>
      </c>
      <c r="AB27" s="342">
        <v>15</v>
      </c>
      <c r="AC27" s="120">
        <f>(20000+1500+125+125)*1.043</f>
        <v>22685.25</v>
      </c>
      <c r="AD27" s="51">
        <f t="shared" si="29"/>
        <v>27222.3</v>
      </c>
    </row>
    <row r="28" spans="1:33" x14ac:dyDescent="0.25">
      <c r="A28" s="340" t="str">
        <f t="shared" ref="A28:D28" si="44">A11</f>
        <v>#8</v>
      </c>
      <c r="B28" s="341" t="str">
        <f t="shared" si="44"/>
        <v>Inners</v>
      </c>
      <c r="C28" s="139" t="str">
        <f t="shared" si="44"/>
        <v>I. Stone</v>
      </c>
      <c r="D28" s="139" t="str">
        <f t="shared" si="44"/>
        <v>RAP</v>
      </c>
      <c r="E28" s="139">
        <f t="shared" ref="E28:F32" si="45">T11</f>
        <v>21</v>
      </c>
      <c r="F28" s="139">
        <f t="shared" si="45"/>
        <v>98</v>
      </c>
      <c r="G28" s="342">
        <f t="shared" si="18"/>
        <v>0</v>
      </c>
      <c r="H28" s="342">
        <f t="shared" si="39"/>
        <v>3</v>
      </c>
      <c r="I28" s="342">
        <f t="shared" si="40"/>
        <v>13</v>
      </c>
      <c r="J28" s="342">
        <f t="shared" si="19"/>
        <v>2</v>
      </c>
      <c r="K28" s="342">
        <f t="shared" si="20"/>
        <v>6</v>
      </c>
      <c r="L28" s="342">
        <f t="shared" si="41"/>
        <v>11.571428571428571</v>
      </c>
      <c r="M28" s="342">
        <f t="shared" si="42"/>
        <v>2</v>
      </c>
      <c r="N28" s="120">
        <f t="shared" ref="N28:O28" si="46">AC11</f>
        <v>17902.080000000002</v>
      </c>
      <c r="O28" s="120">
        <f t="shared" si="46"/>
        <v>17902.080000000002</v>
      </c>
      <c r="Q28" s="340" t="s">
        <v>179</v>
      </c>
      <c r="R28" s="341" t="str">
        <f t="shared" si="15"/>
        <v>Inners</v>
      </c>
      <c r="S28" s="139" t="str">
        <f t="shared" si="22"/>
        <v>RAP</v>
      </c>
      <c r="T28" s="139">
        <f t="shared" ref="T28:T32" si="47">E28+1</f>
        <v>22</v>
      </c>
      <c r="U28" s="139">
        <f t="shared" ref="U28:U32" si="48">F28</f>
        <v>98</v>
      </c>
      <c r="V28" s="342">
        <f t="shared" si="23"/>
        <v>0</v>
      </c>
      <c r="W28" s="342">
        <f t="shared" si="24"/>
        <v>3</v>
      </c>
      <c r="X28" s="342">
        <f t="shared" si="25"/>
        <v>13</v>
      </c>
      <c r="Y28" s="342">
        <f t="shared" si="26"/>
        <v>2</v>
      </c>
      <c r="Z28" s="342">
        <f t="shared" si="27"/>
        <v>6</v>
      </c>
      <c r="AA28" s="342">
        <f t="shared" si="28"/>
        <v>11.571428571428571</v>
      </c>
      <c r="AB28" s="342">
        <v>13.5</v>
      </c>
      <c r="AC28" s="120">
        <f>(14490+3125+145)*1.038</f>
        <v>18434.88</v>
      </c>
      <c r="AD28" s="51">
        <f t="shared" si="29"/>
        <v>22121.856</v>
      </c>
    </row>
    <row r="29" spans="1:33" x14ac:dyDescent="0.25">
      <c r="A29" s="340" t="str">
        <f t="shared" ref="A29:D29" si="49">A12</f>
        <v>#9</v>
      </c>
      <c r="B29" s="341" t="str">
        <f t="shared" si="49"/>
        <v>Inners</v>
      </c>
      <c r="C29" s="139" t="str">
        <f t="shared" si="49"/>
        <v>G. Piscaer</v>
      </c>
      <c r="D29" s="139" t="str">
        <f t="shared" si="49"/>
        <v>IMP</v>
      </c>
      <c r="E29" s="139">
        <f t="shared" si="45"/>
        <v>22</v>
      </c>
      <c r="F29" s="139">
        <f t="shared" si="45"/>
        <v>49</v>
      </c>
      <c r="G29" s="342">
        <f t="shared" si="18"/>
        <v>0</v>
      </c>
      <c r="H29" s="342">
        <f t="shared" si="39"/>
        <v>4</v>
      </c>
      <c r="I29" s="342">
        <f t="shared" si="40"/>
        <v>14</v>
      </c>
      <c r="J29" s="342">
        <f t="shared" si="19"/>
        <v>3</v>
      </c>
      <c r="K29" s="342">
        <f t="shared" si="20"/>
        <v>2</v>
      </c>
      <c r="L29" s="342">
        <f t="shared" si="41"/>
        <v>10.857142857142858</v>
      </c>
      <c r="M29" s="342">
        <f t="shared" si="42"/>
        <v>0</v>
      </c>
      <c r="N29" s="120">
        <f t="shared" ref="N29:O29" si="50">AC12</f>
        <v>25920</v>
      </c>
      <c r="O29" s="120">
        <f t="shared" si="50"/>
        <v>31104</v>
      </c>
      <c r="Q29" s="340" t="s">
        <v>224</v>
      </c>
      <c r="R29" s="341" t="str">
        <f t="shared" si="15"/>
        <v>Inners</v>
      </c>
      <c r="S29" s="139" t="str">
        <f t="shared" si="22"/>
        <v>IMP</v>
      </c>
      <c r="T29" s="139">
        <f t="shared" si="47"/>
        <v>23</v>
      </c>
      <c r="U29" s="139">
        <f t="shared" si="48"/>
        <v>49</v>
      </c>
      <c r="V29" s="342">
        <f t="shared" si="23"/>
        <v>0</v>
      </c>
      <c r="W29" s="342">
        <f t="shared" si="24"/>
        <v>4</v>
      </c>
      <c r="X29" s="342">
        <f t="shared" si="25"/>
        <v>14</v>
      </c>
      <c r="Y29" s="342">
        <f t="shared" si="26"/>
        <v>3</v>
      </c>
      <c r="Z29" s="342">
        <f t="shared" si="27"/>
        <v>2</v>
      </c>
      <c r="AA29" s="342">
        <f t="shared" si="28"/>
        <v>10.857142857142858</v>
      </c>
      <c r="AB29" s="342">
        <v>12.5</v>
      </c>
      <c r="AC29" s="120">
        <f>(23500+2295+125)*1.035</f>
        <v>26827.199999999997</v>
      </c>
      <c r="AD29" s="51">
        <f t="shared" si="29"/>
        <v>32192.639999999996</v>
      </c>
    </row>
    <row r="30" spans="1:33" x14ac:dyDescent="0.25">
      <c r="A30" s="340" t="str">
        <f t="shared" ref="A30:D30" si="51">A13</f>
        <v>#10</v>
      </c>
      <c r="B30" s="341" t="str">
        <f t="shared" si="51"/>
        <v>Inners</v>
      </c>
      <c r="C30" s="139" t="str">
        <f t="shared" si="51"/>
        <v>M. Bondarewski</v>
      </c>
      <c r="D30" s="139" t="str">
        <f t="shared" si="51"/>
        <v>RAP</v>
      </c>
      <c r="E30" s="139">
        <f t="shared" si="45"/>
        <v>22</v>
      </c>
      <c r="F30" s="139">
        <f t="shared" si="45"/>
        <v>49</v>
      </c>
      <c r="G30" s="342">
        <f t="shared" si="18"/>
        <v>0</v>
      </c>
      <c r="H30" s="342">
        <f t="shared" si="39"/>
        <v>2</v>
      </c>
      <c r="I30" s="342">
        <f t="shared" si="40"/>
        <v>14</v>
      </c>
      <c r="J30" s="342">
        <f t="shared" si="19"/>
        <v>5</v>
      </c>
      <c r="K30" s="342">
        <f t="shared" si="20"/>
        <v>4</v>
      </c>
      <c r="L30" s="342">
        <f t="shared" si="41"/>
        <v>10.857142857142858</v>
      </c>
      <c r="M30" s="342">
        <f t="shared" si="42"/>
        <v>6</v>
      </c>
      <c r="N30" s="120">
        <f t="shared" ref="N30:O30" si="52">AC13</f>
        <v>26565.9</v>
      </c>
      <c r="O30" s="120">
        <f t="shared" si="52"/>
        <v>31879.08</v>
      </c>
      <c r="Q30" s="340" t="s">
        <v>176</v>
      </c>
      <c r="R30" s="341" t="str">
        <f t="shared" si="15"/>
        <v>Inners</v>
      </c>
      <c r="S30" s="139" t="str">
        <f t="shared" si="22"/>
        <v>RAP</v>
      </c>
      <c r="T30" s="139">
        <f t="shared" si="47"/>
        <v>23</v>
      </c>
      <c r="U30" s="139">
        <f t="shared" si="48"/>
        <v>49</v>
      </c>
      <c r="V30" s="342">
        <f t="shared" si="23"/>
        <v>0</v>
      </c>
      <c r="W30" s="342">
        <f t="shared" si="24"/>
        <v>2</v>
      </c>
      <c r="X30" s="342">
        <f t="shared" si="25"/>
        <v>14</v>
      </c>
      <c r="Y30" s="342">
        <f t="shared" si="26"/>
        <v>5</v>
      </c>
      <c r="Z30" s="342">
        <f t="shared" si="27"/>
        <v>4</v>
      </c>
      <c r="AA30" s="342">
        <f t="shared" si="28"/>
        <v>10.857142857142858</v>
      </c>
      <c r="AB30" s="342">
        <v>15</v>
      </c>
      <c r="AC30" s="120">
        <f>(23500+2295+125+125)*1.043</f>
        <v>27164.934999999998</v>
      </c>
      <c r="AD30" s="51">
        <f t="shared" si="29"/>
        <v>32597.921999999995</v>
      </c>
    </row>
    <row r="31" spans="1:33" x14ac:dyDescent="0.25">
      <c r="A31" s="340" t="str">
        <f t="shared" ref="A31:D31" si="53">A14</f>
        <v>#11</v>
      </c>
      <c r="B31" s="341" t="str">
        <f t="shared" si="53"/>
        <v>Inners</v>
      </c>
      <c r="C31" s="139" t="str">
        <f t="shared" si="53"/>
        <v>J. Vartiainen</v>
      </c>
      <c r="D31" s="139" t="str">
        <f t="shared" si="53"/>
        <v>CAB</v>
      </c>
      <c r="E31" s="139">
        <f t="shared" si="45"/>
        <v>22</v>
      </c>
      <c r="F31" s="139">
        <f t="shared" si="45"/>
        <v>105</v>
      </c>
      <c r="G31" s="342">
        <f t="shared" si="18"/>
        <v>0</v>
      </c>
      <c r="H31" s="342">
        <f t="shared" si="39"/>
        <v>7</v>
      </c>
      <c r="I31" s="342">
        <f t="shared" si="40"/>
        <v>13.444444444444445</v>
      </c>
      <c r="J31" s="342">
        <f t="shared" si="19"/>
        <v>1</v>
      </c>
      <c r="K31" s="342">
        <f t="shared" si="20"/>
        <v>1</v>
      </c>
      <c r="L31" s="342">
        <f t="shared" si="41"/>
        <v>9.5</v>
      </c>
      <c r="M31" s="342">
        <f t="shared" si="42"/>
        <v>1</v>
      </c>
      <c r="N31" s="120">
        <f t="shared" ref="N31:O31" si="54">AC14</f>
        <v>21329.98</v>
      </c>
      <c r="O31" s="120">
        <f t="shared" si="54"/>
        <v>25595.975999999999</v>
      </c>
      <c r="Q31" s="340" t="s">
        <v>177</v>
      </c>
      <c r="R31" s="341" t="str">
        <f t="shared" si="15"/>
        <v>Inners</v>
      </c>
      <c r="S31" s="139" t="str">
        <f t="shared" si="22"/>
        <v>CAB</v>
      </c>
      <c r="T31" s="139">
        <f t="shared" si="47"/>
        <v>23</v>
      </c>
      <c r="U31" s="139">
        <f t="shared" si="48"/>
        <v>105</v>
      </c>
      <c r="V31" s="342">
        <f t="shared" si="23"/>
        <v>0</v>
      </c>
      <c r="W31" s="342">
        <f t="shared" si="24"/>
        <v>7</v>
      </c>
      <c r="X31" s="342">
        <f t="shared" si="25"/>
        <v>13.444444444444445</v>
      </c>
      <c r="Y31" s="342">
        <f t="shared" si="26"/>
        <v>1</v>
      </c>
      <c r="Z31" s="342">
        <f t="shared" si="27"/>
        <v>1</v>
      </c>
      <c r="AA31" s="342">
        <f t="shared" si="28"/>
        <v>9.5</v>
      </c>
      <c r="AB31" s="342">
        <v>13</v>
      </c>
      <c r="AC31" s="120">
        <f>(20000+1020+225)*1.037</f>
        <v>22031.064999999999</v>
      </c>
      <c r="AD31" s="51">
        <f t="shared" si="29"/>
        <v>26437.277999999998</v>
      </c>
    </row>
    <row r="32" spans="1:33" x14ac:dyDescent="0.25">
      <c r="A32" s="340" t="str">
        <f t="shared" ref="A32:D32" si="55">A15</f>
        <v>#12</v>
      </c>
      <c r="B32" s="341" t="str">
        <f t="shared" si="55"/>
        <v>Inners</v>
      </c>
      <c r="C32" s="139" t="str">
        <f t="shared" si="55"/>
        <v>R. Forsyth</v>
      </c>
      <c r="D32" s="139" t="str">
        <f t="shared" si="55"/>
        <v>POT</v>
      </c>
      <c r="E32" s="139">
        <f t="shared" si="45"/>
        <v>22</v>
      </c>
      <c r="F32" s="139">
        <f t="shared" si="45"/>
        <v>100</v>
      </c>
      <c r="G32" s="342">
        <f t="shared" si="18"/>
        <v>0</v>
      </c>
      <c r="H32" s="342">
        <f t="shared" si="39"/>
        <v>7</v>
      </c>
      <c r="I32" s="342">
        <f t="shared" si="40"/>
        <v>13.444444444444445</v>
      </c>
      <c r="J32" s="342">
        <f t="shared" si="19"/>
        <v>2</v>
      </c>
      <c r="K32" s="342">
        <f t="shared" si="20"/>
        <v>4</v>
      </c>
      <c r="L32" s="342">
        <f t="shared" si="41"/>
        <v>9.5</v>
      </c>
      <c r="M32" s="342">
        <f t="shared" si="42"/>
        <v>2</v>
      </c>
      <c r="N32" s="120">
        <f t="shared" ref="N32:O32" si="56">AC15</f>
        <v>21540.959999999999</v>
      </c>
      <c r="O32" s="120">
        <f t="shared" si="56"/>
        <v>21540.959999999999</v>
      </c>
      <c r="Q32" s="340" t="s">
        <v>171</v>
      </c>
      <c r="R32" s="341" t="str">
        <f t="shared" si="15"/>
        <v>Inners</v>
      </c>
      <c r="S32" s="139" t="str">
        <f t="shared" si="22"/>
        <v>POT</v>
      </c>
      <c r="T32" s="139">
        <f t="shared" si="47"/>
        <v>23</v>
      </c>
      <c r="U32" s="139">
        <f t="shared" si="48"/>
        <v>100</v>
      </c>
      <c r="V32" s="342">
        <f t="shared" si="23"/>
        <v>0</v>
      </c>
      <c r="W32" s="342">
        <f t="shared" si="24"/>
        <v>7</v>
      </c>
      <c r="X32" s="342">
        <f t="shared" si="25"/>
        <v>13.444444444444445</v>
      </c>
      <c r="Y32" s="342">
        <f t="shared" si="26"/>
        <v>2</v>
      </c>
      <c r="Z32" s="342">
        <f t="shared" si="27"/>
        <v>4</v>
      </c>
      <c r="AA32" s="342">
        <f t="shared" si="28"/>
        <v>9.5</v>
      </c>
      <c r="AB32" s="342">
        <v>13.5</v>
      </c>
      <c r="AC32" s="120">
        <f>(20000+1020+225+125)*1.038</f>
        <v>22182.06</v>
      </c>
      <c r="AD32" s="51">
        <f t="shared" si="29"/>
        <v>26618.472000000002</v>
      </c>
    </row>
    <row r="33" spans="1:30" x14ac:dyDescent="0.25">
      <c r="A33" s="340" t="str">
        <f t="shared" ref="A33:D33" si="57">A16</f>
        <v>#13</v>
      </c>
      <c r="B33" s="341" t="str">
        <f t="shared" si="57"/>
        <v>DD</v>
      </c>
      <c r="C33" s="139" t="s">
        <v>452</v>
      </c>
      <c r="D33" s="139" t="str">
        <f t="shared" si="57"/>
        <v>RAP/IMP/CAB</v>
      </c>
      <c r="E33" s="139">
        <v>22</v>
      </c>
      <c r="F33" s="139">
        <v>50</v>
      </c>
      <c r="G33" s="342">
        <f t="shared" si="18"/>
        <v>0</v>
      </c>
      <c r="H33" s="342">
        <f t="shared" si="39"/>
        <v>2</v>
      </c>
      <c r="I33" s="342">
        <v>14</v>
      </c>
      <c r="J33" s="342">
        <f t="shared" si="19"/>
        <v>2</v>
      </c>
      <c r="K33" s="342">
        <f t="shared" si="20"/>
        <v>2</v>
      </c>
      <c r="L33" s="342">
        <v>11</v>
      </c>
      <c r="M33" s="342">
        <v>10</v>
      </c>
      <c r="N33" s="120">
        <f>(22400+2295)*1.03</f>
        <v>25435.850000000002</v>
      </c>
      <c r="O33" s="120">
        <f t="shared" ref="O33:O34" si="58">N33*1.2</f>
        <v>30523.02</v>
      </c>
      <c r="Q33" s="340" t="s">
        <v>216</v>
      </c>
      <c r="R33" s="341" t="str">
        <f t="shared" si="15"/>
        <v>DD</v>
      </c>
      <c r="S33" s="139" t="str">
        <f t="shared" si="22"/>
        <v>RAP/IMP/CAB</v>
      </c>
      <c r="T33" s="139"/>
      <c r="U33" s="139"/>
      <c r="V33" s="342">
        <f t="shared" si="23"/>
        <v>0</v>
      </c>
      <c r="W33" s="342">
        <f t="shared" si="24"/>
        <v>2</v>
      </c>
      <c r="X33" s="342">
        <f t="shared" si="25"/>
        <v>14</v>
      </c>
      <c r="Y33" s="342">
        <f t="shared" si="26"/>
        <v>2</v>
      </c>
      <c r="Z33" s="342">
        <f t="shared" si="27"/>
        <v>2</v>
      </c>
      <c r="AA33" s="342">
        <f t="shared" si="28"/>
        <v>11</v>
      </c>
      <c r="AB33" s="342">
        <v>18</v>
      </c>
      <c r="AC33" s="120">
        <f>(22400+2295)*1.048</f>
        <v>25880.36</v>
      </c>
      <c r="AD33" s="51">
        <f t="shared" si="29"/>
        <v>31056.432000000001</v>
      </c>
    </row>
    <row r="34" spans="1:30" x14ac:dyDescent="0.25">
      <c r="A34" s="340" t="str">
        <f t="shared" ref="A34:D34" si="59">A17</f>
        <v>#14</v>
      </c>
      <c r="B34" s="341" t="str">
        <f t="shared" si="59"/>
        <v>DD</v>
      </c>
      <c r="C34" s="139" t="s">
        <v>452</v>
      </c>
      <c r="D34" s="139" t="str">
        <f t="shared" si="59"/>
        <v>RAP/IMP/CAB</v>
      </c>
      <c r="E34" s="139">
        <v>22</v>
      </c>
      <c r="F34" s="139">
        <v>50</v>
      </c>
      <c r="G34" s="342">
        <f t="shared" ref="G34" si="60">V17</f>
        <v>0</v>
      </c>
      <c r="H34" s="342">
        <f t="shared" ref="H34" si="61">W17</f>
        <v>2</v>
      </c>
      <c r="I34" s="342">
        <v>14</v>
      </c>
      <c r="J34" s="342">
        <f t="shared" ref="J34" si="62">Y17</f>
        <v>2</v>
      </c>
      <c r="K34" s="342">
        <f t="shared" ref="K34" si="63">Z17</f>
        <v>2</v>
      </c>
      <c r="L34" s="342">
        <v>11</v>
      </c>
      <c r="M34" s="342">
        <v>10</v>
      </c>
      <c r="N34" s="120">
        <f>(22400+2295)*1.03</f>
        <v>25435.850000000002</v>
      </c>
      <c r="O34" s="120">
        <f t="shared" si="58"/>
        <v>30523.02</v>
      </c>
      <c r="Q34" s="340" t="s">
        <v>223</v>
      </c>
      <c r="R34" s="341" t="str">
        <f t="shared" si="15"/>
        <v>DD</v>
      </c>
      <c r="S34" s="139" t="str">
        <f t="shared" si="22"/>
        <v>RAP/IMP/CAB</v>
      </c>
      <c r="T34" s="139"/>
      <c r="U34" s="139"/>
      <c r="V34" s="342">
        <f t="shared" si="23"/>
        <v>0</v>
      </c>
      <c r="W34" s="342">
        <f t="shared" si="24"/>
        <v>2</v>
      </c>
      <c r="X34" s="342">
        <f t="shared" si="25"/>
        <v>14</v>
      </c>
      <c r="Y34" s="342">
        <f t="shared" si="26"/>
        <v>2</v>
      </c>
      <c r="Z34" s="342">
        <f t="shared" si="27"/>
        <v>2</v>
      </c>
      <c r="AA34" s="342">
        <f t="shared" si="28"/>
        <v>11</v>
      </c>
      <c r="AB34" s="342">
        <v>18</v>
      </c>
      <c r="AC34" s="120">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K34" sqref="K34"/>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91"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46" t="s">
        <v>456</v>
      </c>
      <c r="B1" s="646"/>
      <c r="C1" s="646"/>
      <c r="D1" s="646"/>
      <c r="E1" s="646"/>
      <c r="X1" t="s">
        <v>311</v>
      </c>
      <c r="AA1" t="s">
        <v>312</v>
      </c>
      <c r="AE1" t="s">
        <v>313</v>
      </c>
      <c r="AI1" t="s">
        <v>314</v>
      </c>
      <c r="AM1" t="s">
        <v>315</v>
      </c>
      <c r="AQ1" t="s">
        <v>310</v>
      </c>
      <c r="AX1" t="s">
        <v>316</v>
      </c>
      <c r="BE1" t="s">
        <v>221</v>
      </c>
      <c r="BJ1" t="s">
        <v>317</v>
      </c>
      <c r="BO1" t="s">
        <v>296</v>
      </c>
      <c r="BT1" t="s">
        <v>363</v>
      </c>
      <c r="BY1" t="s">
        <v>293</v>
      </c>
      <c r="CD1" t="s">
        <v>277</v>
      </c>
      <c r="CH1" t="s">
        <v>64</v>
      </c>
    </row>
    <row r="2" spans="1:89" x14ac:dyDescent="0.25">
      <c r="A2" s="192" t="s">
        <v>71</v>
      </c>
      <c r="B2" s="192" t="s">
        <v>318</v>
      </c>
      <c r="C2" s="192" t="s">
        <v>61</v>
      </c>
      <c r="D2" s="193" t="s">
        <v>319</v>
      </c>
      <c r="E2" s="192" t="s">
        <v>320</v>
      </c>
      <c r="F2" s="194" t="s">
        <v>321</v>
      </c>
      <c r="G2" s="194" t="s">
        <v>322</v>
      </c>
      <c r="H2" s="194" t="s">
        <v>323</v>
      </c>
      <c r="I2" s="195" t="s">
        <v>324</v>
      </c>
      <c r="J2" s="196" t="s">
        <v>325</v>
      </c>
      <c r="K2" s="196" t="s">
        <v>1</v>
      </c>
      <c r="L2" s="196" t="s">
        <v>2</v>
      </c>
      <c r="M2" s="196" t="s">
        <v>326</v>
      </c>
      <c r="N2" s="196" t="s">
        <v>63</v>
      </c>
      <c r="O2" s="196" t="s">
        <v>262</v>
      </c>
      <c r="P2" s="196" t="s">
        <v>327</v>
      </c>
      <c r="Q2" s="196" t="s">
        <v>0</v>
      </c>
      <c r="R2" s="197" t="s">
        <v>257</v>
      </c>
      <c r="S2" s="197" t="s">
        <v>376</v>
      </c>
      <c r="T2" s="197" t="s">
        <v>328</v>
      </c>
      <c r="U2" s="197" t="s">
        <v>329</v>
      </c>
      <c r="V2" s="197" t="s">
        <v>265</v>
      </c>
      <c r="W2" s="197" t="s">
        <v>266</v>
      </c>
      <c r="X2" s="198" t="s">
        <v>330</v>
      </c>
      <c r="Y2" s="198" t="s">
        <v>331</v>
      </c>
      <c r="Z2" s="198" t="s">
        <v>330</v>
      </c>
      <c r="AA2" s="199" t="s">
        <v>330</v>
      </c>
      <c r="AB2" s="199" t="s">
        <v>331</v>
      </c>
      <c r="AC2" s="199" t="s">
        <v>330</v>
      </c>
      <c r="AD2" s="199" t="s">
        <v>62</v>
      </c>
      <c r="AE2" s="199" t="s">
        <v>330</v>
      </c>
      <c r="AF2" s="199" t="s">
        <v>331</v>
      </c>
      <c r="AG2" s="199" t="s">
        <v>330</v>
      </c>
      <c r="AH2" s="199" t="s">
        <v>62</v>
      </c>
      <c r="AI2" s="198" t="s">
        <v>330</v>
      </c>
      <c r="AJ2" s="198" t="s">
        <v>331</v>
      </c>
      <c r="AK2" s="198" t="s">
        <v>62</v>
      </c>
      <c r="AL2" s="198" t="s">
        <v>332</v>
      </c>
      <c r="AM2" s="198" t="s">
        <v>330</v>
      </c>
      <c r="AN2" s="198" t="s">
        <v>331</v>
      </c>
      <c r="AO2" s="198" t="s">
        <v>62</v>
      </c>
      <c r="AP2" s="198" t="s">
        <v>332</v>
      </c>
      <c r="AQ2" s="198" t="s">
        <v>330</v>
      </c>
      <c r="AR2" s="198" t="s">
        <v>331</v>
      </c>
      <c r="AS2" s="198" t="s">
        <v>330</v>
      </c>
      <c r="AT2" s="198" t="s">
        <v>62</v>
      </c>
      <c r="AU2" s="198" t="s">
        <v>332</v>
      </c>
      <c r="AV2" s="198" t="s">
        <v>333</v>
      </c>
      <c r="AW2" s="198" t="s">
        <v>332</v>
      </c>
      <c r="AX2" s="198" t="s">
        <v>330</v>
      </c>
      <c r="AY2" s="198" t="s">
        <v>331</v>
      </c>
      <c r="AZ2" s="198" t="s">
        <v>330</v>
      </c>
      <c r="BA2" s="198" t="s">
        <v>62</v>
      </c>
      <c r="BB2" s="198" t="s">
        <v>332</v>
      </c>
      <c r="BC2" s="198" t="s">
        <v>333</v>
      </c>
      <c r="BD2" s="198" t="s">
        <v>332</v>
      </c>
      <c r="BE2" s="199" t="s">
        <v>330</v>
      </c>
      <c r="BF2" s="199" t="s">
        <v>331</v>
      </c>
      <c r="BG2" s="199" t="s">
        <v>62</v>
      </c>
      <c r="BH2" s="199" t="s">
        <v>332</v>
      </c>
      <c r="BI2" s="199" t="s">
        <v>333</v>
      </c>
      <c r="BJ2" s="199" t="s">
        <v>330</v>
      </c>
      <c r="BK2" s="199" t="s">
        <v>331</v>
      </c>
      <c r="BL2" s="199" t="s">
        <v>62</v>
      </c>
      <c r="BM2" s="199" t="s">
        <v>332</v>
      </c>
      <c r="BN2" s="199" t="s">
        <v>333</v>
      </c>
      <c r="BO2" s="198" t="s">
        <v>330</v>
      </c>
      <c r="BP2" s="198" t="s">
        <v>331</v>
      </c>
      <c r="BQ2" s="198" t="s">
        <v>62</v>
      </c>
      <c r="BR2" s="198" t="s">
        <v>332</v>
      </c>
      <c r="BS2" s="198" t="s">
        <v>333</v>
      </c>
      <c r="BT2" s="198" t="s">
        <v>330</v>
      </c>
      <c r="BU2" s="198" t="s">
        <v>331</v>
      </c>
      <c r="BV2" s="198" t="s">
        <v>62</v>
      </c>
      <c r="BW2" s="198" t="s">
        <v>332</v>
      </c>
      <c r="BX2" s="198" t="s">
        <v>333</v>
      </c>
      <c r="BY2" s="198" t="s">
        <v>330</v>
      </c>
      <c r="BZ2" s="198" t="s">
        <v>331</v>
      </c>
      <c r="CA2" s="198" t="s">
        <v>62</v>
      </c>
      <c r="CB2" s="198" t="s">
        <v>332</v>
      </c>
      <c r="CC2" s="198" t="s">
        <v>333</v>
      </c>
      <c r="CD2" s="199" t="s">
        <v>62</v>
      </c>
      <c r="CE2" s="199" t="s">
        <v>332</v>
      </c>
      <c r="CF2" s="199" t="s">
        <v>333</v>
      </c>
      <c r="CG2" s="199" t="s">
        <v>332</v>
      </c>
      <c r="CH2" s="198" t="s">
        <v>332</v>
      </c>
      <c r="CI2" s="198" t="s">
        <v>333</v>
      </c>
      <c r="CJ2" s="198" t="s">
        <v>332</v>
      </c>
      <c r="CK2" s="198" t="s">
        <v>62</v>
      </c>
    </row>
    <row r="3" spans="1:89" x14ac:dyDescent="0.25">
      <c r="A3" t="str">
        <f>Plantilla!D4</f>
        <v>D. Gehmacher</v>
      </c>
      <c r="B3" s="191">
        <f>Plantilla!E4</f>
        <v>35</v>
      </c>
      <c r="C3" s="120">
        <f ca="1">Plantilla!F4</f>
        <v>6</v>
      </c>
      <c r="D3" s="191">
        <f>Plantilla!G4</f>
        <v>0</v>
      </c>
      <c r="E3" s="273">
        <f>Plantilla!O4</f>
        <v>42468</v>
      </c>
      <c r="F3" s="120">
        <f>Plantilla!Q4</f>
        <v>5</v>
      </c>
      <c r="G3" s="147">
        <f>(F3/7)^0.5</f>
        <v>0.84515425472851657</v>
      </c>
      <c r="H3" s="147">
        <f>IF(F3=7,1,((F3+0.99)/7)^0.5)</f>
        <v>0.92504826128926143</v>
      </c>
      <c r="I3" s="200">
        <f ca="1">Plantilla!P4</f>
        <v>1</v>
      </c>
      <c r="J3" s="201">
        <f>Plantilla!I4</f>
        <v>23.7</v>
      </c>
      <c r="K3" s="49">
        <f>Plantilla!X4</f>
        <v>16.666666666666668</v>
      </c>
      <c r="L3" s="49">
        <f>Plantilla!Y4</f>
        <v>11.95</v>
      </c>
      <c r="M3" s="49">
        <f>Plantilla!Z4</f>
        <v>2.0699999999999985</v>
      </c>
      <c r="N3" s="49">
        <f>Plantilla!AA4</f>
        <v>2.149999999999999</v>
      </c>
      <c r="O3" s="49">
        <f>Plantilla!AB4</f>
        <v>0.95</v>
      </c>
      <c r="P3" s="49">
        <f>Plantilla!AC4</f>
        <v>0</v>
      </c>
      <c r="Q3" s="49">
        <f>Plantilla!AD4</f>
        <v>18.2</v>
      </c>
      <c r="R3" s="201">
        <f>((2*(O3+1))+(L3+1))/8</f>
        <v>2.1062499999999997</v>
      </c>
      <c r="S3" s="201">
        <f ca="1">1.66*(P3+(LOG(J3)*4/3)+I3)+0.55*(Q3+(LOG(J3)*4/3)+I3)-7.6</f>
        <v>8.6709251262431071</v>
      </c>
      <c r="T3" s="49">
        <f>(0.5*P3+ 0.3*Q3)/10</f>
        <v>0.54600000000000004</v>
      </c>
      <c r="U3" s="49">
        <f>(0.4*L3+0.3*Q3)/10</f>
        <v>1.024</v>
      </c>
      <c r="V3" s="201">
        <f ca="1">IF(TODAY()-E3&gt;335,(Q3+1+(LOG(J3)*4/3))*(F3/7)^0.5,(Q3+((TODAY()-E3)^0.5)/(336^0.5)+(LOG(J3)*4/3))*(F3/7)^0.5)</f>
        <v>17.776127575869424</v>
      </c>
      <c r="W3" s="201">
        <f ca="1">IF(F3=7,V3,IF(TODAY()-E3&gt;335,(Q3+1+(LOG(J3)*4/3))*((F3+0.99)/7)^0.5,(Q3+((TODAY()-E3)^0.5)/(336^0.5)+(LOG(J3)*4/3))*((F3+0.99)/7)^0.5))</f>
        <v>19.456538039669731</v>
      </c>
      <c r="X3" s="83">
        <f ca="1">((K3+I3+(LOG(J3)*4/3))*0.597)+((L3+I3+(LOG(J3)*4/3))*0.276)</f>
        <v>15.721407074755762</v>
      </c>
      <c r="Y3" s="83">
        <f ca="1">((K3+I3+(LOG(J3)*4/3))*0.866)+((L3+I3+(LOG(J3)*4/3))*0.425)</f>
        <v>23.169483486265392</v>
      </c>
      <c r="Z3" s="83">
        <f ca="1">X3</f>
        <v>15.721407074755762</v>
      </c>
      <c r="AA3" s="83">
        <f ca="1">((L3+I3+(LOG(J3)*4/3))*0.516)</f>
        <v>7.6280268620549521</v>
      </c>
      <c r="AB3" s="83">
        <f ca="1">(L3+I3+(LOG(J3)*4/3))*1</f>
        <v>14.782997794680139</v>
      </c>
      <c r="AC3" s="83">
        <f ca="1">AA3/2</f>
        <v>3.814013431027476</v>
      </c>
      <c r="AD3" s="83">
        <f ca="1">(M3+I3+(LOG(J3)*4/3))*0.238</f>
        <v>1.1669134751338726</v>
      </c>
      <c r="AE3" s="83">
        <f ca="1">((L3+I3+(LOG(J3)*4/3))*0.378)</f>
        <v>5.5879731663890926</v>
      </c>
      <c r="AF3" s="83">
        <f ca="1">(L3+I3+(LOG(J3)*4/3))*0.723</f>
        <v>10.68810740555374</v>
      </c>
      <c r="AG3" s="83">
        <f ca="1">AE3/2</f>
        <v>2.7939865831945463</v>
      </c>
      <c r="AH3" s="83">
        <f ca="1">(M3+I3+(LOG(J3)*4/3))*0.385</f>
        <v>1.8876541509518527</v>
      </c>
      <c r="AI3" s="83">
        <f ca="1">((L3+I3+(LOG(J3)*4/3))*0.92)</f>
        <v>13.600357971105728</v>
      </c>
      <c r="AJ3" s="83">
        <f ca="1">(L3+I3+(LOG(J3)*4/3))*0.414</f>
        <v>6.1201610869975767</v>
      </c>
      <c r="AK3" s="83">
        <f ca="1">((M3+I3+(LOG(J3)*4/3))*0.167)</f>
        <v>0.8188006317115829</v>
      </c>
      <c r="AL3" s="83">
        <f ca="1">(N3+I3+(LOG(J3)*4/3))*0.588</f>
        <v>2.9300027032719207</v>
      </c>
      <c r="AM3" s="83">
        <f ca="1">((L3+I3+(LOG(J3)*4/3))*0.754)</f>
        <v>11.146380337188825</v>
      </c>
      <c r="AN3" s="83">
        <f ca="1">((L3+I3+(LOG(J3)*4/3))*0.708)</f>
        <v>10.466362438633537</v>
      </c>
      <c r="AO3" s="83">
        <f ca="1">((Q3+I3+(LOG(J3)*4/3))*0.167)</f>
        <v>3.5125106317115833</v>
      </c>
      <c r="AP3" s="83">
        <f ca="1">((R3+I3+(LOG(J3)*4/3))*0.288)</f>
        <v>1.4225033648678798</v>
      </c>
      <c r="AQ3" s="83">
        <f ca="1">((L3+I3+(LOG(J3)*4/3))*0.27)</f>
        <v>3.9914094045636377</v>
      </c>
      <c r="AR3" s="83">
        <f ca="1">((L3+I3+(LOG(J3)*4/3))*0.594)</f>
        <v>8.7811006900400024</v>
      </c>
      <c r="AS3" s="83">
        <f ca="1">AQ3/2</f>
        <v>1.9957047022818188</v>
      </c>
      <c r="AT3" s="83">
        <f ca="1">((M3+I3+(LOG(J3)*4/3))*0.944)</f>
        <v>4.6284299181780488</v>
      </c>
      <c r="AU3" s="83">
        <f ca="1">((O3+I3+(LOG(J3)*4/3))*0.13)</f>
        <v>0.49178971330841803</v>
      </c>
      <c r="AV3" s="83">
        <f ca="1">((P3+I3+(LOG(J3)*4/3))*0.173)+((O3+I3+(LOG(J3)*4/3))*0.12)</f>
        <v>0.94406835384128052</v>
      </c>
      <c r="AW3" s="83">
        <f ca="1">AU3/2</f>
        <v>0.24589485665420902</v>
      </c>
      <c r="AX3" s="83">
        <f ca="1">((L3+I3+(LOG(J3)*4/3))*0.189)</f>
        <v>2.7939865831945463</v>
      </c>
      <c r="AY3" s="83">
        <f ca="1">((L3+I3+(LOG(J3)*4/3))*0.4)</f>
        <v>5.9131991178720558</v>
      </c>
      <c r="AZ3" s="83">
        <f ca="1">AX3/2</f>
        <v>1.3969932915972731</v>
      </c>
      <c r="BA3" s="83">
        <f ca="1">((M3+I3+(LOG(J3)*4/3))*1)</f>
        <v>4.9029977946801369</v>
      </c>
      <c r="BB3" s="83">
        <f ca="1">((O3+I3+(LOG(J3)*4/3))*0.253)</f>
        <v>0.95709844205407502</v>
      </c>
      <c r="BC3" s="83">
        <f ca="1">((P3+I3+(LOG(J3)*4/3))*0.21)+((O3+I3+(LOG(J3)*4/3))*0.341)</f>
        <v>1.8849317848687566</v>
      </c>
      <c r="BD3" s="83">
        <f ca="1">BB3/2</f>
        <v>0.47854922102703751</v>
      </c>
      <c r="BE3" s="83">
        <f ca="1">((L3+I3+(LOG(J3)*4/3))*0.291)</f>
        <v>4.3018523582519199</v>
      </c>
      <c r="BF3" s="83">
        <f ca="1">((L3+I3+(LOG(J3)*4/3))*0.348)</f>
        <v>5.144483232548688</v>
      </c>
      <c r="BG3" s="83">
        <f ca="1">((M3+I3+(LOG(J3)*4/3))*0.881)</f>
        <v>4.3195410571132005</v>
      </c>
      <c r="BH3" s="83">
        <f ca="1">((N3+I3+(LOG(J3)*4/3))*0.574)+((O3+I3+(LOG(J3)*4/3))*0.315)</f>
        <v>4.0518850394706423</v>
      </c>
      <c r="BI3" s="83">
        <f ca="1">((O3+I3+(LOG(J3)*4/3))*0.241)</f>
        <v>0.91170246851791337</v>
      </c>
      <c r="BJ3" s="83">
        <f ca="1">((L3+I3+(LOG(J3)*4/3))*0.485)</f>
        <v>7.1697539304198674</v>
      </c>
      <c r="BK3" s="83">
        <f ca="1">((L3+I3+(LOG(J3)*4/3))*0.264)</f>
        <v>3.9027114177955569</v>
      </c>
      <c r="BL3" s="83">
        <f ca="1">((M3+I3+(LOG(J3)*4/3))*0.381)</f>
        <v>1.8680421597731323</v>
      </c>
      <c r="BM3" s="83">
        <f ca="1">((N3+I3+(LOG(J3)*4/3))*0.673)+((O3+I3+(LOG(J3)*4/3))*0.201)</f>
        <v>4.1139400725504407</v>
      </c>
      <c r="BN3" s="83">
        <f ca="1">((O3+I3+(LOG(J3)*4/3))*0.052)</f>
        <v>0.1967158853233672</v>
      </c>
      <c r="BO3" s="83">
        <f ca="1">((L3+I3+(LOG(J3)*4/3))*0.18)</f>
        <v>2.6609396030424248</v>
      </c>
      <c r="BP3" s="83">
        <f ca="1">(L3+I3+(LOG(J3)*4/3))*0.068</f>
        <v>1.0052438500382495</v>
      </c>
      <c r="BQ3" s="83">
        <f ca="1">((M3+I3+(LOG(J3)*4/3))*0.305)</f>
        <v>1.4954143273774416</v>
      </c>
      <c r="BR3" s="83">
        <f ca="1">((N3+I3+(LOG(J3)*4/3))*1)+((O3+I3+(LOG(J3)*4/3))*0.286)</f>
        <v>6.0649351639586575</v>
      </c>
      <c r="BS3" s="83">
        <f ca="1">((O3+I3+(LOG(J3)*4/3))*0.135)</f>
        <v>0.51070470228181875</v>
      </c>
      <c r="BT3" s="83">
        <f ca="1">((L3+I3+(LOG(J3)*4/3))*0.284)</f>
        <v>4.1983713736891586</v>
      </c>
      <c r="BU3" s="83">
        <f ca="1">(L3+I3+(LOG(J3)*4/3))*0.244</f>
        <v>3.6070514619019538</v>
      </c>
      <c r="BV3" s="83">
        <f ca="1">((M3+I3+(LOG(J3)*4/3))*0.455)</f>
        <v>2.2308639965794623</v>
      </c>
      <c r="BW3" s="83">
        <f ca="1">((N3+I3+(LOG(J3)*4/3))*0.864)+((O3+I3+(LOG(J3)*4/3))*0.244)</f>
        <v>5.2283615565055932</v>
      </c>
      <c r="BX3" s="83">
        <f ca="1">((O3+I3+(LOG(J3)*4/3))*0.121)</f>
        <v>0.45774273315629677</v>
      </c>
      <c r="BY3" s="83">
        <f ca="1">((L3+I3+(LOG(J3)*4/3))*0.284)</f>
        <v>4.1983713736891586</v>
      </c>
      <c r="BZ3" s="83">
        <f ca="1">((L3+I3+(LOG(J3)*4/3))*0.244)</f>
        <v>3.6070514619019538</v>
      </c>
      <c r="CA3" s="83">
        <f ca="1">((M3+I3+(LOG(J3)*4/3))*0.631)</f>
        <v>3.0937916084431665</v>
      </c>
      <c r="CB3" s="83">
        <f ca="1">((N3+I3+(LOG(J3)*4/3))*0.702)+((O3+I3+(LOG(J3)*4/3))*0.193)</f>
        <v>4.2281830262387228</v>
      </c>
      <c r="CC3" s="83">
        <f ca="1">((O3+I3+(LOG(J3)*4/3))*0.148)</f>
        <v>0.55988367361266045</v>
      </c>
      <c r="CD3" s="83">
        <f ca="1">((M3+I3+(LOG(J3)*4/3))*0.406)</f>
        <v>1.9906171046401357</v>
      </c>
      <c r="CE3" s="83">
        <f ca="1">IF(D3="TEC",((N3+I3+(LOG(J3)*4/3))*0.15)+((O3+I3+(LOG(J3)*4/3))*0.324)+((P3+I3+(LOG(J3)*4/3))*0.127),(((N3+I3+(LOG(J3)*4/3))*0.144)+((O3+I3+(LOG(J3)*4/3))*0.25)+((P3+I3+(LOG(J3)*4/3))*0.127)))</f>
        <v>2.0230918510283522</v>
      </c>
      <c r="CF3" s="83">
        <f ca="1">((O3+I3+(LOG(J3)*4/3))*0.543)+((P3+I3+(LOG(J3)*4/3))*0.583)</f>
        <v>3.7058055168098356</v>
      </c>
      <c r="CG3" s="83">
        <f ca="1">CE3</f>
        <v>2.0230918510283522</v>
      </c>
      <c r="CH3" s="83">
        <f ca="1">((P3+1+(LOG(J3)*4/3))*0.26)+((N3+I3+(LOG(J3)*4/3))*0.221)+((O3+I3+(LOG(J3)*4/3))*0.142)</f>
        <v>2.375007626085726</v>
      </c>
      <c r="CI3" s="83">
        <f ca="1">((P3+I3+(LOG(J3)*4/3))*1)+((O3+I3+(LOG(J3)*4/3))*0.369)</f>
        <v>4.2289239809171093</v>
      </c>
      <c r="CJ3" s="83">
        <f ca="1">CH3</f>
        <v>2.375007626085726</v>
      </c>
      <c r="CK3" s="83">
        <f ca="1">((M3+I3+(LOG(J3)*4/3))*0.25)</f>
        <v>1.2257494486700342</v>
      </c>
    </row>
    <row r="4" spans="1:89" x14ac:dyDescent="0.25">
      <c r="A4" t="str">
        <f>Plantilla!D5</f>
        <v>T. Hammond</v>
      </c>
      <c r="B4" s="330">
        <f>Plantilla!E5</f>
        <v>39</v>
      </c>
      <c r="C4" s="120">
        <f ca="1">Plantilla!F5</f>
        <v>15</v>
      </c>
      <c r="D4" s="330" t="str">
        <f>Plantilla!G5</f>
        <v>CAB</v>
      </c>
      <c r="E4" s="273">
        <v>36526</v>
      </c>
      <c r="F4" s="120">
        <f>Plantilla!Q5</f>
        <v>4</v>
      </c>
      <c r="G4" s="147">
        <f t="shared" ref="G4:G26" si="0">(F4/7)^0.5</f>
        <v>0.7559289460184544</v>
      </c>
      <c r="H4" s="147">
        <f t="shared" ref="H4:H26" si="1">IF(F4=7,1,((F4+0.99)/7)^0.5)</f>
        <v>0.84430867747355465</v>
      </c>
      <c r="I4" s="200">
        <f>Plantilla!P5</f>
        <v>1.5</v>
      </c>
      <c r="J4" s="201">
        <f>Plantilla!I5</f>
        <v>8.4</v>
      </c>
      <c r="K4" s="49">
        <f>Plantilla!X5</f>
        <v>7.95</v>
      </c>
      <c r="L4" s="49">
        <f>Plantilla!Y5</f>
        <v>7.95</v>
      </c>
      <c r="M4" s="49">
        <f>Plantilla!Z5</f>
        <v>0.95</v>
      </c>
      <c r="N4" s="49">
        <f>Plantilla!AA5</f>
        <v>0.95</v>
      </c>
      <c r="O4" s="49">
        <f>Plantilla!AB5</f>
        <v>1.95</v>
      </c>
      <c r="P4" s="49">
        <f>Plantilla!AC5</f>
        <v>0</v>
      </c>
      <c r="Q4" s="49">
        <f>Plantilla!AD5</f>
        <v>14.95</v>
      </c>
      <c r="R4" s="201">
        <f t="shared" ref="R4:R26" si="2">((2*(O4+1))+(L4+1))/8</f>
        <v>1.85625</v>
      </c>
      <c r="S4" s="201">
        <f t="shared" ref="S4:S26" si="3">1.66*(P4+(LOG(J4)*4/3)+I4)+0.55*(Q4+(LOG(J4)*4/3)+I4)-7.6</f>
        <v>6.6610429629290131</v>
      </c>
      <c r="T4" s="49">
        <f t="shared" ref="T4:T26" si="4">(0.5*P4+ 0.3*Q4)/10</f>
        <v>0.44849999999999995</v>
      </c>
      <c r="U4" s="49">
        <f t="shared" ref="U4:U26" si="5">(0.4*L4+0.3*Q4)/10</f>
        <v>0.76649999999999996</v>
      </c>
      <c r="V4" s="201">
        <f t="shared" ref="V4:V26" ca="1" si="6">IF(TODAY()-E4&gt;335,(Q4+1+(LOG(J4)*4/3))*(F4/7)^0.5,(Q4+((TODAY()-E4)^0.5)/(336^0.5)+(LOG(J4)*4/3))*(F4/7)^0.5)</f>
        <v>12.988652644380277</v>
      </c>
      <c r="W4" s="201">
        <f t="shared" ref="W4:W26" ca="1" si="7">IF(F4=7,V4,IF(TODAY()-E4&gt;335,(Q4+1+(LOG(J4)*4/3))*((F4+0.99)/7)^0.5,(Q4+((TODAY()-E4)^0.5)/(336^0.5)+(LOG(J4)*4/3))*((F4+0.99)/7)^0.5))</f>
        <v>14.507226101211341</v>
      </c>
      <c r="X4" s="83">
        <f t="shared" ref="X4:X26" si="8">((K4+I4+(LOG(J4)*4/3))*0.597)+((L4+I4+(LOG(J4)*4/3))*0.276)</f>
        <v>9.3257110889760302</v>
      </c>
      <c r="Y4" s="83">
        <f t="shared" ref="Y4:Y26" si="9">((K4+I4+(LOG(J4)*4/3))*0.866)+((L4+I4+(LOG(J4)*4/3))*0.425)</f>
        <v>13.790942744407852</v>
      </c>
      <c r="Z4" s="83">
        <f t="shared" ref="Z4:Z26" si="10">X4</f>
        <v>9.3257110889760302</v>
      </c>
      <c r="AA4" s="83">
        <f t="shared" ref="AA4:AA26" si="11">((L4+I4+(LOG(J4)*4/3))*0.516)</f>
        <v>5.5121041488105744</v>
      </c>
      <c r="AB4" s="83">
        <f t="shared" ref="AB4:AB26" si="12">(L4+I4+(LOG(J4)*4/3))*1</f>
        <v>10.682372381415842</v>
      </c>
      <c r="AC4" s="83">
        <f t="shared" ref="AC4:AC26" si="13">AA4/2</f>
        <v>2.7560520744052872</v>
      </c>
      <c r="AD4" s="83">
        <f t="shared" ref="AD4:AD26" si="14">(M4+I4+(LOG(J4)*4/3))*0.238</f>
        <v>0.87640462677697051</v>
      </c>
      <c r="AE4" s="83">
        <f t="shared" ref="AE4:AE26" si="15">((L4+I4+(LOG(J4)*4/3))*0.378)</f>
        <v>4.0379367601751879</v>
      </c>
      <c r="AF4" s="83">
        <f t="shared" ref="AF4:AF26" si="16">(L4+I4+(LOG(J4)*4/3))*0.723</f>
        <v>7.7233552317636534</v>
      </c>
      <c r="AG4" s="83">
        <f t="shared" ref="AG4:AG26" si="17">AE4/2</f>
        <v>2.0189683800875939</v>
      </c>
      <c r="AH4" s="83">
        <f t="shared" ref="AH4:AH26" si="18">(M4+I4+(LOG(J4)*4/3))*0.385</f>
        <v>1.4177133668450994</v>
      </c>
      <c r="AI4" s="83">
        <f t="shared" ref="AI4:AI26" si="19">((L4+I4+(LOG(J4)*4/3))*0.92)</f>
        <v>9.8277825909025758</v>
      </c>
      <c r="AJ4" s="83">
        <f t="shared" ref="AJ4:AJ26" si="20">(L4+I4+(LOG(J4)*4/3))*0.414</f>
        <v>4.4225021659061587</v>
      </c>
      <c r="AK4" s="83">
        <f t="shared" ref="AK4:AK26" si="21">((M4+I4+(LOG(J4)*4/3))*0.167)</f>
        <v>0.61495618769644578</v>
      </c>
      <c r="AL4" s="83">
        <f t="shared" ref="AL4:AL26" si="22">(N4+I4+(LOG(J4)*4/3))*0.588</f>
        <v>2.1652349602725152</v>
      </c>
      <c r="AM4" s="83">
        <f t="shared" ref="AM4:AM26" si="23">((L4+I4+(LOG(J4)*4/3))*0.754)</f>
        <v>8.0545087755875446</v>
      </c>
      <c r="AN4" s="83">
        <f t="shared" ref="AN4:AN26" si="24">((L4+I4+(LOG(J4)*4/3))*0.708)</f>
        <v>7.5631196460424155</v>
      </c>
      <c r="AO4" s="83">
        <f t="shared" ref="AO4:AO26" si="25">((Q4+I4+(LOG(J4)*4/3))*0.167)</f>
        <v>2.9529561876964459</v>
      </c>
      <c r="AP4" s="83">
        <f t="shared" ref="AP4:AP26" si="26">((R4+I4+(LOG(J4)*4/3))*0.288)</f>
        <v>1.3215232458477624</v>
      </c>
      <c r="AQ4" s="83">
        <f t="shared" ref="AQ4:AQ26" si="27">((L4+I4+(LOG(J4)*4/3))*0.27)</f>
        <v>2.8842405429822775</v>
      </c>
      <c r="AR4" s="83">
        <f t="shared" ref="AR4:AR26" si="28">((L4+I4+(LOG(J4)*4/3))*0.594)</f>
        <v>6.3453291945610095</v>
      </c>
      <c r="AS4" s="83">
        <f t="shared" ref="AS4:AS26" si="29">AQ4/2</f>
        <v>1.4421202714911387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2.0189683800875939</v>
      </c>
      <c r="AY4" s="83">
        <f t="shared" ref="AY4:AY26" si="35">((L4+I4+(LOG(J4)*4/3))*0.4)</f>
        <v>4.2729489525663373</v>
      </c>
      <c r="AZ4" s="83">
        <f t="shared" ref="AZ4:AZ26" si="36">AX4/2</f>
        <v>1.009484190043797</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3.1085703629920096</v>
      </c>
      <c r="BF4" s="83">
        <f t="shared" ref="BF4:BF26" si="42">((L4+I4+(LOG(J4)*4/3))*0.348)</f>
        <v>3.7174655887327126</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5.1809506049866831</v>
      </c>
      <c r="BK4" s="83">
        <f t="shared" ref="BK4:BK26" si="47">((L4+I4+(LOG(J4)*4/3))*0.264)</f>
        <v>2.8201463086937824</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1.9228270286548514</v>
      </c>
      <c r="BP4" s="83">
        <f t="shared" ref="BP4:BP26" si="52">(L4+I4+(LOG(J4)*4/3))*0.068</f>
        <v>0.72640132193627727</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3.0337937563220989</v>
      </c>
      <c r="BU4" s="83">
        <f t="shared" ref="BU4:BU26" si="57">(L4+I4+(LOG(J4)*4/3))*0.244</f>
        <v>2.6064988610654654</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3.0337937563220989</v>
      </c>
      <c r="BZ4" s="83">
        <f t="shared" ref="BZ4:BZ26" si="62">((L4+I4+(LOG(J4)*4/3))*0.244)</f>
        <v>2.6064988610654654</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30">
        <f>Plantilla!E6</f>
        <v>36</v>
      </c>
      <c r="C5" s="120">
        <f ca="1">Plantilla!F6</f>
        <v>17</v>
      </c>
      <c r="D5" s="330">
        <f>Plantilla!G6</f>
        <v>0</v>
      </c>
      <c r="E5" s="273">
        <v>36526</v>
      </c>
      <c r="F5" s="120">
        <f>Plantilla!Q6</f>
        <v>5</v>
      </c>
      <c r="G5" s="147">
        <f t="shared" si="0"/>
        <v>0.84515425472851657</v>
      </c>
      <c r="H5" s="147">
        <f t="shared" si="1"/>
        <v>0.92504826128926143</v>
      </c>
      <c r="I5" s="200">
        <f>Plantilla!P6</f>
        <v>1.5</v>
      </c>
      <c r="J5" s="201">
        <f>Plantilla!I6</f>
        <v>18</v>
      </c>
      <c r="K5" s="49">
        <f>Plantilla!X6</f>
        <v>0</v>
      </c>
      <c r="L5" s="49">
        <f>Plantilla!Y6</f>
        <v>11.95</v>
      </c>
      <c r="M5" s="49">
        <f>Plantilla!Z6</f>
        <v>12.95</v>
      </c>
      <c r="N5" s="49">
        <f>Plantilla!AA6</f>
        <v>8.9499999999999993</v>
      </c>
      <c r="O5" s="49">
        <f>Plantilla!AB6</f>
        <v>8.9499999999999993</v>
      </c>
      <c r="P5" s="49">
        <f>Plantilla!AC6</f>
        <v>1.95</v>
      </c>
      <c r="Q5" s="49">
        <f>Plantilla!AD6</f>
        <v>17.177777777777774</v>
      </c>
      <c r="R5" s="201">
        <f t="shared" si="2"/>
        <v>4.1062499999999993</v>
      </c>
      <c r="S5" s="201">
        <f t="shared" si="3"/>
        <v>12.098647426148853</v>
      </c>
      <c r="T5" s="49">
        <f t="shared" si="4"/>
        <v>0.61283333333333312</v>
      </c>
      <c r="U5" s="49">
        <f t="shared" si="5"/>
        <v>0.99333333333333318</v>
      </c>
      <c r="V5" s="201">
        <f t="shared" ca="1" si="6"/>
        <v>16.777558095107409</v>
      </c>
      <c r="W5" s="201">
        <f t="shared" ca="1" si="7"/>
        <v>18.363571925155941</v>
      </c>
      <c r="X5" s="83">
        <f t="shared" si="8"/>
        <v>6.0688371959402483</v>
      </c>
      <c r="Y5" s="83">
        <f t="shared" si="9"/>
        <v>9.1759924054511579</v>
      </c>
      <c r="Z5" s="83">
        <f t="shared" si="10"/>
        <v>6.0688371959402483</v>
      </c>
      <c r="AA5" s="83">
        <f t="shared" si="11"/>
        <v>7.8038274835110739</v>
      </c>
      <c r="AB5" s="83">
        <f t="shared" si="12"/>
        <v>15.123696673471073</v>
      </c>
      <c r="AC5" s="83">
        <f t="shared" si="13"/>
        <v>3.901913741755537</v>
      </c>
      <c r="AD5" s="83">
        <f t="shared" si="14"/>
        <v>3.8374398082861152</v>
      </c>
      <c r="AE5" s="83">
        <f t="shared" si="15"/>
        <v>5.7167573425720661</v>
      </c>
      <c r="AF5" s="83">
        <f t="shared" si="16"/>
        <v>10.934432694919586</v>
      </c>
      <c r="AG5" s="83">
        <f t="shared" si="17"/>
        <v>2.8583786712860331</v>
      </c>
      <c r="AH5" s="83">
        <f t="shared" si="18"/>
        <v>6.2076232192863632</v>
      </c>
      <c r="AI5" s="83">
        <f t="shared" si="19"/>
        <v>13.913800939593388</v>
      </c>
      <c r="AJ5" s="83">
        <f t="shared" si="20"/>
        <v>6.2612104228170242</v>
      </c>
      <c r="AK5" s="83">
        <f t="shared" si="21"/>
        <v>2.6926573444696693</v>
      </c>
      <c r="AL5" s="83">
        <f t="shared" si="22"/>
        <v>7.1287336440009907</v>
      </c>
      <c r="AM5" s="83">
        <f t="shared" si="23"/>
        <v>11.403267291797189</v>
      </c>
      <c r="AN5" s="83">
        <f t="shared" si="24"/>
        <v>10.70757724481752</v>
      </c>
      <c r="AO5" s="83">
        <f t="shared" si="25"/>
        <v>3.398696233358558</v>
      </c>
      <c r="AP5" s="83">
        <f t="shared" si="26"/>
        <v>2.0966246419596692</v>
      </c>
      <c r="AQ5" s="83">
        <f t="shared" si="27"/>
        <v>4.0833981018371901</v>
      </c>
      <c r="AR5" s="83">
        <f t="shared" si="28"/>
        <v>8.9834758240418164</v>
      </c>
      <c r="AS5" s="83">
        <f t="shared" si="29"/>
        <v>2.041699050918595</v>
      </c>
      <c r="AT5" s="83">
        <f t="shared" si="30"/>
        <v>15.220769659756693</v>
      </c>
      <c r="AU5" s="83">
        <f t="shared" si="31"/>
        <v>1.5760805675512395</v>
      </c>
      <c r="AV5" s="83">
        <f t="shared" si="32"/>
        <v>2.3412431253270247</v>
      </c>
      <c r="AW5" s="83">
        <f t="shared" si="33"/>
        <v>0.78804028377561974</v>
      </c>
      <c r="AX5" s="83">
        <f t="shared" si="34"/>
        <v>2.8583786712860331</v>
      </c>
      <c r="AY5" s="83">
        <f t="shared" si="35"/>
        <v>6.0494786693884297</v>
      </c>
      <c r="AZ5" s="83">
        <f t="shared" si="36"/>
        <v>1.4291893356430165</v>
      </c>
      <c r="BA5" s="83">
        <f t="shared" si="37"/>
        <v>16.123696673471073</v>
      </c>
      <c r="BB5" s="83">
        <f t="shared" si="38"/>
        <v>3.0672952583881816</v>
      </c>
      <c r="BC5" s="83">
        <f t="shared" si="39"/>
        <v>5.2101568670825618</v>
      </c>
      <c r="BD5" s="83">
        <f t="shared" si="40"/>
        <v>1.5336476291940908</v>
      </c>
      <c r="BE5" s="83">
        <f t="shared" si="41"/>
        <v>4.4009957319800819</v>
      </c>
      <c r="BF5" s="83">
        <f t="shared" si="42"/>
        <v>5.2630464423679335</v>
      </c>
      <c r="BG5" s="83">
        <f t="shared" si="43"/>
        <v>14.204976769328015</v>
      </c>
      <c r="BH5" s="83">
        <f t="shared" si="44"/>
        <v>10.777966342715784</v>
      </c>
      <c r="BI5" s="83">
        <f t="shared" si="45"/>
        <v>2.9218108983065285</v>
      </c>
      <c r="BJ5" s="83">
        <f t="shared" si="46"/>
        <v>7.3349928866334704</v>
      </c>
      <c r="BK5" s="83">
        <f t="shared" si="47"/>
        <v>3.9926559217963637</v>
      </c>
      <c r="BL5" s="83">
        <f t="shared" si="48"/>
        <v>6.1431284325924791</v>
      </c>
      <c r="BM5" s="83">
        <f t="shared" si="49"/>
        <v>10.596110892613719</v>
      </c>
      <c r="BN5" s="83">
        <f t="shared" si="50"/>
        <v>0.63043222702049584</v>
      </c>
      <c r="BO5" s="83">
        <f t="shared" si="51"/>
        <v>2.7222654012247931</v>
      </c>
      <c r="BP5" s="83">
        <f t="shared" si="52"/>
        <v>1.028411373796033</v>
      </c>
      <c r="BQ5" s="83">
        <f t="shared" si="53"/>
        <v>4.917727485408677</v>
      </c>
      <c r="BR5" s="83">
        <f t="shared" si="54"/>
        <v>15.591073922083801</v>
      </c>
      <c r="BS5" s="83">
        <f t="shared" si="55"/>
        <v>1.636699050918595</v>
      </c>
      <c r="BT5" s="83">
        <f t="shared" si="56"/>
        <v>4.2951298552657846</v>
      </c>
      <c r="BU5" s="83">
        <f t="shared" si="57"/>
        <v>3.690181988326942</v>
      </c>
      <c r="BV5" s="83">
        <f t="shared" si="58"/>
        <v>7.3362819864293387</v>
      </c>
      <c r="BW5" s="83">
        <f t="shared" si="59"/>
        <v>13.43305591420595</v>
      </c>
      <c r="BX5" s="83">
        <f t="shared" si="60"/>
        <v>1.4669672974899999</v>
      </c>
      <c r="BY5" s="83">
        <f t="shared" si="61"/>
        <v>4.2951298552657846</v>
      </c>
      <c r="BZ5" s="83">
        <f t="shared" si="62"/>
        <v>3.690181988326942</v>
      </c>
      <c r="CA5" s="83">
        <f t="shared" si="63"/>
        <v>10.174052600960247</v>
      </c>
      <c r="CB5" s="83">
        <f t="shared" si="64"/>
        <v>10.85070852275661</v>
      </c>
      <c r="CC5" s="83">
        <f t="shared" si="65"/>
        <v>1.7943071076737187</v>
      </c>
      <c r="CD5" s="83">
        <f t="shared" si="66"/>
        <v>6.5462208494292566</v>
      </c>
      <c r="CE5" s="83">
        <f t="shared" si="67"/>
        <v>5.4274459668784294</v>
      </c>
      <c r="CF5" s="83">
        <f t="shared" si="68"/>
        <v>9.5702824543284297</v>
      </c>
      <c r="CG5" s="83">
        <f t="shared" si="69"/>
        <v>5.4274459668784294</v>
      </c>
      <c r="CH5" s="83">
        <f t="shared" si="70"/>
        <v>5.6030630275724791</v>
      </c>
      <c r="CI5" s="83">
        <f t="shared" si="71"/>
        <v>9.5973407459819011</v>
      </c>
      <c r="CJ5" s="83">
        <f t="shared" si="72"/>
        <v>5.6030630275724791</v>
      </c>
      <c r="CK5" s="83">
        <f t="shared" si="73"/>
        <v>4.0309241683677683</v>
      </c>
    </row>
    <row r="6" spans="1:89" x14ac:dyDescent="0.25">
      <c r="A6" t="str">
        <f>Plantilla!D7</f>
        <v>B. Bartolache</v>
      </c>
      <c r="B6" s="330">
        <f>Plantilla!E7</f>
        <v>36</v>
      </c>
      <c r="C6" s="120">
        <f ca="1">Plantilla!F7</f>
        <v>2</v>
      </c>
      <c r="D6" s="330">
        <f>Plantilla!G7</f>
        <v>0</v>
      </c>
      <c r="E6" s="273">
        <v>36526</v>
      </c>
      <c r="F6" s="120">
        <f>Plantilla!Q7</f>
        <v>6</v>
      </c>
      <c r="G6" s="147">
        <f t="shared" si="0"/>
        <v>0.92582009977255142</v>
      </c>
      <c r="H6" s="147">
        <f t="shared" si="1"/>
        <v>0.99928545900129484</v>
      </c>
      <c r="I6" s="200">
        <f>Plantilla!P7</f>
        <v>1.5</v>
      </c>
      <c r="J6" s="201">
        <f>Plantilla!I7</f>
        <v>11.8</v>
      </c>
      <c r="K6" s="49">
        <f>Plantilla!X7</f>
        <v>0</v>
      </c>
      <c r="L6" s="49">
        <f>Plantilla!Y7</f>
        <v>11.95</v>
      </c>
      <c r="M6" s="49">
        <f>Plantilla!Z7</f>
        <v>5.95</v>
      </c>
      <c r="N6" s="49">
        <f>Plantilla!AA7</f>
        <v>6.95</v>
      </c>
      <c r="O6" s="49">
        <f>Plantilla!AB7</f>
        <v>7.95</v>
      </c>
      <c r="P6" s="49">
        <f>Plantilla!AC7</f>
        <v>2.95</v>
      </c>
      <c r="Q6" s="49">
        <f>Plantilla!AD7</f>
        <v>16</v>
      </c>
      <c r="R6" s="201">
        <f t="shared" si="2"/>
        <v>3.8562499999999997</v>
      </c>
      <c r="S6" s="201">
        <f t="shared" si="3"/>
        <v>12.570478981528717</v>
      </c>
      <c r="T6" s="49">
        <f t="shared" si="4"/>
        <v>0.62750000000000006</v>
      </c>
      <c r="U6" s="49">
        <f t="shared" si="5"/>
        <v>0.95799999999999996</v>
      </c>
      <c r="V6" s="201">
        <f t="shared" ca="1" si="6"/>
        <v>17.062101572064787</v>
      </c>
      <c r="W6" s="201">
        <f t="shared" ca="1" si="7"/>
        <v>18.416007607910185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2.3225985708542596</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4.9444259813675666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4.8890507010753215</v>
      </c>
      <c r="CF6" s="83">
        <f t="shared" si="68"/>
        <v>9.3349521869689287</v>
      </c>
      <c r="CG6" s="83">
        <f t="shared" si="69"/>
        <v>4.8890507010753215</v>
      </c>
      <c r="CH6" s="83">
        <f t="shared" si="70"/>
        <v>5.1267266540689542</v>
      </c>
      <c r="CI6" s="83">
        <f t="shared" si="71"/>
        <v>9.8935919573361133</v>
      </c>
      <c r="CJ6" s="83">
        <f t="shared" si="72"/>
        <v>5.1267266540689542</v>
      </c>
      <c r="CK6" s="83">
        <f t="shared" si="73"/>
        <v>2.2197940024353753</v>
      </c>
    </row>
    <row r="7" spans="1:89" x14ac:dyDescent="0.25">
      <c r="A7" t="str">
        <f>Plantilla!D8</f>
        <v>F. Lasprilla</v>
      </c>
      <c r="B7" s="330">
        <f>Plantilla!E8</f>
        <v>32</v>
      </c>
      <c r="C7" s="120">
        <f ca="1">Plantilla!F8</f>
        <v>25</v>
      </c>
      <c r="D7" s="330">
        <f>Plantilla!G8</f>
        <v>0</v>
      </c>
      <c r="E7" s="273">
        <v>36526</v>
      </c>
      <c r="F7" s="120">
        <f>Plantilla!Q8</f>
        <v>5</v>
      </c>
      <c r="G7" s="147">
        <f t="shared" si="0"/>
        <v>0.84515425472851657</v>
      </c>
      <c r="H7" s="147">
        <f t="shared" si="1"/>
        <v>0.92504826128926143</v>
      </c>
      <c r="I7" s="200">
        <f>Plantilla!P8</f>
        <v>1.5</v>
      </c>
      <c r="J7" s="201">
        <f>Plantilla!I8</f>
        <v>6.3</v>
      </c>
      <c r="K7" s="49">
        <f>Plantilla!X8</f>
        <v>0</v>
      </c>
      <c r="L7" s="49">
        <f>Plantilla!Y8</f>
        <v>9.6046666666666667</v>
      </c>
      <c r="M7" s="49">
        <f>Plantilla!Z8</f>
        <v>7.7607222222222223</v>
      </c>
      <c r="N7" s="49">
        <f>Plantilla!AA8</f>
        <v>6.1599999999999984</v>
      </c>
      <c r="O7" s="49">
        <f>Plantilla!AB8</f>
        <v>8.8633333333333315</v>
      </c>
      <c r="P7" s="49">
        <f>Plantilla!AC8</f>
        <v>2.95</v>
      </c>
      <c r="Q7" s="49">
        <f>Plantilla!AD8</f>
        <v>13.33611111111111</v>
      </c>
      <c r="R7" s="201">
        <f t="shared" si="2"/>
        <v>3.7914166666666662</v>
      </c>
      <c r="S7" s="201">
        <f t="shared" si="3"/>
        <v>10.302251263501001</v>
      </c>
      <c r="T7" s="49">
        <f t="shared" si="4"/>
        <v>0.5475833333333332</v>
      </c>
      <c r="U7" s="49">
        <f t="shared" si="5"/>
        <v>0.78426999999999991</v>
      </c>
      <c r="V7" s="201">
        <f t="shared" ca="1" si="6"/>
        <v>13.016980056946617</v>
      </c>
      <c r="W7" s="201">
        <f t="shared" ca="1" si="7"/>
        <v>14.247499437583047</v>
      </c>
      <c r="X7" s="83">
        <f t="shared" si="8"/>
        <v>4.8908203995639692</v>
      </c>
      <c r="Y7" s="83">
        <f t="shared" si="9"/>
        <v>7.3944148657927649</v>
      </c>
      <c r="Z7" s="83">
        <f t="shared" si="10"/>
        <v>4.8908203995639692</v>
      </c>
      <c r="AA7" s="83">
        <f t="shared" si="11"/>
        <v>6.279954298024065</v>
      </c>
      <c r="AB7" s="83">
        <f t="shared" si="12"/>
        <v>12.17045406593811</v>
      </c>
      <c r="AC7" s="83">
        <f t="shared" si="13"/>
        <v>3.1399771490120325</v>
      </c>
      <c r="AD7" s="83">
        <f t="shared" si="14"/>
        <v>2.457709289915492</v>
      </c>
      <c r="AE7" s="83">
        <f t="shared" si="15"/>
        <v>4.600431636924605</v>
      </c>
      <c r="AF7" s="83">
        <f t="shared" si="16"/>
        <v>8.7992382896732533</v>
      </c>
      <c r="AG7" s="83">
        <f t="shared" si="17"/>
        <v>2.3002158184623025</v>
      </c>
      <c r="AH7" s="83">
        <f t="shared" si="18"/>
        <v>3.9757062042750611</v>
      </c>
      <c r="AI7" s="83">
        <f t="shared" si="19"/>
        <v>11.196817740663061</v>
      </c>
      <c r="AJ7" s="83">
        <f t="shared" si="20"/>
        <v>5.0385679832983774</v>
      </c>
      <c r="AK7" s="83">
        <f t="shared" si="21"/>
        <v>1.7245271067894421</v>
      </c>
      <c r="AL7" s="83">
        <f t="shared" si="22"/>
        <v>5.1307629907716068</v>
      </c>
      <c r="AM7" s="83">
        <f t="shared" si="23"/>
        <v>9.176522365717334</v>
      </c>
      <c r="AN7" s="83">
        <f t="shared" si="24"/>
        <v>8.6166814786841819</v>
      </c>
      <c r="AO7" s="83">
        <f t="shared" si="25"/>
        <v>2.6556170512338864</v>
      </c>
      <c r="AP7" s="83">
        <f t="shared" si="26"/>
        <v>1.8308747709901751</v>
      </c>
      <c r="AQ7" s="83">
        <f t="shared" si="27"/>
        <v>3.28602259780329</v>
      </c>
      <c r="AR7" s="83">
        <f t="shared" si="28"/>
        <v>7.2292497151672368</v>
      </c>
      <c r="AS7" s="83">
        <f t="shared" si="29"/>
        <v>1.643011298901645</v>
      </c>
      <c r="AT7" s="83">
        <f t="shared" si="30"/>
        <v>9.7482250826900199</v>
      </c>
      <c r="AU7" s="83">
        <f t="shared" si="31"/>
        <v>1.4857856952386208</v>
      </c>
      <c r="AV7" s="83">
        <f t="shared" si="32"/>
        <v>2.3257257079865323</v>
      </c>
      <c r="AW7" s="83">
        <f t="shared" si="33"/>
        <v>0.7428928476193104</v>
      </c>
      <c r="AX7" s="83">
        <f t="shared" si="34"/>
        <v>2.3002158184623025</v>
      </c>
      <c r="AY7" s="83">
        <f t="shared" si="35"/>
        <v>4.868181626375244</v>
      </c>
      <c r="AZ7" s="83">
        <f t="shared" si="36"/>
        <v>1.1501079092311512</v>
      </c>
      <c r="BA7" s="83">
        <f t="shared" si="37"/>
        <v>10.326509621493665</v>
      </c>
      <c r="BB7" s="83">
        <f t="shared" si="38"/>
        <v>2.891567545349008</v>
      </c>
      <c r="BC7" s="83">
        <f t="shared" si="39"/>
        <v>5.0556455236652313</v>
      </c>
      <c r="BD7" s="83">
        <f t="shared" si="40"/>
        <v>1.445783772674504</v>
      </c>
      <c r="BE7" s="83">
        <f t="shared" si="41"/>
        <v>3.5416021331879897</v>
      </c>
      <c r="BF7" s="83">
        <f t="shared" si="42"/>
        <v>4.2353180149464622</v>
      </c>
      <c r="BG7" s="83">
        <f t="shared" si="43"/>
        <v>9.0976549765359191</v>
      </c>
      <c r="BH7" s="83">
        <f t="shared" si="44"/>
        <v>8.6087749979523114</v>
      </c>
      <c r="BI7" s="83">
        <f t="shared" si="45"/>
        <v>2.7544180965577505</v>
      </c>
      <c r="BJ7" s="83">
        <f t="shared" si="46"/>
        <v>5.9026702219799834</v>
      </c>
      <c r="BK7" s="83">
        <f t="shared" si="47"/>
        <v>3.2129998734076612</v>
      </c>
      <c r="BL7" s="83">
        <f t="shared" si="48"/>
        <v>3.9344001657890866</v>
      </c>
      <c r="BM7" s="83">
        <f t="shared" si="49"/>
        <v>8.1697081869632395</v>
      </c>
      <c r="BN7" s="83">
        <f t="shared" si="50"/>
        <v>0.59431427809544823</v>
      </c>
      <c r="BO7" s="83">
        <f t="shared" si="51"/>
        <v>2.1906817318688598</v>
      </c>
      <c r="BP7" s="83">
        <f t="shared" si="52"/>
        <v>0.82759087648379148</v>
      </c>
      <c r="BQ7" s="83">
        <f t="shared" si="53"/>
        <v>3.1495854345555676</v>
      </c>
      <c r="BR7" s="83">
        <f t="shared" si="54"/>
        <v>11.994515928796407</v>
      </c>
      <c r="BS7" s="83">
        <f t="shared" si="55"/>
        <v>1.5429312989016446</v>
      </c>
      <c r="BT7" s="83">
        <f t="shared" si="56"/>
        <v>3.456408954726423</v>
      </c>
      <c r="BU7" s="83">
        <f t="shared" si="57"/>
        <v>2.9695907920888986</v>
      </c>
      <c r="BV7" s="83">
        <f t="shared" si="58"/>
        <v>4.6985618777796176</v>
      </c>
      <c r="BW7" s="83">
        <f t="shared" si="59"/>
        <v>10.32778577172609</v>
      </c>
      <c r="BX7" s="83">
        <f t="shared" si="60"/>
        <v>1.3829236086451777</v>
      </c>
      <c r="BY7" s="83">
        <f t="shared" si="61"/>
        <v>3.456408954726423</v>
      </c>
      <c r="BZ7" s="83">
        <f t="shared" si="62"/>
        <v>2.9695907920888986</v>
      </c>
      <c r="CA7" s="83">
        <f t="shared" si="63"/>
        <v>6.5160275711625024</v>
      </c>
      <c r="CB7" s="83">
        <f t="shared" si="64"/>
        <v>8.3313230556812741</v>
      </c>
      <c r="CC7" s="83">
        <f t="shared" si="65"/>
        <v>1.6915098684255065</v>
      </c>
      <c r="CD7" s="83">
        <f t="shared" si="66"/>
        <v>4.1925629063264287</v>
      </c>
      <c r="CE7" s="83">
        <f t="shared" si="67"/>
        <v>4.8142985683537542</v>
      </c>
      <c r="CF7" s="83">
        <f t="shared" si="68"/>
        <v>9.4217166115796438</v>
      </c>
      <c r="CG7" s="83">
        <f t="shared" si="69"/>
        <v>4.8142985683537542</v>
      </c>
      <c r="CH7" s="83">
        <f t="shared" si="70"/>
        <v>4.855438883079441</v>
      </c>
      <c r="CI7" s="83">
        <f t="shared" si="71"/>
        <v>9.733132949602604</v>
      </c>
      <c r="CJ7" s="83">
        <f t="shared" si="72"/>
        <v>4.855438883079441</v>
      </c>
      <c r="CK7" s="83">
        <f t="shared" si="73"/>
        <v>2.5816274053734163</v>
      </c>
    </row>
    <row r="8" spans="1:89" x14ac:dyDescent="0.25">
      <c r="A8" t="str">
        <f>Plantilla!D9</f>
        <v>E. Romweber</v>
      </c>
      <c r="B8" s="330">
        <f>Plantilla!E9</f>
        <v>35</v>
      </c>
      <c r="C8" s="120">
        <f ca="1">Plantilla!F9</f>
        <v>91</v>
      </c>
      <c r="D8" s="330" t="str">
        <f>Plantilla!G9</f>
        <v>IMP</v>
      </c>
      <c r="E8" s="273">
        <v>36526</v>
      </c>
      <c r="F8" s="120">
        <f>Plantilla!Q9</f>
        <v>6</v>
      </c>
      <c r="G8" s="147">
        <f t="shared" si="0"/>
        <v>0.92582009977255142</v>
      </c>
      <c r="H8" s="147">
        <f t="shared" si="1"/>
        <v>0.99928545900129484</v>
      </c>
      <c r="I8" s="200">
        <f>Plantilla!P9</f>
        <v>1.5</v>
      </c>
      <c r="J8" s="201">
        <f>Plantilla!I9</f>
        <v>17.100000000000001</v>
      </c>
      <c r="K8" s="49">
        <f>Plantilla!X9</f>
        <v>0</v>
      </c>
      <c r="L8" s="49">
        <f>Plantilla!Y9</f>
        <v>11.95</v>
      </c>
      <c r="M8" s="49">
        <f>Plantilla!Z9</f>
        <v>12.614111111111114</v>
      </c>
      <c r="N8" s="49">
        <f>Plantilla!AA9</f>
        <v>12.95</v>
      </c>
      <c r="O8" s="49">
        <f>Plantilla!AB9</f>
        <v>10.95</v>
      </c>
      <c r="P8" s="49">
        <f>Plantilla!AC9</f>
        <v>5.95</v>
      </c>
      <c r="Q8" s="49">
        <f>Plantilla!AD9</f>
        <v>17.529999999999998</v>
      </c>
      <c r="R8" s="201">
        <f t="shared" si="2"/>
        <v>4.6062499999999993</v>
      </c>
      <c r="S8" s="201">
        <f t="shared" si="3"/>
        <v>18.866728538622212</v>
      </c>
      <c r="T8" s="49">
        <f t="shared" si="4"/>
        <v>0.82340000000000002</v>
      </c>
      <c r="U8" s="49">
        <f t="shared" si="5"/>
        <v>1.0039</v>
      </c>
      <c r="V8" s="201">
        <f t="shared" ca="1" si="6"/>
        <v>18.677489891375284</v>
      </c>
      <c r="W8" s="201">
        <f t="shared" ca="1" si="7"/>
        <v>20.15957966745404</v>
      </c>
      <c r="X8" s="83">
        <f t="shared" si="8"/>
        <v>6.0429074724964664</v>
      </c>
      <c r="Y8" s="83">
        <f t="shared" si="9"/>
        <v>9.1376473046883611</v>
      </c>
      <c r="Z8" s="83">
        <f t="shared" si="10"/>
        <v>6.0429074724964664</v>
      </c>
      <c r="AA8" s="83">
        <f t="shared" si="11"/>
        <v>7.7885013239498013</v>
      </c>
      <c r="AB8" s="83">
        <f t="shared" si="12"/>
        <v>15.093994813856204</v>
      </c>
      <c r="AC8" s="83">
        <f t="shared" si="13"/>
        <v>3.8942506619749007</v>
      </c>
      <c r="AD8" s="83">
        <f t="shared" si="14"/>
        <v>3.7504292101422219</v>
      </c>
      <c r="AE8" s="83">
        <f t="shared" si="15"/>
        <v>5.7055300396376456</v>
      </c>
      <c r="AF8" s="83">
        <f t="shared" si="16"/>
        <v>10.912958250418034</v>
      </c>
      <c r="AG8" s="83">
        <f t="shared" si="17"/>
        <v>2.8527650198188228</v>
      </c>
      <c r="AH8" s="83">
        <f t="shared" si="18"/>
        <v>6.0668707811124181</v>
      </c>
      <c r="AI8" s="83">
        <f t="shared" si="19"/>
        <v>13.886475228747708</v>
      </c>
      <c r="AJ8" s="83">
        <f t="shared" si="20"/>
        <v>6.2489138529364681</v>
      </c>
      <c r="AK8" s="83">
        <f t="shared" si="21"/>
        <v>2.6316036894695425</v>
      </c>
      <c r="AL8" s="83">
        <f t="shared" si="22"/>
        <v>9.4632689505474481</v>
      </c>
      <c r="AM8" s="83">
        <f t="shared" si="23"/>
        <v>11.380872089647578</v>
      </c>
      <c r="AN8" s="83">
        <f t="shared" si="24"/>
        <v>10.686548328210192</v>
      </c>
      <c r="AO8" s="83">
        <f t="shared" si="25"/>
        <v>3.4525571339139862</v>
      </c>
      <c r="AP8" s="83">
        <f t="shared" si="26"/>
        <v>2.2320705063905866</v>
      </c>
      <c r="AQ8" s="83">
        <f t="shared" si="27"/>
        <v>4.0753785997411756</v>
      </c>
      <c r="AR8" s="83">
        <f t="shared" si="28"/>
        <v>8.9658329194305857</v>
      </c>
      <c r="AS8" s="83">
        <f t="shared" si="29"/>
        <v>2.0376892998705878</v>
      </c>
      <c r="AT8" s="83">
        <f t="shared" si="30"/>
        <v>14.875651993169148</v>
      </c>
      <c r="AU8" s="83">
        <f t="shared" si="31"/>
        <v>1.8322193258013066</v>
      </c>
      <c r="AV8" s="83">
        <f t="shared" si="32"/>
        <v>3.2645404804598677</v>
      </c>
      <c r="AW8" s="83">
        <f t="shared" si="33"/>
        <v>0.91610966290065332</v>
      </c>
      <c r="AX8" s="83">
        <f t="shared" si="34"/>
        <v>2.8527650198188228</v>
      </c>
      <c r="AY8" s="83">
        <f t="shared" si="35"/>
        <v>6.0375979255424816</v>
      </c>
      <c r="AZ8" s="83">
        <f t="shared" si="36"/>
        <v>1.4263825099094114</v>
      </c>
      <c r="BA8" s="83">
        <f t="shared" si="37"/>
        <v>15.758105924967319</v>
      </c>
      <c r="BB8" s="83">
        <f t="shared" si="38"/>
        <v>3.5657806879056198</v>
      </c>
      <c r="BC8" s="83">
        <f t="shared" si="39"/>
        <v>6.7157911424347692</v>
      </c>
      <c r="BD8" s="83">
        <f t="shared" si="40"/>
        <v>1.7828903439528099</v>
      </c>
      <c r="BE8" s="83">
        <f t="shared" si="41"/>
        <v>4.3923524908321552</v>
      </c>
      <c r="BF8" s="83">
        <f t="shared" si="42"/>
        <v>5.252710195221959</v>
      </c>
      <c r="BG8" s="83">
        <f t="shared" si="43"/>
        <v>13.882891319896208</v>
      </c>
      <c r="BH8" s="83">
        <f t="shared" si="44"/>
        <v>13.677561389518168</v>
      </c>
      <c r="BI8" s="83">
        <f t="shared" si="45"/>
        <v>3.3966527501393449</v>
      </c>
      <c r="BJ8" s="83">
        <f t="shared" si="46"/>
        <v>7.3205874847202592</v>
      </c>
      <c r="BK8" s="83">
        <f t="shared" si="47"/>
        <v>3.9848146308580379</v>
      </c>
      <c r="BL8" s="83">
        <f t="shared" si="48"/>
        <v>6.0038383574125485</v>
      </c>
      <c r="BM8" s="83">
        <f t="shared" si="49"/>
        <v>13.664151467310324</v>
      </c>
      <c r="BN8" s="83">
        <f t="shared" si="50"/>
        <v>0.73288773032052257</v>
      </c>
      <c r="BO8" s="83">
        <f t="shared" si="51"/>
        <v>2.7169190664941167</v>
      </c>
      <c r="BP8" s="83">
        <f t="shared" si="52"/>
        <v>1.0263916473422219</v>
      </c>
      <c r="BQ8" s="83">
        <f t="shared" si="53"/>
        <v>4.8062223071150321</v>
      </c>
      <c r="BR8" s="83">
        <f t="shared" si="54"/>
        <v>20.124877330619078</v>
      </c>
      <c r="BS8" s="83">
        <f t="shared" si="55"/>
        <v>1.9026892998705878</v>
      </c>
      <c r="BT8" s="83">
        <f t="shared" si="56"/>
        <v>4.286694527135162</v>
      </c>
      <c r="BU8" s="83">
        <f t="shared" si="57"/>
        <v>3.6829347345809138</v>
      </c>
      <c r="BV8" s="83">
        <f t="shared" si="58"/>
        <v>7.1699381958601309</v>
      </c>
      <c r="BW8" s="83">
        <f t="shared" si="59"/>
        <v>17.344146253752676</v>
      </c>
      <c r="BX8" s="83">
        <f t="shared" si="60"/>
        <v>1.7053733724766007</v>
      </c>
      <c r="BY8" s="83">
        <f t="shared" si="61"/>
        <v>4.286694527135162</v>
      </c>
      <c r="BZ8" s="83">
        <f t="shared" si="62"/>
        <v>3.6829347345809138</v>
      </c>
      <c r="CA8" s="83">
        <f t="shared" si="63"/>
        <v>9.9433648386543787</v>
      </c>
      <c r="CB8" s="83">
        <f t="shared" si="64"/>
        <v>14.018125358401305</v>
      </c>
      <c r="CC8" s="83">
        <f t="shared" si="65"/>
        <v>2.0859112324507181</v>
      </c>
      <c r="CD8" s="83">
        <f t="shared" si="66"/>
        <v>6.3977910055367317</v>
      </c>
      <c r="CE8" s="83">
        <f t="shared" si="67"/>
        <v>6.9959712980190831</v>
      </c>
      <c r="CF8" s="83">
        <f t="shared" si="68"/>
        <v>12.954838160402087</v>
      </c>
      <c r="CG8" s="83">
        <f t="shared" si="69"/>
        <v>6.9959712980190831</v>
      </c>
      <c r="CH8" s="83">
        <f t="shared" si="70"/>
        <v>7.7925587690324161</v>
      </c>
      <c r="CI8" s="83">
        <f t="shared" si="71"/>
        <v>14.294678900169146</v>
      </c>
      <c r="CJ8" s="83">
        <f t="shared" si="72"/>
        <v>7.7925587690324161</v>
      </c>
      <c r="CK8" s="83">
        <f t="shared" si="73"/>
        <v>3.9395264812418298</v>
      </c>
    </row>
    <row r="9" spans="1:89" x14ac:dyDescent="0.25">
      <c r="A9" t="str">
        <f>Plantilla!D10</f>
        <v>S. Buschelman</v>
      </c>
      <c r="B9" s="330">
        <f>Plantilla!E10</f>
        <v>34</v>
      </c>
      <c r="C9" s="120">
        <f ca="1">Plantilla!F10</f>
        <v>50</v>
      </c>
      <c r="D9" s="330" t="str">
        <f>Plantilla!G10</f>
        <v>TEC</v>
      </c>
      <c r="E9" s="273">
        <v>36526</v>
      </c>
      <c r="F9" s="120">
        <f>Plantilla!Q10</f>
        <v>5</v>
      </c>
      <c r="G9" s="147">
        <f t="shared" si="0"/>
        <v>0.84515425472851657</v>
      </c>
      <c r="H9" s="147">
        <f t="shared" si="1"/>
        <v>0.92504826128926143</v>
      </c>
      <c r="I9" s="200">
        <f>Plantilla!P10</f>
        <v>1.5</v>
      </c>
      <c r="J9" s="201">
        <f>Plantilla!I10</f>
        <v>14.8</v>
      </c>
      <c r="K9" s="49">
        <f>Plantilla!X10</f>
        <v>0</v>
      </c>
      <c r="L9" s="49">
        <f>Plantilla!Y10</f>
        <v>9.3036666666666648</v>
      </c>
      <c r="M9" s="49">
        <f>Plantilla!Z10</f>
        <v>14</v>
      </c>
      <c r="N9" s="49">
        <f>Plantilla!AA10</f>
        <v>12.945</v>
      </c>
      <c r="O9" s="49">
        <f>Plantilla!AB10</f>
        <v>9.9499999999999993</v>
      </c>
      <c r="P9" s="49">
        <f>Plantilla!AC10</f>
        <v>3.95</v>
      </c>
      <c r="Q9" s="49">
        <f>Plantilla!AD10</f>
        <v>16</v>
      </c>
      <c r="R9" s="201">
        <f t="shared" si="2"/>
        <v>4.0254583333333329</v>
      </c>
      <c r="S9" s="201">
        <f t="shared" si="3"/>
        <v>14.520371188030476</v>
      </c>
      <c r="T9" s="49">
        <f t="shared" si="4"/>
        <v>0.67749999999999999</v>
      </c>
      <c r="U9" s="49">
        <f t="shared" si="5"/>
        <v>0.8521466666666665</v>
      </c>
      <c r="V9" s="201">
        <f t="shared" ca="1" si="6"/>
        <v>15.686357887600703</v>
      </c>
      <c r="W9" s="201">
        <f t="shared" ca="1" si="7"/>
        <v>17.169218528690102</v>
      </c>
      <c r="X9" s="83">
        <f t="shared" si="8"/>
        <v>5.2394966367197302</v>
      </c>
      <c r="Y9" s="83">
        <f t="shared" si="9"/>
        <v>7.9049688327665191</v>
      </c>
      <c r="Z9" s="83">
        <f t="shared" si="10"/>
        <v>5.2394966367197302</v>
      </c>
      <c r="AA9" s="83">
        <f t="shared" si="11"/>
        <v>6.3798320601917302</v>
      </c>
      <c r="AB9" s="83">
        <f t="shared" si="12"/>
        <v>12.364015620526608</v>
      </c>
      <c r="AC9" s="83">
        <f t="shared" si="13"/>
        <v>3.1899160300958651</v>
      </c>
      <c r="AD9" s="83">
        <f t="shared" si="14"/>
        <v>4.0603630510186663</v>
      </c>
      <c r="AE9" s="83">
        <f t="shared" si="15"/>
        <v>4.6735979045590579</v>
      </c>
      <c r="AF9" s="83">
        <f t="shared" si="16"/>
        <v>8.9391832936407365</v>
      </c>
      <c r="AG9" s="83">
        <f t="shared" si="17"/>
        <v>2.3367989522795289</v>
      </c>
      <c r="AH9" s="83">
        <f t="shared" si="18"/>
        <v>6.5682343472360785</v>
      </c>
      <c r="AI9" s="83">
        <f t="shared" si="19"/>
        <v>11.37489437088448</v>
      </c>
      <c r="AJ9" s="83">
        <f t="shared" si="20"/>
        <v>5.1187024668980152</v>
      </c>
      <c r="AK9" s="83">
        <f t="shared" si="21"/>
        <v>2.8490782752946107</v>
      </c>
      <c r="AL9" s="83">
        <f t="shared" si="22"/>
        <v>9.4111451848696461</v>
      </c>
      <c r="AM9" s="83">
        <f t="shared" si="23"/>
        <v>9.3224677778770619</v>
      </c>
      <c r="AN9" s="83">
        <f t="shared" si="24"/>
        <v>8.7537230593328381</v>
      </c>
      <c r="AO9" s="83">
        <f t="shared" si="25"/>
        <v>3.1830782752946107</v>
      </c>
      <c r="AP9" s="83">
        <f t="shared" si="26"/>
        <v>2.0407124987116636</v>
      </c>
      <c r="AQ9" s="83">
        <f t="shared" si="27"/>
        <v>3.3382842175421845</v>
      </c>
      <c r="AR9" s="83">
        <f t="shared" si="28"/>
        <v>7.3442252785928046</v>
      </c>
      <c r="AS9" s="83">
        <f t="shared" si="29"/>
        <v>1.6691421087710923</v>
      </c>
      <c r="AT9" s="83">
        <f t="shared" si="30"/>
        <v>16.104969412443786</v>
      </c>
      <c r="AU9" s="83">
        <f t="shared" si="31"/>
        <v>1.6913453640017926</v>
      </c>
      <c r="AV9" s="83">
        <f t="shared" si="32"/>
        <v>2.7740322434809634</v>
      </c>
      <c r="AW9" s="83">
        <f t="shared" si="33"/>
        <v>0.84567268200089629</v>
      </c>
      <c r="AX9" s="83">
        <f t="shared" si="34"/>
        <v>2.3367989522795289</v>
      </c>
      <c r="AY9" s="83">
        <f t="shared" si="35"/>
        <v>4.9456062482106438</v>
      </c>
      <c r="AZ9" s="83">
        <f t="shared" si="36"/>
        <v>1.1683994761397645</v>
      </c>
      <c r="BA9" s="83">
        <f t="shared" si="37"/>
        <v>17.060348953859943</v>
      </c>
      <c r="BB9" s="83">
        <f t="shared" si="38"/>
        <v>3.2916182853265656</v>
      </c>
      <c r="BC9" s="83">
        <f t="shared" si="39"/>
        <v>5.9087022735768286</v>
      </c>
      <c r="BD9" s="83">
        <f t="shared" si="40"/>
        <v>1.6458091426632828</v>
      </c>
      <c r="BE9" s="83">
        <f t="shared" si="41"/>
        <v>3.5979285455732426</v>
      </c>
      <c r="BF9" s="83">
        <f t="shared" si="42"/>
        <v>4.3026774359432594</v>
      </c>
      <c r="BG9" s="83">
        <f t="shared" si="43"/>
        <v>15.030167428350611</v>
      </c>
      <c r="BH9" s="83">
        <f t="shared" si="44"/>
        <v>13.285330219981489</v>
      </c>
      <c r="BI9" s="83">
        <f t="shared" si="45"/>
        <v>3.1354940978802461</v>
      </c>
      <c r="BJ9" s="83">
        <f t="shared" si="46"/>
        <v>5.9965475759554048</v>
      </c>
      <c r="BK9" s="83">
        <f t="shared" si="47"/>
        <v>3.2641001238190248</v>
      </c>
      <c r="BL9" s="83">
        <f t="shared" si="48"/>
        <v>6.4999929514206389</v>
      </c>
      <c r="BM9" s="83">
        <f t="shared" si="49"/>
        <v>13.386679985673592</v>
      </c>
      <c r="BN9" s="83">
        <f t="shared" si="50"/>
        <v>0.67653814560071701</v>
      </c>
      <c r="BO9" s="83">
        <f t="shared" si="51"/>
        <v>2.2255228116947894</v>
      </c>
      <c r="BP9" s="83">
        <f t="shared" si="52"/>
        <v>0.84075306219580936</v>
      </c>
      <c r="BQ9" s="83">
        <f t="shared" si="53"/>
        <v>5.2034064309272825</v>
      </c>
      <c r="BR9" s="83">
        <f t="shared" si="54"/>
        <v>19.726308754663886</v>
      </c>
      <c r="BS9" s="83">
        <f t="shared" si="55"/>
        <v>1.7563971087710923</v>
      </c>
      <c r="BT9" s="83">
        <f t="shared" si="56"/>
        <v>3.5113804362295564</v>
      </c>
      <c r="BU9" s="83">
        <f t="shared" si="57"/>
        <v>3.0168198114084923</v>
      </c>
      <c r="BV9" s="83">
        <f t="shared" si="58"/>
        <v>7.7624587740062747</v>
      </c>
      <c r="BW9" s="83">
        <f t="shared" si="59"/>
        <v>17.003146640876817</v>
      </c>
      <c r="BX9" s="83">
        <f t="shared" si="60"/>
        <v>1.5742522234170531</v>
      </c>
      <c r="BY9" s="83">
        <f t="shared" si="61"/>
        <v>3.5113804362295564</v>
      </c>
      <c r="BZ9" s="83">
        <f t="shared" si="62"/>
        <v>3.0168198114084923</v>
      </c>
      <c r="CA9" s="83">
        <f t="shared" si="63"/>
        <v>10.765080189885625</v>
      </c>
      <c r="CB9" s="83">
        <f t="shared" si="64"/>
        <v>13.746752313704649</v>
      </c>
      <c r="CC9" s="83">
        <f t="shared" si="65"/>
        <v>1.9255316451712714</v>
      </c>
      <c r="CD9" s="83">
        <f t="shared" si="66"/>
        <v>6.9265016752671373</v>
      </c>
      <c r="CE9" s="83">
        <f t="shared" si="67"/>
        <v>7.5064697212698261</v>
      </c>
      <c r="CF9" s="83">
        <f t="shared" si="68"/>
        <v>11.151652922046296</v>
      </c>
      <c r="CG9" s="83">
        <f t="shared" si="69"/>
        <v>7.5064697212698261</v>
      </c>
      <c r="CH9" s="83">
        <f t="shared" si="70"/>
        <v>7.0773423982547445</v>
      </c>
      <c r="CI9" s="83">
        <f t="shared" si="71"/>
        <v>11.811167717834262</v>
      </c>
      <c r="CJ9" s="83">
        <f t="shared" si="72"/>
        <v>7.0773423982547445</v>
      </c>
      <c r="CK9" s="83">
        <f t="shared" si="73"/>
        <v>4.2650872384649858</v>
      </c>
    </row>
    <row r="10" spans="1:89" x14ac:dyDescent="0.25">
      <c r="A10" t="str">
        <f>Plantilla!D11</f>
        <v>E. Gross</v>
      </c>
      <c r="B10" s="330">
        <f>Plantilla!E11</f>
        <v>35</v>
      </c>
      <c r="C10" s="120">
        <f ca="1">Plantilla!F11</f>
        <v>78</v>
      </c>
      <c r="D10" s="330">
        <f>Plantilla!G11</f>
        <v>0</v>
      </c>
      <c r="E10" s="273">
        <v>36526</v>
      </c>
      <c r="F10" s="120">
        <f>Plantilla!Q11</f>
        <v>7</v>
      </c>
      <c r="G10" s="147">
        <f t="shared" si="0"/>
        <v>1</v>
      </c>
      <c r="H10" s="147">
        <f t="shared" si="1"/>
        <v>1</v>
      </c>
      <c r="I10" s="200">
        <f>Plantilla!P11</f>
        <v>1.5</v>
      </c>
      <c r="J10" s="201">
        <f>Plantilla!I11</f>
        <v>13.1</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201">
        <f t="shared" si="2"/>
        <v>3.9312499999999995</v>
      </c>
      <c r="S10" s="201">
        <f t="shared" si="3"/>
        <v>10.099226084532321</v>
      </c>
      <c r="T10" s="49">
        <f t="shared" si="4"/>
        <v>0.5665</v>
      </c>
      <c r="U10" s="49">
        <f t="shared" si="5"/>
        <v>0.94099999999999984</v>
      </c>
      <c r="V10" s="201">
        <f t="shared" ca="1" si="6"/>
        <v>19.789695060874354</v>
      </c>
      <c r="W10" s="201">
        <f t="shared" ca="1" si="7"/>
        <v>19.789695060874354</v>
      </c>
      <c r="X10" s="83">
        <f t="shared" si="8"/>
        <v>5.5218037881433082</v>
      </c>
      <c r="Y10" s="83">
        <f t="shared" si="9"/>
        <v>8.3434463235887861</v>
      </c>
      <c r="Z10" s="83">
        <f t="shared" si="10"/>
        <v>5.5218037881433082</v>
      </c>
      <c r="AA10" s="83">
        <f t="shared" si="11"/>
        <v>6.9864826514111638</v>
      </c>
      <c r="AB10" s="83">
        <f t="shared" si="12"/>
        <v>13.539695060874347</v>
      </c>
      <c r="AC10" s="83">
        <f t="shared" si="13"/>
        <v>3.4932413257055819</v>
      </c>
      <c r="AD10" s="83">
        <f t="shared" si="14"/>
        <v>3.7936474244880953</v>
      </c>
      <c r="AE10" s="83">
        <f t="shared" si="15"/>
        <v>5.118004733010503</v>
      </c>
      <c r="AF10" s="83">
        <f t="shared" si="16"/>
        <v>9.7891995290121532</v>
      </c>
      <c r="AG10" s="83">
        <f t="shared" si="17"/>
        <v>2.5590023665052515</v>
      </c>
      <c r="AH10" s="83">
        <f t="shared" si="18"/>
        <v>6.1367825984366258</v>
      </c>
      <c r="AI10" s="83">
        <f t="shared" si="19"/>
        <v>12.456519456004401</v>
      </c>
      <c r="AJ10" s="83">
        <f t="shared" si="20"/>
        <v>5.6054337552019797</v>
      </c>
      <c r="AK10" s="83">
        <f t="shared" si="21"/>
        <v>2.6619290751660167</v>
      </c>
      <c r="AL10" s="83">
        <f t="shared" si="22"/>
        <v>4.0805406957941193</v>
      </c>
      <c r="AM10" s="83">
        <f t="shared" si="23"/>
        <v>10.208930075899257</v>
      </c>
      <c r="AN10" s="83">
        <f t="shared" si="24"/>
        <v>9.5861041030990375</v>
      </c>
      <c r="AO10" s="83">
        <f t="shared" si="25"/>
        <v>3.3883790751660174</v>
      </c>
      <c r="AP10" s="83">
        <f t="shared" si="26"/>
        <v>1.9932321775318131</v>
      </c>
      <c r="AQ10" s="83">
        <f t="shared" si="27"/>
        <v>3.655717666436074</v>
      </c>
      <c r="AR10" s="83">
        <f t="shared" si="28"/>
        <v>8.0425788661593618</v>
      </c>
      <c r="AS10" s="83">
        <f t="shared" si="29"/>
        <v>1.827858833218037</v>
      </c>
      <c r="AT10" s="83">
        <f t="shared" si="30"/>
        <v>15.047072137465387</v>
      </c>
      <c r="AU10" s="83">
        <f t="shared" si="31"/>
        <v>1.5521603579136658</v>
      </c>
      <c r="AV10" s="83">
        <f t="shared" si="32"/>
        <v>2.1143306528361849</v>
      </c>
      <c r="AW10" s="83">
        <f t="shared" si="33"/>
        <v>0.7760801789568329</v>
      </c>
      <c r="AX10" s="83">
        <f t="shared" si="34"/>
        <v>2.5590023665052515</v>
      </c>
      <c r="AY10" s="83">
        <f t="shared" si="35"/>
        <v>5.4158780243497393</v>
      </c>
      <c r="AZ10" s="83">
        <f t="shared" si="36"/>
        <v>1.2795011832526257</v>
      </c>
      <c r="BA10" s="83">
        <f t="shared" si="37"/>
        <v>15.939695060874351</v>
      </c>
      <c r="BB10" s="83">
        <f t="shared" si="38"/>
        <v>3.020742850401211</v>
      </c>
      <c r="BC10" s="83">
        <f t="shared" si="39"/>
        <v>4.8987719785417685</v>
      </c>
      <c r="BD10" s="83">
        <f t="shared" si="40"/>
        <v>1.5103714252006055</v>
      </c>
      <c r="BE10" s="83">
        <f t="shared" si="41"/>
        <v>3.9400512627144346</v>
      </c>
      <c r="BF10" s="83">
        <f t="shared" si="42"/>
        <v>4.7118138811842725</v>
      </c>
      <c r="BG10" s="83">
        <f t="shared" si="43"/>
        <v>14.042871348630303</v>
      </c>
      <c r="BH10" s="83">
        <f t="shared" si="44"/>
        <v>7.7443889091172986</v>
      </c>
      <c r="BI10" s="83">
        <f t="shared" si="45"/>
        <v>2.8774665096707186</v>
      </c>
      <c r="BJ10" s="83">
        <f t="shared" si="46"/>
        <v>6.566752104524058</v>
      </c>
      <c r="BK10" s="83">
        <f t="shared" si="47"/>
        <v>3.5744794960708277</v>
      </c>
      <c r="BL10" s="83">
        <f t="shared" si="48"/>
        <v>6.0730238181931275</v>
      </c>
      <c r="BM10" s="83">
        <f t="shared" si="49"/>
        <v>7.0702934832041837</v>
      </c>
      <c r="BN10" s="83">
        <f t="shared" si="50"/>
        <v>0.62086414316546623</v>
      </c>
      <c r="BO10" s="83">
        <f t="shared" si="51"/>
        <v>2.4371451109573825</v>
      </c>
      <c r="BP10" s="83">
        <f t="shared" si="52"/>
        <v>0.92069926413945569</v>
      </c>
      <c r="BQ10" s="83">
        <f t="shared" si="53"/>
        <v>4.861606993566677</v>
      </c>
      <c r="BR10" s="83">
        <f t="shared" si="54"/>
        <v>10.354447848284416</v>
      </c>
      <c r="BS10" s="83">
        <f t="shared" si="55"/>
        <v>1.6118588332180375</v>
      </c>
      <c r="BT10" s="83">
        <f t="shared" si="56"/>
        <v>3.8452733972883144</v>
      </c>
      <c r="BU10" s="83">
        <f t="shared" si="57"/>
        <v>3.3036855948533406</v>
      </c>
      <c r="BV10" s="83">
        <f t="shared" si="58"/>
        <v>7.2525612526978298</v>
      </c>
      <c r="BW10" s="83">
        <f t="shared" si="59"/>
        <v>8.9091821274487817</v>
      </c>
      <c r="BX10" s="83">
        <f t="shared" si="60"/>
        <v>1.4447031023657964</v>
      </c>
      <c r="BY10" s="83">
        <f t="shared" si="61"/>
        <v>3.8452733972883144</v>
      </c>
      <c r="BZ10" s="83">
        <f t="shared" si="62"/>
        <v>3.3036855948533406</v>
      </c>
      <c r="CA10" s="83">
        <f t="shared" si="63"/>
        <v>10.057947583411716</v>
      </c>
      <c r="CB10" s="83">
        <f t="shared" si="64"/>
        <v>7.1760270794825445</v>
      </c>
      <c r="CC10" s="83">
        <f t="shared" si="65"/>
        <v>1.7670748690094038</v>
      </c>
      <c r="CD10" s="83">
        <f t="shared" si="66"/>
        <v>6.4715161947149866</v>
      </c>
      <c r="CE10" s="83">
        <f t="shared" si="67"/>
        <v>4.4845811267155371</v>
      </c>
      <c r="CF10" s="83">
        <f t="shared" si="68"/>
        <v>8.7800966385445207</v>
      </c>
      <c r="CG10" s="83">
        <f t="shared" si="69"/>
        <v>4.4845811267155371</v>
      </c>
      <c r="CH10" s="83">
        <f t="shared" si="70"/>
        <v>4.1234300229247216</v>
      </c>
      <c r="CI10" s="83">
        <f t="shared" si="71"/>
        <v>8.3454425383369877</v>
      </c>
      <c r="CJ10" s="83">
        <f t="shared" si="72"/>
        <v>4.1234300229247216</v>
      </c>
      <c r="CK10" s="83">
        <f t="shared" si="73"/>
        <v>3.9849237652185878</v>
      </c>
    </row>
    <row r="11" spans="1:89" x14ac:dyDescent="0.25">
      <c r="A11" t="str">
        <f>Plantilla!D12</f>
        <v>W. Gelifini</v>
      </c>
      <c r="B11" s="330">
        <f>Plantilla!E12</f>
        <v>34</v>
      </c>
      <c r="C11" s="120">
        <f ca="1">Plantilla!F12</f>
        <v>3</v>
      </c>
      <c r="D11" s="330">
        <f>Plantilla!G12</f>
        <v>0</v>
      </c>
      <c r="E11" s="273">
        <v>36526</v>
      </c>
      <c r="F11" s="120">
        <f>Plantilla!Q12</f>
        <v>6</v>
      </c>
      <c r="G11" s="147">
        <f t="shared" si="0"/>
        <v>0.92582009977255142</v>
      </c>
      <c r="H11" s="147">
        <f t="shared" si="1"/>
        <v>0.99928545900129484</v>
      </c>
      <c r="I11" s="200">
        <f>Plantilla!P12</f>
        <v>1.5</v>
      </c>
      <c r="J11" s="201">
        <f>Plantilla!I12</f>
        <v>4.5</v>
      </c>
      <c r="K11" s="49">
        <f>Plantilla!X12</f>
        <v>0</v>
      </c>
      <c r="L11" s="49">
        <f>Plantilla!Y12</f>
        <v>5.6515555555555519</v>
      </c>
      <c r="M11" s="49">
        <f>Plantilla!Z12</f>
        <v>8.9499999999999993</v>
      </c>
      <c r="N11" s="49">
        <f>Plantilla!AA12</f>
        <v>6.95</v>
      </c>
      <c r="O11" s="49">
        <f>Plantilla!AB12</f>
        <v>9.2666666666666639</v>
      </c>
      <c r="P11" s="49">
        <f>Plantilla!AC12</f>
        <v>2.95</v>
      </c>
      <c r="Q11" s="49">
        <f>Plantilla!AD12</f>
        <v>12.847222222222223</v>
      </c>
      <c r="R11" s="201">
        <f t="shared" si="2"/>
        <v>3.3981111111111098</v>
      </c>
      <c r="S11" s="201">
        <f t="shared" si="3"/>
        <v>9.6027717628135694</v>
      </c>
      <c r="T11" s="49">
        <f t="shared" si="4"/>
        <v>0.53291666666666671</v>
      </c>
      <c r="U11" s="49">
        <f t="shared" si="5"/>
        <v>0.61147888888888879</v>
      </c>
      <c r="V11" s="201">
        <f t="shared" ca="1" si="6"/>
        <v>13.626379692252028</v>
      </c>
      <c r="W11" s="201">
        <f t="shared" ca="1" si="7"/>
        <v>14.707655503097444</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2.6943861043713757</v>
      </c>
      <c r="AE11" s="83">
        <f t="shared" si="15"/>
        <v>3.0325071069427718</v>
      </c>
      <c r="AF11" s="83">
        <f t="shared" si="16"/>
        <v>5.8002715299460954</v>
      </c>
      <c r="AG11" s="83">
        <f t="shared" si="17"/>
        <v>1.5162535534713859</v>
      </c>
      <c r="AH11" s="83">
        <f t="shared" si="18"/>
        <v>4.358565757071343</v>
      </c>
      <c r="AI11" s="83">
        <f t="shared" si="19"/>
        <v>7.3807051280088629</v>
      </c>
      <c r="AJ11" s="83">
        <f t="shared" si="20"/>
        <v>3.3213173076039881</v>
      </c>
      <c r="AK11" s="83">
        <f t="shared" si="21"/>
        <v>1.89059865306731</v>
      </c>
      <c r="AL11" s="83">
        <f t="shared" si="22"/>
        <v>5.4807186107998689</v>
      </c>
      <c r="AM11" s="83">
        <f t="shared" si="23"/>
        <v>6.0489692027376982</v>
      </c>
      <c r="AN11" s="83">
        <f t="shared" si="24"/>
        <v>5.6799339463372549</v>
      </c>
      <c r="AO11" s="83">
        <f t="shared" si="25"/>
        <v>2.5414347641784212</v>
      </c>
      <c r="AP11" s="83">
        <f t="shared" si="26"/>
        <v>1.6614896052897317</v>
      </c>
      <c r="AQ11" s="83">
        <f t="shared" si="27"/>
        <v>2.1660765049591229</v>
      </c>
      <c r="AR11" s="83">
        <f t="shared" si="28"/>
        <v>4.7653683109100697</v>
      </c>
      <c r="AS11" s="83">
        <f t="shared" si="29"/>
        <v>1.0830382524795614</v>
      </c>
      <c r="AT11" s="83">
        <f t="shared" si="30"/>
        <v>10.686976817338564</v>
      </c>
      <c r="AU11" s="83">
        <f t="shared" si="31"/>
        <v>1.5128901690543926</v>
      </c>
      <c r="AV11" s="83">
        <f t="shared" si="32"/>
        <v>2.3170383553815674</v>
      </c>
      <c r="AW11" s="83">
        <f t="shared" si="33"/>
        <v>0.75644508452719628</v>
      </c>
      <c r="AX11" s="83">
        <f t="shared" si="34"/>
        <v>1.5162535534713859</v>
      </c>
      <c r="AY11" s="83">
        <f t="shared" si="35"/>
        <v>3.2090022295690712</v>
      </c>
      <c r="AZ11" s="83">
        <f t="shared" si="36"/>
        <v>0.75812677673569295</v>
      </c>
      <c r="BA11" s="83">
        <f t="shared" si="37"/>
        <v>11.320950018367125</v>
      </c>
      <c r="BB11" s="83">
        <f t="shared" si="38"/>
        <v>2.9443170213135486</v>
      </c>
      <c r="BC11" s="83">
        <f t="shared" si="39"/>
        <v>5.0858267934536183</v>
      </c>
      <c r="BD11" s="83">
        <f t="shared" si="40"/>
        <v>1.4721585106567743</v>
      </c>
      <c r="BE11" s="83">
        <f t="shared" si="41"/>
        <v>2.3345491220114991</v>
      </c>
      <c r="BF11" s="83">
        <f t="shared" si="42"/>
        <v>2.7918319397250912</v>
      </c>
      <c r="BG11" s="83">
        <f t="shared" si="43"/>
        <v>9.9737569661814369</v>
      </c>
      <c r="BH11" s="83">
        <f t="shared" si="44"/>
        <v>9.0160745663283723</v>
      </c>
      <c r="BI11" s="83">
        <f t="shared" si="45"/>
        <v>2.8046656210931431</v>
      </c>
      <c r="BJ11" s="83">
        <f t="shared" si="46"/>
        <v>3.8909152033524985</v>
      </c>
      <c r="BK11" s="83">
        <f t="shared" si="47"/>
        <v>2.1179414715155866</v>
      </c>
      <c r="BL11" s="83">
        <f t="shared" si="48"/>
        <v>4.3132819569978746</v>
      </c>
      <c r="BM11" s="83">
        <f t="shared" si="49"/>
        <v>8.6121603160528668</v>
      </c>
      <c r="BN11" s="83">
        <f t="shared" si="50"/>
        <v>0.605156067621757</v>
      </c>
      <c r="BO11" s="83">
        <f t="shared" si="51"/>
        <v>1.4440510033060818</v>
      </c>
      <c r="BP11" s="83">
        <f t="shared" si="52"/>
        <v>0.54553037902674206</v>
      </c>
      <c r="BQ11" s="83">
        <f t="shared" si="53"/>
        <v>3.4528897556019729</v>
      </c>
      <c r="BR11" s="83">
        <f t="shared" si="54"/>
        <v>12.649308390286787</v>
      </c>
      <c r="BS11" s="83">
        <f t="shared" si="55"/>
        <v>1.5710782524795617</v>
      </c>
      <c r="BT11" s="83">
        <f t="shared" si="56"/>
        <v>2.2783915829940402</v>
      </c>
      <c r="BU11" s="83">
        <f t="shared" si="57"/>
        <v>1.9574913600371331</v>
      </c>
      <c r="BV11" s="83">
        <f t="shared" si="58"/>
        <v>5.1510322583570423</v>
      </c>
      <c r="BW11" s="83">
        <f t="shared" si="59"/>
        <v>10.89287928701744</v>
      </c>
      <c r="BX11" s="83">
        <f t="shared" si="60"/>
        <v>1.4081516188890884</v>
      </c>
      <c r="BY11" s="83">
        <f t="shared" si="61"/>
        <v>2.2783915829940402</v>
      </c>
      <c r="BZ11" s="83">
        <f t="shared" si="62"/>
        <v>1.9574913600371331</v>
      </c>
      <c r="CA11" s="83">
        <f t="shared" si="63"/>
        <v>7.1435194615896558</v>
      </c>
      <c r="CB11" s="83">
        <f t="shared" si="64"/>
        <v>8.7893669331052422</v>
      </c>
      <c r="CC11" s="83">
        <f t="shared" si="65"/>
        <v>1.7223672693850007</v>
      </c>
      <c r="CD11" s="83">
        <f t="shared" si="66"/>
        <v>4.596305707457053</v>
      </c>
      <c r="CE11" s="83">
        <f t="shared" si="67"/>
        <v>4.9273816262359373</v>
      </c>
      <c r="CF11" s="83">
        <f t="shared" si="68"/>
        <v>9.4213397206813809</v>
      </c>
      <c r="CG11" s="83">
        <f t="shared" si="69"/>
        <v>4.9273816262359373</v>
      </c>
      <c r="CH11" s="83">
        <f t="shared" si="70"/>
        <v>4.9659185281093858</v>
      </c>
      <c r="CI11" s="83">
        <f t="shared" si="71"/>
        <v>9.6152305751445937</v>
      </c>
      <c r="CJ11" s="83">
        <f t="shared" si="72"/>
        <v>4.9659185281093858</v>
      </c>
      <c r="CK11" s="83">
        <f t="shared" si="73"/>
        <v>2.8302375045917811</v>
      </c>
    </row>
    <row r="12" spans="1:89" x14ac:dyDescent="0.25">
      <c r="A12" t="str">
        <f>Plantilla!D13</f>
        <v>I. Vanags</v>
      </c>
      <c r="B12" s="330">
        <f>Plantilla!E13</f>
        <v>18</v>
      </c>
      <c r="C12" s="120">
        <f ca="1">Plantilla!F13</f>
        <v>73</v>
      </c>
      <c r="D12" s="330" t="str">
        <f>Plantilla!G13</f>
        <v>CAB</v>
      </c>
      <c r="E12" s="273">
        <f>Plantilla!O13</f>
        <v>43626</v>
      </c>
      <c r="F12" s="120">
        <f>Plantilla!Q13</f>
        <v>5</v>
      </c>
      <c r="G12" s="147">
        <f t="shared" si="0"/>
        <v>0.84515425472851657</v>
      </c>
      <c r="H12" s="147">
        <f t="shared" si="1"/>
        <v>0.92504826128926143</v>
      </c>
      <c r="I12" s="200">
        <f ca="1">Plantilla!P13</f>
        <v>0.15364458747949647</v>
      </c>
      <c r="J12" s="201">
        <f>Plantilla!I13</f>
        <v>0.4</v>
      </c>
      <c r="K12" s="49">
        <f>Plantilla!X13</f>
        <v>0</v>
      </c>
      <c r="L12" s="49">
        <f>Plantilla!Y13</f>
        <v>4</v>
      </c>
      <c r="M12" s="49">
        <f>Plantilla!Z13</f>
        <v>7.6</v>
      </c>
      <c r="N12" s="49">
        <f>Plantilla!AA13</f>
        <v>3</v>
      </c>
      <c r="O12" s="49">
        <f>Plantilla!AB13</f>
        <v>4</v>
      </c>
      <c r="P12" s="49">
        <f>Plantilla!AC13</f>
        <v>7</v>
      </c>
      <c r="Q12" s="49">
        <f>Plantilla!AD13</f>
        <v>6</v>
      </c>
      <c r="R12" s="201">
        <f t="shared" si="2"/>
        <v>1.875</v>
      </c>
      <c r="S12" s="201">
        <f t="shared" ca="1" si="3"/>
        <v>6.4869579794427494</v>
      </c>
      <c r="T12" s="49">
        <f t="shared" si="4"/>
        <v>0.53</v>
      </c>
      <c r="U12" s="49">
        <f t="shared" si="5"/>
        <v>0.33999999999999997</v>
      </c>
      <c r="V12" s="201">
        <f t="shared" ca="1" si="6"/>
        <v>4.8181131388722536</v>
      </c>
      <c r="W12" s="201">
        <f t="shared" ca="1" si="7"/>
        <v>5.2735783519665453</v>
      </c>
      <c r="X12" s="83">
        <f t="shared" ca="1" si="8"/>
        <v>0.77492955477534875</v>
      </c>
      <c r="Y12" s="83">
        <f t="shared" ca="1" si="9"/>
        <v>1.2133677608418958</v>
      </c>
      <c r="Z12" s="83">
        <f t="shared" ca="1" si="10"/>
        <v>0.77492955477534875</v>
      </c>
      <c r="AA12" s="83">
        <f t="shared" ca="1" si="11"/>
        <v>1.8694978811730583</v>
      </c>
      <c r="AB12" s="83">
        <f t="shared" ca="1" si="12"/>
        <v>3.6230579092501127</v>
      </c>
      <c r="AC12" s="83">
        <f t="shared" ca="1" si="13"/>
        <v>0.93474894058652913</v>
      </c>
      <c r="AD12" s="83">
        <f t="shared" ca="1" si="14"/>
        <v>1.7190877824015267</v>
      </c>
      <c r="AE12" s="83">
        <f t="shared" ca="1" si="15"/>
        <v>1.3695158896965427</v>
      </c>
      <c r="AF12" s="83">
        <f t="shared" ca="1" si="16"/>
        <v>2.6194708683878316</v>
      </c>
      <c r="AG12" s="83">
        <f t="shared" ca="1" si="17"/>
        <v>0.68475794484827135</v>
      </c>
      <c r="AH12" s="83">
        <f t="shared" ca="1" si="18"/>
        <v>2.7808772950612934</v>
      </c>
      <c r="AI12" s="83">
        <f t="shared" ca="1" si="19"/>
        <v>3.3332132765101039</v>
      </c>
      <c r="AJ12" s="83">
        <f t="shared" ca="1" si="20"/>
        <v>1.4999459744295467</v>
      </c>
      <c r="AK12" s="83">
        <f t="shared" ca="1" si="21"/>
        <v>1.2062506708447689</v>
      </c>
      <c r="AL12" s="83">
        <f t="shared" ca="1" si="22"/>
        <v>1.5423580506390664</v>
      </c>
      <c r="AM12" s="83">
        <f t="shared" ca="1" si="23"/>
        <v>2.731785663574585</v>
      </c>
      <c r="AN12" s="83">
        <f t="shared" ca="1" si="24"/>
        <v>2.5651249997490795</v>
      </c>
      <c r="AO12" s="83">
        <f t="shared" ca="1" si="25"/>
        <v>0.9390506708447689</v>
      </c>
      <c r="AP12" s="83">
        <f t="shared" ca="1" si="26"/>
        <v>0.43144067786403256</v>
      </c>
      <c r="AQ12" s="83">
        <f t="shared" ca="1" si="27"/>
        <v>0.9782256354975305</v>
      </c>
      <c r="AR12" s="83">
        <f t="shared" ca="1" si="28"/>
        <v>2.1520963980945669</v>
      </c>
      <c r="AS12" s="83">
        <f t="shared" ca="1" si="29"/>
        <v>0.48911281774876525</v>
      </c>
      <c r="AT12" s="83">
        <f t="shared" ca="1" si="30"/>
        <v>6.8185666663321056</v>
      </c>
      <c r="AU12" s="83">
        <f t="shared" ca="1" si="31"/>
        <v>0.47099752820251467</v>
      </c>
      <c r="AV12" s="83">
        <f t="shared" ca="1" si="32"/>
        <v>1.5805559674102829</v>
      </c>
      <c r="AW12" s="83">
        <f t="shared" ca="1" si="33"/>
        <v>0.23549876410125734</v>
      </c>
      <c r="AX12" s="83">
        <f t="shared" ca="1" si="34"/>
        <v>0.68475794484827135</v>
      </c>
      <c r="AY12" s="83">
        <f t="shared" ca="1" si="35"/>
        <v>1.4492231637000452</v>
      </c>
      <c r="AZ12" s="83">
        <f t="shared" ca="1" si="36"/>
        <v>0.34237897242413567</v>
      </c>
      <c r="BA12" s="83">
        <f t="shared" ca="1" si="37"/>
        <v>7.2230579092501124</v>
      </c>
      <c r="BB12" s="83">
        <f t="shared" ca="1" si="38"/>
        <v>0.9166336510402785</v>
      </c>
      <c r="BC12" s="83">
        <f t="shared" ca="1" si="39"/>
        <v>2.6263049079968122</v>
      </c>
      <c r="BD12" s="83">
        <f t="shared" ca="1" si="40"/>
        <v>0.45831682552013925</v>
      </c>
      <c r="BE12" s="83">
        <f t="shared" ca="1" si="41"/>
        <v>1.0543098515917828</v>
      </c>
      <c r="BF12" s="83">
        <f t="shared" ca="1" si="42"/>
        <v>1.2608241524190391</v>
      </c>
      <c r="BG12" s="83">
        <f t="shared" ca="1" si="43"/>
        <v>6.363514018049349</v>
      </c>
      <c r="BH12" s="83">
        <f t="shared" ca="1" si="44"/>
        <v>2.6468984813233503</v>
      </c>
      <c r="BI12" s="83">
        <f t="shared" ca="1" si="45"/>
        <v>0.87315695612927713</v>
      </c>
      <c r="BJ12" s="83">
        <f t="shared" ca="1" si="46"/>
        <v>1.7571830859863047</v>
      </c>
      <c r="BK12" s="83">
        <f t="shared" ca="1" si="47"/>
        <v>0.95648728804202976</v>
      </c>
      <c r="BL12" s="83">
        <f t="shared" ca="1" si="48"/>
        <v>2.7519850634242928</v>
      </c>
      <c r="BM12" s="83">
        <f t="shared" ca="1" si="49"/>
        <v>2.4935526126845993</v>
      </c>
      <c r="BN12" s="83">
        <f t="shared" ca="1" si="50"/>
        <v>0.18839901128100586</v>
      </c>
      <c r="BO12" s="83">
        <f t="shared" ca="1" si="51"/>
        <v>0.6521504236650203</v>
      </c>
      <c r="BP12" s="83">
        <f t="shared" ca="1" si="52"/>
        <v>0.24636793782900768</v>
      </c>
      <c r="BQ12" s="83">
        <f t="shared" ca="1" si="53"/>
        <v>2.2030326623212844</v>
      </c>
      <c r="BR12" s="83">
        <f t="shared" ca="1" si="54"/>
        <v>3.6592524712956456</v>
      </c>
      <c r="BS12" s="83">
        <f t="shared" ca="1" si="55"/>
        <v>0.48911281774876525</v>
      </c>
      <c r="BT12" s="83">
        <f t="shared" ca="1" si="56"/>
        <v>1.028948446227032</v>
      </c>
      <c r="BU12" s="83">
        <f t="shared" ca="1" si="57"/>
        <v>0.88402612985702744</v>
      </c>
      <c r="BV12" s="83">
        <f t="shared" ca="1" si="58"/>
        <v>3.2864913487088012</v>
      </c>
      <c r="BW12" s="83">
        <f t="shared" ca="1" si="59"/>
        <v>3.150348163449125</v>
      </c>
      <c r="BX12" s="83">
        <f t="shared" ca="1" si="60"/>
        <v>0.43839000701926362</v>
      </c>
      <c r="BY12" s="83">
        <f t="shared" ca="1" si="61"/>
        <v>1.028948446227032</v>
      </c>
      <c r="BZ12" s="83">
        <f t="shared" ca="1" si="62"/>
        <v>0.88402612985702744</v>
      </c>
      <c r="CA12" s="83">
        <f t="shared" ca="1" si="63"/>
        <v>4.5577495407368209</v>
      </c>
      <c r="CB12" s="83">
        <f t="shared" ca="1" si="64"/>
        <v>2.540636828778851</v>
      </c>
      <c r="CC12" s="83">
        <f t="shared" ca="1" si="65"/>
        <v>0.53621257056901661</v>
      </c>
      <c r="CD12" s="83">
        <f t="shared" ca="1" si="66"/>
        <v>2.9325615111555456</v>
      </c>
      <c r="CE12" s="83">
        <f t="shared" ca="1" si="67"/>
        <v>2.124613170719309</v>
      </c>
      <c r="CF12" s="83">
        <f t="shared" ca="1" si="68"/>
        <v>5.8285632058156267</v>
      </c>
      <c r="CG12" s="83">
        <f t="shared" ca="1" si="69"/>
        <v>2.124613170719309</v>
      </c>
      <c r="CH12" s="83">
        <f t="shared" ca="1" si="70"/>
        <v>3.0362174847181516</v>
      </c>
      <c r="CI12" s="83">
        <f t="shared" ca="1" si="71"/>
        <v>7.9599662777634048</v>
      </c>
      <c r="CJ12" s="83">
        <f t="shared" ca="1" si="72"/>
        <v>3.0362174847181516</v>
      </c>
      <c r="CK12" s="83">
        <f t="shared" ca="1" si="73"/>
        <v>1.8057644773125281</v>
      </c>
    </row>
    <row r="13" spans="1:89" x14ac:dyDescent="0.25">
      <c r="A13" t="str">
        <f>Plantilla!D14</f>
        <v>I. Stone</v>
      </c>
      <c r="B13" s="330">
        <f>Plantilla!E14</f>
        <v>18</v>
      </c>
      <c r="C13" s="120">
        <f ca="1">Plantilla!F14</f>
        <v>16</v>
      </c>
      <c r="D13" s="330" t="str">
        <f>Plantilla!G14</f>
        <v>RAP</v>
      </c>
      <c r="E13" s="273">
        <f>Plantilla!O14</f>
        <v>43633</v>
      </c>
      <c r="F13" s="120">
        <f>Plantilla!Q14</f>
        <v>5</v>
      </c>
      <c r="G13" s="147">
        <f t="shared" si="0"/>
        <v>0.84515425472851657</v>
      </c>
      <c r="H13" s="147">
        <f t="shared" si="1"/>
        <v>0.92504826128926143</v>
      </c>
      <c r="I13" s="200">
        <f ca="1">Plantilla!P14</f>
        <v>0.11210737430592951</v>
      </c>
      <c r="J13" s="201">
        <f>Plantilla!I14</f>
        <v>1.2</v>
      </c>
      <c r="K13" s="49">
        <f>Plantilla!X14</f>
        <v>0</v>
      </c>
      <c r="L13" s="49">
        <f>Plantilla!Y14</f>
        <v>3</v>
      </c>
      <c r="M13" s="49">
        <f>Plantilla!Z14</f>
        <v>6</v>
      </c>
      <c r="N13" s="49">
        <f>Plantilla!AA14</f>
        <v>2</v>
      </c>
      <c r="O13" s="49">
        <f>Plantilla!AB14</f>
        <v>6</v>
      </c>
      <c r="P13" s="49">
        <f>Plantilla!AC14</f>
        <v>9</v>
      </c>
      <c r="Q13" s="49">
        <f>Plantilla!AD14</f>
        <v>2</v>
      </c>
      <c r="R13" s="201">
        <f t="shared" si="2"/>
        <v>2.25</v>
      </c>
      <c r="S13" s="201">
        <f t="shared" ca="1" si="3"/>
        <v>8.9210780355697725</v>
      </c>
      <c r="T13" s="49">
        <f t="shared" si="4"/>
        <v>0.51</v>
      </c>
      <c r="U13" s="49">
        <f t="shared" si="5"/>
        <v>0.18000000000000002</v>
      </c>
      <c r="V13" s="201">
        <f t="shared" ca="1" si="6"/>
        <v>1.9324551009064734</v>
      </c>
      <c r="W13" s="201">
        <f t="shared" ca="1" si="7"/>
        <v>2.1151336825338722</v>
      </c>
      <c r="X13" s="83">
        <f t="shared" ca="1" si="8"/>
        <v>1.0180367081685118</v>
      </c>
      <c r="Y13" s="83">
        <f t="shared" ca="1" si="9"/>
        <v>1.5560279384255999</v>
      </c>
      <c r="Z13" s="83">
        <f t="shared" ca="1" si="10"/>
        <v>1.0180367081685118</v>
      </c>
      <c r="AA13" s="83">
        <f t="shared" ca="1" si="11"/>
        <v>1.6603241024226254</v>
      </c>
      <c r="AB13" s="83">
        <f t="shared" ca="1" si="12"/>
        <v>3.2176823690360958</v>
      </c>
      <c r="AC13" s="83">
        <f t="shared" ca="1" si="13"/>
        <v>0.8301620512113127</v>
      </c>
      <c r="AD13" s="83">
        <f t="shared" ca="1" si="14"/>
        <v>1.4798084038305908</v>
      </c>
      <c r="AE13" s="83">
        <f t="shared" ca="1" si="15"/>
        <v>1.2162839354956443</v>
      </c>
      <c r="AF13" s="83">
        <f t="shared" ca="1" si="16"/>
        <v>2.3263843528130974</v>
      </c>
      <c r="AG13" s="83">
        <f t="shared" ca="1" si="17"/>
        <v>0.60814196774782214</v>
      </c>
      <c r="AH13" s="83">
        <f t="shared" ca="1" si="18"/>
        <v>2.393807712078897</v>
      </c>
      <c r="AI13" s="83">
        <f t="shared" ca="1" si="19"/>
        <v>2.9602677795132082</v>
      </c>
      <c r="AJ13" s="83">
        <f t="shared" ca="1" si="20"/>
        <v>1.3321205007809436</v>
      </c>
      <c r="AK13" s="83">
        <f t="shared" ca="1" si="21"/>
        <v>1.0383529556290281</v>
      </c>
      <c r="AL13" s="83">
        <f t="shared" ca="1" si="22"/>
        <v>1.3039972329932243</v>
      </c>
      <c r="AM13" s="83">
        <f t="shared" ca="1" si="23"/>
        <v>2.4261325062532162</v>
      </c>
      <c r="AN13" s="83">
        <f t="shared" ca="1" si="24"/>
        <v>2.2781191172775559</v>
      </c>
      <c r="AO13" s="83">
        <f t="shared" ca="1" si="25"/>
        <v>0.37035295562902804</v>
      </c>
      <c r="AP13" s="83">
        <f t="shared" ca="1" si="26"/>
        <v>0.71069252228239554</v>
      </c>
      <c r="AQ13" s="83">
        <f t="shared" ca="1" si="27"/>
        <v>0.86877423963974598</v>
      </c>
      <c r="AR13" s="83">
        <f t="shared" ca="1" si="28"/>
        <v>1.9113033272074409</v>
      </c>
      <c r="AS13" s="83">
        <f t="shared" ca="1" si="29"/>
        <v>0.43438711981987299</v>
      </c>
      <c r="AT13" s="83">
        <f t="shared" ca="1" si="30"/>
        <v>5.8694921563700744</v>
      </c>
      <c r="AU13" s="83">
        <f t="shared" ca="1" si="31"/>
        <v>0.8082987079746925</v>
      </c>
      <c r="AV13" s="83">
        <f t="shared" ca="1" si="32"/>
        <v>2.3407809341275758</v>
      </c>
      <c r="AW13" s="83">
        <f t="shared" ca="1" si="33"/>
        <v>0.40414935398734625</v>
      </c>
      <c r="AX13" s="83">
        <f t="shared" ca="1" si="34"/>
        <v>0.60814196774782214</v>
      </c>
      <c r="AY13" s="83">
        <f t="shared" ca="1" si="35"/>
        <v>1.2870729476144385</v>
      </c>
      <c r="AZ13" s="83">
        <f t="shared" ca="1" si="36"/>
        <v>0.30407098387391107</v>
      </c>
      <c r="BA13" s="83">
        <f t="shared" ca="1" si="37"/>
        <v>6.2176823690360958</v>
      </c>
      <c r="BB13" s="83">
        <f t="shared" ca="1" si="38"/>
        <v>1.5730736393661322</v>
      </c>
      <c r="BC13" s="83">
        <f t="shared" ca="1" si="39"/>
        <v>4.0559429853388895</v>
      </c>
      <c r="BD13" s="83">
        <f t="shared" ca="1" si="40"/>
        <v>0.7865368196830661</v>
      </c>
      <c r="BE13" s="83">
        <f t="shared" ca="1" si="41"/>
        <v>0.93634556938950386</v>
      </c>
      <c r="BF13" s="83">
        <f t="shared" ca="1" si="42"/>
        <v>1.1197534644245613</v>
      </c>
      <c r="BG13" s="83">
        <f t="shared" ca="1" si="43"/>
        <v>5.4777781671208006</v>
      </c>
      <c r="BH13" s="83">
        <f t="shared" ca="1" si="44"/>
        <v>3.231519626073089</v>
      </c>
      <c r="BI13" s="83">
        <f t="shared" ca="1" si="45"/>
        <v>1.498461450937699</v>
      </c>
      <c r="BJ13" s="83">
        <f t="shared" ca="1" si="46"/>
        <v>1.5605759489825064</v>
      </c>
      <c r="BK13" s="83">
        <f t="shared" ca="1" si="47"/>
        <v>0.84946814542552929</v>
      </c>
      <c r="BL13" s="83">
        <f t="shared" ca="1" si="48"/>
        <v>2.3689369826027526</v>
      </c>
      <c r="BM13" s="83">
        <f t="shared" ca="1" si="49"/>
        <v>2.742254390537548</v>
      </c>
      <c r="BN13" s="83">
        <f t="shared" ca="1" si="50"/>
        <v>0.32331948318987697</v>
      </c>
      <c r="BO13" s="83">
        <f t="shared" ca="1" si="51"/>
        <v>0.57918282642649721</v>
      </c>
      <c r="BP13" s="83">
        <f t="shared" ca="1" si="52"/>
        <v>0.21880240109445454</v>
      </c>
      <c r="BQ13" s="83">
        <f t="shared" ca="1" si="53"/>
        <v>1.8963931225560091</v>
      </c>
      <c r="BR13" s="83">
        <f t="shared" ca="1" si="54"/>
        <v>3.9959395265804192</v>
      </c>
      <c r="BS13" s="83">
        <f t="shared" ca="1" si="55"/>
        <v>0.83938711981987302</v>
      </c>
      <c r="BT13" s="83">
        <f t="shared" ca="1" si="56"/>
        <v>0.91382179280625109</v>
      </c>
      <c r="BU13" s="83">
        <f t="shared" ca="1" si="57"/>
        <v>0.78511449804480737</v>
      </c>
      <c r="BV13" s="83">
        <f t="shared" ca="1" si="58"/>
        <v>2.8290454779114236</v>
      </c>
      <c r="BW13" s="83">
        <f t="shared" ca="1" si="59"/>
        <v>3.433192064891994</v>
      </c>
      <c r="BX13" s="83">
        <f t="shared" ca="1" si="60"/>
        <v>0.75233956665336754</v>
      </c>
      <c r="BY13" s="83">
        <f t="shared" ca="1" si="61"/>
        <v>0.91382179280625109</v>
      </c>
      <c r="BZ13" s="83">
        <f t="shared" ca="1" si="62"/>
        <v>0.78511449804480737</v>
      </c>
      <c r="CA13" s="83">
        <f t="shared" ca="1" si="63"/>
        <v>3.9233575748617766</v>
      </c>
      <c r="CB13" s="83">
        <f t="shared" ca="1" si="64"/>
        <v>2.7568257202873054</v>
      </c>
      <c r="CC13" s="83">
        <f t="shared" ca="1" si="65"/>
        <v>0.92021699061734219</v>
      </c>
      <c r="CD13" s="83">
        <f t="shared" ca="1" si="66"/>
        <v>2.5243790418286549</v>
      </c>
      <c r="CE13" s="83">
        <f t="shared" ca="1" si="67"/>
        <v>3.044412514267806</v>
      </c>
      <c r="CF13" s="83">
        <f t="shared" ca="1" si="68"/>
        <v>8.750110347534644</v>
      </c>
      <c r="CG13" s="83">
        <f t="shared" ca="1" si="69"/>
        <v>3.044412514267806</v>
      </c>
      <c r="CH13" s="83">
        <f t="shared" ca="1" si="70"/>
        <v>4.000468198589946</v>
      </c>
      <c r="CI13" s="83">
        <f t="shared" ca="1" si="71"/>
        <v>11.512007163210415</v>
      </c>
      <c r="CJ13" s="83">
        <f t="shared" ca="1" si="72"/>
        <v>4.000468198589946</v>
      </c>
      <c r="CK13" s="83">
        <f t="shared" ca="1" si="73"/>
        <v>1.554420592259024</v>
      </c>
    </row>
    <row r="14" spans="1:89" x14ac:dyDescent="0.25">
      <c r="A14" t="str">
        <f>Plantilla!D15</f>
        <v>G. Piscaer</v>
      </c>
      <c r="B14" s="330">
        <f>Plantilla!E15</f>
        <v>18</v>
      </c>
      <c r="C14" s="120">
        <f ca="1">Plantilla!F15</f>
        <v>89</v>
      </c>
      <c r="D14" s="330" t="str">
        <f>Plantilla!G15</f>
        <v>IMP</v>
      </c>
      <c r="E14" s="273">
        <f>Plantilla!O15</f>
        <v>43630</v>
      </c>
      <c r="F14" s="120">
        <f>Plantilla!Q15</f>
        <v>5</v>
      </c>
      <c r="G14" s="147">
        <f t="shared" si="0"/>
        <v>0.84515425472851657</v>
      </c>
      <c r="H14" s="147">
        <f t="shared" si="1"/>
        <v>0.92504826128926143</v>
      </c>
      <c r="I14" s="200">
        <f ca="1">Plantilla!P15</f>
        <v>0.13081718674960124</v>
      </c>
      <c r="J14" s="201">
        <f>Plantilla!I15</f>
        <v>1.8</v>
      </c>
      <c r="K14" s="49">
        <f>Plantilla!X15</f>
        <v>0</v>
      </c>
      <c r="L14" s="49">
        <f>Plantilla!Y15</f>
        <v>4</v>
      </c>
      <c r="M14" s="49">
        <f>Plantilla!Z15</f>
        <v>8.4</v>
      </c>
      <c r="N14" s="49">
        <f>Plantilla!AA15</f>
        <v>3</v>
      </c>
      <c r="O14" s="49">
        <f>Plantilla!AB15</f>
        <v>2</v>
      </c>
      <c r="P14" s="49">
        <f>Plantilla!AC15</f>
        <v>8</v>
      </c>
      <c r="Q14" s="49">
        <f>Plantilla!AD15</f>
        <v>0</v>
      </c>
      <c r="R14" s="201">
        <f t="shared" si="2"/>
        <v>1.375</v>
      </c>
      <c r="S14" s="201">
        <f t="shared" ca="1" si="3"/>
        <v>6.7213089644210271</v>
      </c>
      <c r="T14" s="49">
        <f t="shared" si="4"/>
        <v>0.4</v>
      </c>
      <c r="U14" s="49">
        <f t="shared" si="5"/>
        <v>0.16</v>
      </c>
      <c r="V14" s="201">
        <f t="shared" ca="1" si="6"/>
        <v>0.46017591490661003</v>
      </c>
      <c r="W14" s="201">
        <f t="shared" ca="1" si="7"/>
        <v>0.50367720163497809</v>
      </c>
      <c r="X14" s="83">
        <f t="shared" ca="1" si="8"/>
        <v>1.5153405999726501</v>
      </c>
      <c r="Y14" s="83">
        <f t="shared" ca="1" si="9"/>
        <v>2.3082940602115594</v>
      </c>
      <c r="Z14" s="83">
        <f t="shared" ca="1" si="10"/>
        <v>1.5153405999726501</v>
      </c>
      <c r="AA14" s="83">
        <f t="shared" ca="1" si="11"/>
        <v>2.3071291518738688</v>
      </c>
      <c r="AB14" s="83">
        <f t="shared" ca="1" si="12"/>
        <v>4.4711805268873421</v>
      </c>
      <c r="AC14" s="83">
        <f t="shared" ca="1" si="13"/>
        <v>1.1535645759369344</v>
      </c>
      <c r="AD14" s="83">
        <f t="shared" ca="1" si="14"/>
        <v>2.1113409653991875</v>
      </c>
      <c r="AE14" s="83">
        <f t="shared" ca="1" si="15"/>
        <v>1.6901062391634154</v>
      </c>
      <c r="AF14" s="83">
        <f t="shared" ca="1" si="16"/>
        <v>3.2326635209395485</v>
      </c>
      <c r="AG14" s="83">
        <f t="shared" ca="1" si="17"/>
        <v>0.8450531195817077</v>
      </c>
      <c r="AH14" s="83">
        <f t="shared" ca="1" si="18"/>
        <v>3.4154045028516271</v>
      </c>
      <c r="AI14" s="83">
        <f t="shared" ca="1" si="19"/>
        <v>4.1134860847363548</v>
      </c>
      <c r="AJ14" s="83">
        <f t="shared" ca="1" si="20"/>
        <v>1.8510687381313595</v>
      </c>
      <c r="AK14" s="83">
        <f t="shared" ca="1" si="21"/>
        <v>1.4814871479901863</v>
      </c>
      <c r="AL14" s="83">
        <f t="shared" ca="1" si="22"/>
        <v>2.0410541498097574</v>
      </c>
      <c r="AM14" s="83">
        <f t="shared" ca="1" si="23"/>
        <v>3.3712701172730561</v>
      </c>
      <c r="AN14" s="83">
        <f t="shared" ca="1" si="24"/>
        <v>3.165595813036238</v>
      </c>
      <c r="AO14" s="83">
        <f t="shared" ca="1" si="25"/>
        <v>7.8687147990186238E-2</v>
      </c>
      <c r="AP14" s="83">
        <f t="shared" ca="1" si="26"/>
        <v>0.53169999174355465</v>
      </c>
      <c r="AQ14" s="83">
        <f t="shared" ca="1" si="27"/>
        <v>1.2072187422595824</v>
      </c>
      <c r="AR14" s="83">
        <f t="shared" ca="1" si="28"/>
        <v>2.655881232971081</v>
      </c>
      <c r="AS14" s="83">
        <f t="shared" ca="1" si="29"/>
        <v>0.60360937112979118</v>
      </c>
      <c r="AT14" s="83">
        <f t="shared" ca="1" si="30"/>
        <v>8.3743944173816516</v>
      </c>
      <c r="AU14" s="83">
        <f t="shared" ca="1" si="31"/>
        <v>0.32125346849535452</v>
      </c>
      <c r="AV14" s="83">
        <f t="shared" ca="1" si="32"/>
        <v>1.7620558943779914</v>
      </c>
      <c r="AW14" s="83">
        <f t="shared" ca="1" si="33"/>
        <v>0.16062673424767726</v>
      </c>
      <c r="AX14" s="83">
        <f t="shared" ca="1" si="34"/>
        <v>0.8450531195817077</v>
      </c>
      <c r="AY14" s="83">
        <f t="shared" ca="1" si="35"/>
        <v>1.7884722107549369</v>
      </c>
      <c r="AZ14" s="83">
        <f t="shared" ca="1" si="36"/>
        <v>0.42252655979085385</v>
      </c>
      <c r="BA14" s="83">
        <f t="shared" ca="1" si="37"/>
        <v>8.8711805268873434</v>
      </c>
      <c r="BB14" s="83">
        <f t="shared" ca="1" si="38"/>
        <v>0.62520867330249763</v>
      </c>
      <c r="BC14" s="83">
        <f t="shared" ca="1" si="39"/>
        <v>2.6216204703149257</v>
      </c>
      <c r="BD14" s="83">
        <f t="shared" ca="1" si="40"/>
        <v>0.31260433665124882</v>
      </c>
      <c r="BE14" s="83">
        <f t="shared" ca="1" si="41"/>
        <v>1.3011135333242165</v>
      </c>
      <c r="BF14" s="83">
        <f t="shared" ca="1" si="42"/>
        <v>1.555970823356795</v>
      </c>
      <c r="BG14" s="83">
        <f t="shared" ca="1" si="43"/>
        <v>7.8155100441877492</v>
      </c>
      <c r="BH14" s="83">
        <f t="shared" ca="1" si="44"/>
        <v>2.7708794884028474</v>
      </c>
      <c r="BI14" s="83">
        <f t="shared" ca="1" si="45"/>
        <v>0.59555450697984957</v>
      </c>
      <c r="BJ14" s="83">
        <f t="shared" ca="1" si="46"/>
        <v>2.1685225555403607</v>
      </c>
      <c r="BK14" s="83">
        <f t="shared" ca="1" si="47"/>
        <v>1.1803916590982584</v>
      </c>
      <c r="BL14" s="83">
        <f t="shared" ca="1" si="48"/>
        <v>3.379919780744078</v>
      </c>
      <c r="BM14" s="83">
        <f t="shared" ca="1" si="49"/>
        <v>2.8328117804995379</v>
      </c>
      <c r="BN14" s="83">
        <f t="shared" ca="1" si="50"/>
        <v>0.12850138739814182</v>
      </c>
      <c r="BO14" s="83">
        <f t="shared" ca="1" si="51"/>
        <v>0.8048124948397215</v>
      </c>
      <c r="BP14" s="83">
        <f t="shared" ca="1" si="52"/>
        <v>0.30404027582833931</v>
      </c>
      <c r="BQ14" s="83">
        <f t="shared" ca="1" si="53"/>
        <v>2.7057100607006395</v>
      </c>
      <c r="BR14" s="83">
        <f t="shared" ca="1" si="54"/>
        <v>4.1779381575771222</v>
      </c>
      <c r="BS14" s="83">
        <f t="shared" ca="1" si="55"/>
        <v>0.33360937112979128</v>
      </c>
      <c r="BT14" s="83">
        <f t="shared" ca="1" si="56"/>
        <v>1.269815269636005</v>
      </c>
      <c r="BU14" s="83">
        <f t="shared" ca="1" si="57"/>
        <v>1.0909680485605115</v>
      </c>
      <c r="BV14" s="83">
        <f t="shared" ca="1" si="58"/>
        <v>4.0363871397337414</v>
      </c>
      <c r="BW14" s="83">
        <f t="shared" ca="1" si="59"/>
        <v>3.6020680237911753</v>
      </c>
      <c r="BX14" s="83">
        <f t="shared" ca="1" si="60"/>
        <v>0.29901284375336845</v>
      </c>
      <c r="BY14" s="83">
        <f t="shared" ca="1" si="61"/>
        <v>1.269815269636005</v>
      </c>
      <c r="BZ14" s="83">
        <f t="shared" ca="1" si="62"/>
        <v>1.0909680485605115</v>
      </c>
      <c r="CA14" s="83">
        <f t="shared" ca="1" si="63"/>
        <v>5.5977149124659134</v>
      </c>
      <c r="CB14" s="83">
        <f t="shared" ca="1" si="64"/>
        <v>2.9137065715641715</v>
      </c>
      <c r="CC14" s="83">
        <f t="shared" ca="1" si="65"/>
        <v>0.36573471797932666</v>
      </c>
      <c r="CD14" s="83">
        <f t="shared" ca="1" si="66"/>
        <v>3.6016992939162615</v>
      </c>
      <c r="CE14" s="83">
        <f t="shared" ca="1" si="67"/>
        <v>2.1934850545083053</v>
      </c>
      <c r="CF14" s="83">
        <f t="shared" ca="1" si="68"/>
        <v>6.280549273275148</v>
      </c>
      <c r="CG14" s="83">
        <f t="shared" ca="1" si="69"/>
        <v>2.1934850545083053</v>
      </c>
      <c r="CH14" s="83">
        <f t="shared" ca="1" si="70"/>
        <v>3.5465329996959181</v>
      </c>
      <c r="CI14" s="83">
        <f t="shared" ca="1" si="71"/>
        <v>9.3830461413087729</v>
      </c>
      <c r="CJ14" s="83">
        <f t="shared" ca="1" si="72"/>
        <v>3.5465329996959181</v>
      </c>
      <c r="CK14" s="83">
        <f t="shared" ca="1" si="73"/>
        <v>2.2177951317218358</v>
      </c>
    </row>
    <row r="15" spans="1:89" x14ac:dyDescent="0.25">
      <c r="A15" t="str">
        <f>Plantilla!D16</f>
        <v>M. Bondarewski</v>
      </c>
      <c r="B15" s="330">
        <f>Plantilla!E16</f>
        <v>18</v>
      </c>
      <c r="C15" s="120">
        <f ca="1">Plantilla!F16</f>
        <v>89</v>
      </c>
      <c r="D15" s="330" t="str">
        <f>Plantilla!G16</f>
        <v>RAP</v>
      </c>
      <c r="E15" s="273">
        <f>Plantilla!O16</f>
        <v>43627</v>
      </c>
      <c r="F15" s="120">
        <f>Plantilla!Q16</f>
        <v>5</v>
      </c>
      <c r="G15" s="147">
        <f t="shared" si="0"/>
        <v>0.84515425472851657</v>
      </c>
      <c r="H15" s="147">
        <f t="shared" si="1"/>
        <v>0.92504826128926143</v>
      </c>
      <c r="I15" s="200">
        <f ca="1">Plantilla!P16</f>
        <v>0.14812561692891457</v>
      </c>
      <c r="J15" s="201">
        <f>Plantilla!I16</f>
        <v>1.6</v>
      </c>
      <c r="K15" s="49">
        <f>Plantilla!X16</f>
        <v>0</v>
      </c>
      <c r="L15" s="49">
        <f>Plantilla!Y16</f>
        <v>2</v>
      </c>
      <c r="M15" s="49">
        <f>Plantilla!Z16</f>
        <v>8.6</v>
      </c>
      <c r="N15" s="49">
        <f>Plantilla!AA16</f>
        <v>5</v>
      </c>
      <c r="O15" s="49">
        <f>Plantilla!AB16</f>
        <v>4</v>
      </c>
      <c r="P15" s="49">
        <f>Plantilla!AC16</f>
        <v>8</v>
      </c>
      <c r="Q15" s="49">
        <f>Plantilla!AD16</f>
        <v>6</v>
      </c>
      <c r="R15" s="201">
        <f t="shared" si="2"/>
        <v>1.625</v>
      </c>
      <c r="S15" s="201">
        <f t="shared" ca="1" si="3"/>
        <v>9.9088311623056935</v>
      </c>
      <c r="T15" s="49">
        <f t="shared" si="4"/>
        <v>0.57999999999999996</v>
      </c>
      <c r="U15" s="49">
        <f t="shared" si="5"/>
        <v>0.25999999999999995</v>
      </c>
      <c r="V15" s="201">
        <f t="shared" ca="1" si="6"/>
        <v>5.4910464934443031</v>
      </c>
      <c r="W15" s="201">
        <f t="shared" ca="1" si="7"/>
        <v>6.0101253504909558</v>
      </c>
      <c r="X15" s="83">
        <f t="shared" ca="1" si="8"/>
        <v>0.91890932339043885</v>
      </c>
      <c r="Y15" s="83">
        <f t="shared" ca="1" si="9"/>
        <v>1.3925887016002938</v>
      </c>
      <c r="Z15" s="83">
        <f t="shared" ca="1" si="10"/>
        <v>0.91890932339043885</v>
      </c>
      <c r="AA15" s="83">
        <f t="shared" ca="1" si="11"/>
        <v>1.2488673664025962</v>
      </c>
      <c r="AB15" s="83">
        <f t="shared" ca="1" si="12"/>
        <v>2.4202855938034809</v>
      </c>
      <c r="AC15" s="83">
        <f t="shared" ca="1" si="13"/>
        <v>0.62443368320129811</v>
      </c>
      <c r="AD15" s="83">
        <f t="shared" ca="1" si="14"/>
        <v>2.1468279713252287</v>
      </c>
      <c r="AE15" s="83">
        <f t="shared" ca="1" si="15"/>
        <v>0.91486795445771574</v>
      </c>
      <c r="AF15" s="83">
        <f t="shared" ca="1" si="16"/>
        <v>1.7498664843199165</v>
      </c>
      <c r="AG15" s="83">
        <f t="shared" ca="1" si="17"/>
        <v>0.45743397722885787</v>
      </c>
      <c r="AH15" s="83">
        <f t="shared" ca="1" si="18"/>
        <v>3.4728099536143406</v>
      </c>
      <c r="AI15" s="83">
        <f t="shared" ca="1" si="19"/>
        <v>2.2266627462992026</v>
      </c>
      <c r="AJ15" s="83">
        <f t="shared" ca="1" si="20"/>
        <v>1.0019982358346411</v>
      </c>
      <c r="AK15" s="83">
        <f t="shared" ca="1" si="21"/>
        <v>1.5063876941651817</v>
      </c>
      <c r="AL15" s="83">
        <f t="shared" ca="1" si="22"/>
        <v>3.1871279291564467</v>
      </c>
      <c r="AM15" s="83">
        <f t="shared" ca="1" si="23"/>
        <v>1.8248953377278245</v>
      </c>
      <c r="AN15" s="83">
        <f t="shared" ca="1" si="24"/>
        <v>1.7135622004128643</v>
      </c>
      <c r="AO15" s="83">
        <f t="shared" ca="1" si="25"/>
        <v>1.0721876941651813</v>
      </c>
      <c r="AP15" s="83">
        <f t="shared" ca="1" si="26"/>
        <v>0.58904225101540242</v>
      </c>
      <c r="AQ15" s="83">
        <f t="shared" ca="1" si="27"/>
        <v>0.65347711032693989</v>
      </c>
      <c r="AR15" s="83">
        <f t="shared" ca="1" si="28"/>
        <v>1.4376496427192675</v>
      </c>
      <c r="AS15" s="83">
        <f t="shared" ca="1" si="29"/>
        <v>0.32673855516346995</v>
      </c>
      <c r="AT15" s="83">
        <f t="shared" ca="1" si="30"/>
        <v>8.5151496005504868</v>
      </c>
      <c r="AU15" s="83">
        <f t="shared" ca="1" si="31"/>
        <v>0.57463712719445248</v>
      </c>
      <c r="AV15" s="83">
        <f t="shared" ca="1" si="32"/>
        <v>1.9871436789844199</v>
      </c>
      <c r="AW15" s="83">
        <f t="shared" ca="1" si="33"/>
        <v>0.28731856359722624</v>
      </c>
      <c r="AX15" s="83">
        <f t="shared" ca="1" si="34"/>
        <v>0.45743397722885787</v>
      </c>
      <c r="AY15" s="83">
        <f t="shared" ca="1" si="35"/>
        <v>0.96811423752139236</v>
      </c>
      <c r="AZ15" s="83">
        <f t="shared" ca="1" si="36"/>
        <v>0.22871698861442893</v>
      </c>
      <c r="BA15" s="83">
        <f t="shared" ca="1" si="37"/>
        <v>9.0202855938034823</v>
      </c>
      <c r="BB15" s="83">
        <f t="shared" ca="1" si="38"/>
        <v>1.1183322552322807</v>
      </c>
      <c r="BC15" s="83">
        <f t="shared" ca="1" si="39"/>
        <v>3.275577362185718</v>
      </c>
      <c r="BD15" s="83">
        <f t="shared" ca="1" si="40"/>
        <v>0.55916612761614037</v>
      </c>
      <c r="BE15" s="83">
        <f t="shared" ca="1" si="41"/>
        <v>0.70430310779681293</v>
      </c>
      <c r="BF15" s="83">
        <f t="shared" ca="1" si="42"/>
        <v>0.84225938664361133</v>
      </c>
      <c r="BG15" s="83">
        <f t="shared" ca="1" si="43"/>
        <v>7.9468716081408681</v>
      </c>
      <c r="BH15" s="83">
        <f t="shared" ca="1" si="44"/>
        <v>4.503633892891294</v>
      </c>
      <c r="BI15" s="83">
        <f t="shared" ca="1" si="45"/>
        <v>1.0652888281066388</v>
      </c>
      <c r="BJ15" s="83">
        <f t="shared" ca="1" si="46"/>
        <v>1.1738385129946882</v>
      </c>
      <c r="BK15" s="83">
        <f t="shared" ca="1" si="47"/>
        <v>0.63895539676411894</v>
      </c>
      <c r="BL15" s="83">
        <f t="shared" ca="1" si="48"/>
        <v>3.436728811239127</v>
      </c>
      <c r="BM15" s="83">
        <f t="shared" ca="1" si="49"/>
        <v>4.5363296089842429</v>
      </c>
      <c r="BN15" s="83">
        <f t="shared" ca="1" si="50"/>
        <v>0.22985485087778099</v>
      </c>
      <c r="BO15" s="83">
        <f t="shared" ca="1" si="51"/>
        <v>0.43565140688462656</v>
      </c>
      <c r="BP15" s="83">
        <f t="shared" ca="1" si="52"/>
        <v>0.16457942037863671</v>
      </c>
      <c r="BQ15" s="83">
        <f t="shared" ca="1" si="53"/>
        <v>2.7511871061100619</v>
      </c>
      <c r="BR15" s="83">
        <f t="shared" ca="1" si="54"/>
        <v>6.6844872736312766</v>
      </c>
      <c r="BS15" s="83">
        <f t="shared" ca="1" si="55"/>
        <v>0.59673855516346996</v>
      </c>
      <c r="BT15" s="83">
        <f t="shared" ca="1" si="56"/>
        <v>0.68736110864018851</v>
      </c>
      <c r="BU15" s="83">
        <f t="shared" ca="1" si="57"/>
        <v>0.59054968488804926</v>
      </c>
      <c r="BV15" s="83">
        <f t="shared" ca="1" si="58"/>
        <v>4.1042299451805846</v>
      </c>
      <c r="BW15" s="83">
        <f t="shared" ca="1" si="59"/>
        <v>5.7616764379342564</v>
      </c>
      <c r="BX15" s="83">
        <f t="shared" ca="1" si="60"/>
        <v>0.53485455685022121</v>
      </c>
      <c r="BY15" s="83">
        <f t="shared" ca="1" si="61"/>
        <v>0.68736110864018851</v>
      </c>
      <c r="BZ15" s="83">
        <f t="shared" ca="1" si="62"/>
        <v>0.59054968488804926</v>
      </c>
      <c r="CA15" s="83">
        <f t="shared" ca="1" si="63"/>
        <v>5.6918002096899976</v>
      </c>
      <c r="CB15" s="83">
        <f t="shared" ca="1" si="64"/>
        <v>4.6581556064541152</v>
      </c>
      <c r="CC15" s="83">
        <f t="shared" ca="1" si="65"/>
        <v>0.65420226788291513</v>
      </c>
      <c r="CD15" s="83">
        <f t="shared" ca="1" si="66"/>
        <v>3.662235951084214</v>
      </c>
      <c r="CE15" s="83">
        <f t="shared" ca="1" si="67"/>
        <v>2.9549687943716134</v>
      </c>
      <c r="CF15" s="83">
        <f t="shared" ca="1" si="68"/>
        <v>7.3092415786227196</v>
      </c>
      <c r="CG15" s="83">
        <f t="shared" ca="1" si="69"/>
        <v>2.9549687943716134</v>
      </c>
      <c r="CH15" s="83">
        <f t="shared" ca="1" si="70"/>
        <v>4.2363252645380509</v>
      </c>
      <c r="CI15" s="83">
        <f t="shared" ca="1" si="71"/>
        <v>10.051370977916966</v>
      </c>
      <c r="CJ15" s="83">
        <f t="shared" ca="1" si="72"/>
        <v>4.2363252645380509</v>
      </c>
      <c r="CK15" s="83">
        <f t="shared" ca="1" si="73"/>
        <v>2.2550713984508706</v>
      </c>
    </row>
    <row r="16" spans="1:89" x14ac:dyDescent="0.25">
      <c r="A16" t="str">
        <f>Plantilla!D17</f>
        <v>J. Vartiainen</v>
      </c>
      <c r="B16" s="330">
        <f>Plantilla!E17</f>
        <v>19</v>
      </c>
      <c r="C16" s="120">
        <f ca="1">Plantilla!F17</f>
        <v>23</v>
      </c>
      <c r="D16" s="330" t="str">
        <f>Plantilla!G17</f>
        <v>CAB</v>
      </c>
      <c r="E16" s="273">
        <f>Plantilla!O17</f>
        <v>43628</v>
      </c>
      <c r="F16" s="120">
        <f>Plantilla!Q17</f>
        <v>5</v>
      </c>
      <c r="G16" s="147">
        <f t="shared" si="0"/>
        <v>0.84515425472851657</v>
      </c>
      <c r="H16" s="147">
        <f t="shared" si="1"/>
        <v>0.92504826128926143</v>
      </c>
      <c r="I16" s="200">
        <f ca="1">Plantilla!P17</f>
        <v>0.14248844644448036</v>
      </c>
      <c r="J16" s="201">
        <f>Plantilla!I17</f>
        <v>0.3</v>
      </c>
      <c r="K16" s="49">
        <f>Plantilla!X17</f>
        <v>0</v>
      </c>
      <c r="L16" s="49">
        <f>Plantilla!Y17</f>
        <v>7</v>
      </c>
      <c r="M16" s="49">
        <f>Plantilla!Z17</f>
        <v>7.5111111111111111</v>
      </c>
      <c r="N16" s="49">
        <f>Plantilla!AA17</f>
        <v>1</v>
      </c>
      <c r="O16" s="49">
        <f>Plantilla!AB17</f>
        <v>1</v>
      </c>
      <c r="P16" s="49">
        <f>Plantilla!AC17</f>
        <v>6</v>
      </c>
      <c r="Q16" s="49">
        <f>Plantilla!AD17</f>
        <v>1</v>
      </c>
      <c r="R16" s="201">
        <f t="shared" si="2"/>
        <v>1.5</v>
      </c>
      <c r="S16" s="201">
        <f t="shared" ca="1" si="3"/>
        <v>1.6841500972162411</v>
      </c>
      <c r="T16" s="49">
        <f t="shared" si="4"/>
        <v>0.32999999999999996</v>
      </c>
      <c r="U16" s="49">
        <f t="shared" si="5"/>
        <v>0.31</v>
      </c>
      <c r="V16" s="201">
        <f t="shared" ca="1" si="6"/>
        <v>0.44036443807829845</v>
      </c>
      <c r="W16" s="201">
        <f t="shared" ca="1" si="7"/>
        <v>0.48199290898536112</v>
      </c>
      <c r="X16" s="83">
        <f t="shared" ca="1" si="8"/>
        <v>1.4477615542397186</v>
      </c>
      <c r="Y16" s="83">
        <f t="shared" ca="1" si="9"/>
        <v>2.2589039708172698</v>
      </c>
      <c r="Z16" s="83">
        <f t="shared" ca="1" si="10"/>
        <v>1.4477615542397186</v>
      </c>
      <c r="AA16" s="83">
        <f t="shared" ca="1" si="11"/>
        <v>3.3257834616124802</v>
      </c>
      <c r="AB16" s="83">
        <f t="shared" ca="1" si="12"/>
        <v>6.4453167860706975</v>
      </c>
      <c r="AC16" s="83">
        <f t="shared" ca="1" si="13"/>
        <v>1.6628917308062401</v>
      </c>
      <c r="AD16" s="83">
        <f t="shared" ca="1" si="14"/>
        <v>1.6556298395292703</v>
      </c>
      <c r="AE16" s="83">
        <f t="shared" ca="1" si="15"/>
        <v>2.4363297451347234</v>
      </c>
      <c r="AF16" s="83">
        <f t="shared" ca="1" si="16"/>
        <v>4.6599640363291144</v>
      </c>
      <c r="AG16" s="83">
        <f t="shared" ca="1" si="17"/>
        <v>1.2181648725673617</v>
      </c>
      <c r="AH16" s="83">
        <f t="shared" ca="1" si="18"/>
        <v>2.6782247404149961</v>
      </c>
      <c r="AI16" s="83">
        <f t="shared" ca="1" si="19"/>
        <v>5.9296914431850416</v>
      </c>
      <c r="AJ16" s="83">
        <f t="shared" ca="1" si="20"/>
        <v>2.6683611494332684</v>
      </c>
      <c r="AK16" s="83">
        <f t="shared" ca="1" si="21"/>
        <v>1.1617234588293621</v>
      </c>
      <c r="AL16" s="83">
        <f t="shared" ca="1" si="22"/>
        <v>0.26184627020956974</v>
      </c>
      <c r="AM16" s="83">
        <f t="shared" ca="1" si="23"/>
        <v>4.8597688566973058</v>
      </c>
      <c r="AN16" s="83">
        <f t="shared" ca="1" si="24"/>
        <v>4.5632842845380539</v>
      </c>
      <c r="AO16" s="83">
        <f t="shared" ca="1" si="25"/>
        <v>7.4367903273806393E-2</v>
      </c>
      <c r="AP16" s="83">
        <f t="shared" ca="1" si="26"/>
        <v>0.27225123438836069</v>
      </c>
      <c r="AQ16" s="83">
        <f t="shared" ca="1" si="27"/>
        <v>1.7402355322390883</v>
      </c>
      <c r="AR16" s="83">
        <f t="shared" ca="1" si="28"/>
        <v>3.8285181709259941</v>
      </c>
      <c r="AS16" s="83">
        <f t="shared" ca="1" si="29"/>
        <v>0.87011776611954417</v>
      </c>
      <c r="AT16" s="83">
        <f t="shared" ca="1" si="30"/>
        <v>6.5668679349396273</v>
      </c>
      <c r="AU16" s="83">
        <f t="shared" ca="1" si="31"/>
        <v>5.78911821891906E-2</v>
      </c>
      <c r="AV16" s="83">
        <f t="shared" ca="1" si="32"/>
        <v>0.99547781831871418</v>
      </c>
      <c r="AW16" s="83">
        <f t="shared" ca="1" si="33"/>
        <v>2.89455910945953E-2</v>
      </c>
      <c r="AX16" s="83">
        <f t="shared" ca="1" si="34"/>
        <v>1.2181648725673617</v>
      </c>
      <c r="AY16" s="83">
        <f t="shared" ca="1" si="35"/>
        <v>2.5781267144282793</v>
      </c>
      <c r="AZ16" s="83">
        <f t="shared" ca="1" si="36"/>
        <v>0.60908243628368086</v>
      </c>
      <c r="BA16" s="83">
        <f t="shared" ca="1" si="37"/>
        <v>6.9564278971818085</v>
      </c>
      <c r="BB16" s="83">
        <f t="shared" ca="1" si="38"/>
        <v>0.11266514687588632</v>
      </c>
      <c r="BC16" s="83">
        <f t="shared" ca="1" si="39"/>
        <v>1.2953695491249542</v>
      </c>
      <c r="BD16" s="83">
        <f t="shared" ca="1" si="40"/>
        <v>5.6332573437943158E-2</v>
      </c>
      <c r="BE16" s="83">
        <f t="shared" ca="1" si="41"/>
        <v>1.8755871847465728</v>
      </c>
      <c r="BF16" s="83">
        <f t="shared" ca="1" si="42"/>
        <v>2.2429702415526025</v>
      </c>
      <c r="BG16" s="83">
        <f t="shared" ca="1" si="43"/>
        <v>6.1286129774171734</v>
      </c>
      <c r="BH16" s="83">
        <f t="shared" ca="1" si="44"/>
        <v>0.39588662281684955</v>
      </c>
      <c r="BI16" s="83">
        <f t="shared" ca="1" si="45"/>
        <v>0.10732134544303795</v>
      </c>
      <c r="BJ16" s="83">
        <f t="shared" ca="1" si="46"/>
        <v>3.1259786412442883</v>
      </c>
      <c r="BK16" s="83">
        <f t="shared" ca="1" si="47"/>
        <v>1.7015636315226643</v>
      </c>
      <c r="BL16" s="83">
        <f t="shared" ca="1" si="48"/>
        <v>2.6503990288262691</v>
      </c>
      <c r="BM16" s="83">
        <f t="shared" ca="1" si="49"/>
        <v>0.3892068710257891</v>
      </c>
      <c r="BN16" s="83">
        <f t="shared" ca="1" si="50"/>
        <v>2.3156472875676237E-2</v>
      </c>
      <c r="BO16" s="83">
        <f t="shared" ca="1" si="51"/>
        <v>1.1601570214927255</v>
      </c>
      <c r="BP16" s="83">
        <f t="shared" ca="1" si="52"/>
        <v>0.43828154145280745</v>
      </c>
      <c r="BQ16" s="83">
        <f t="shared" ca="1" si="53"/>
        <v>2.1217105086404517</v>
      </c>
      <c r="BR16" s="83">
        <f t="shared" ca="1" si="54"/>
        <v>0.57267738688691616</v>
      </c>
      <c r="BS16" s="83">
        <f t="shared" ca="1" si="55"/>
        <v>6.0117766119544086E-2</v>
      </c>
      <c r="BT16" s="83">
        <f t="shared" ca="1" si="56"/>
        <v>1.8304699672440778</v>
      </c>
      <c r="BU16" s="83">
        <f t="shared" ca="1" si="57"/>
        <v>1.5726572958012501</v>
      </c>
      <c r="BV16" s="83">
        <f t="shared" ca="1" si="58"/>
        <v>3.1651746932177232</v>
      </c>
      <c r="BW16" s="83">
        <f t="shared" ca="1" si="59"/>
        <v>0.49341099896633217</v>
      </c>
      <c r="BX16" s="83">
        <f t="shared" ca="1" si="60"/>
        <v>5.3883331114554324E-2</v>
      </c>
      <c r="BY16" s="83">
        <f t="shared" ca="1" si="61"/>
        <v>1.8304699672440778</v>
      </c>
      <c r="BZ16" s="83">
        <f t="shared" ca="1" si="62"/>
        <v>1.5726572958012501</v>
      </c>
      <c r="CA16" s="83">
        <f t="shared" ca="1" si="63"/>
        <v>4.3895060031217215</v>
      </c>
      <c r="CB16" s="83">
        <f t="shared" ca="1" si="64"/>
        <v>0.3985585235332737</v>
      </c>
      <c r="CC16" s="83">
        <f t="shared" ca="1" si="65"/>
        <v>6.5906884338463145E-2</v>
      </c>
      <c r="CD16" s="83">
        <f t="shared" ca="1" si="66"/>
        <v>2.8243097262558146</v>
      </c>
      <c r="CE16" s="83">
        <f t="shared" ca="1" si="67"/>
        <v>0.86701004554283312</v>
      </c>
      <c r="CF16" s="83">
        <f t="shared" ca="1" si="68"/>
        <v>3.4164267011156051</v>
      </c>
      <c r="CG16" s="83">
        <f t="shared" ca="1" si="69"/>
        <v>0.86701004554283312</v>
      </c>
      <c r="CH16" s="83">
        <f t="shared" ca="1" si="70"/>
        <v>1.8003853616464796</v>
      </c>
      <c r="CI16" s="83">
        <f t="shared" ca="1" si="71"/>
        <v>5.6096386801307849</v>
      </c>
      <c r="CJ16" s="83">
        <f t="shared" ca="1" si="72"/>
        <v>1.8003853616464796</v>
      </c>
      <c r="CK16" s="83">
        <f t="shared" ca="1" si="73"/>
        <v>1.7391069742954521</v>
      </c>
    </row>
    <row r="17" spans="1:89" x14ac:dyDescent="0.25">
      <c r="A17" t="str">
        <f>Plantilla!D18</f>
        <v>R. Forsyth</v>
      </c>
      <c r="B17" s="330">
        <f>Plantilla!E18</f>
        <v>19</v>
      </c>
      <c r="C17" s="120">
        <f ca="1">Plantilla!F18</f>
        <v>18</v>
      </c>
      <c r="D17" s="330" t="str">
        <f>Plantilla!G18</f>
        <v>POT</v>
      </c>
      <c r="E17" s="273">
        <f>Plantilla!O18</f>
        <v>43626</v>
      </c>
      <c r="F17" s="120">
        <f>Plantilla!Q18</f>
        <v>5</v>
      </c>
      <c r="G17" s="147">
        <f t="shared" si="0"/>
        <v>0.84515425472851657</v>
      </c>
      <c r="H17" s="147">
        <f t="shared" si="1"/>
        <v>0.92504826128926143</v>
      </c>
      <c r="I17" s="200">
        <f ca="1">Plantilla!P18</f>
        <v>0.15364458747949647</v>
      </c>
      <c r="J17" s="201">
        <f>Plantilla!I18</f>
        <v>1.8</v>
      </c>
      <c r="K17" s="49">
        <f>Plantilla!X18</f>
        <v>0</v>
      </c>
      <c r="L17" s="49">
        <f>Plantilla!Y18</f>
        <v>7</v>
      </c>
      <c r="M17" s="49">
        <f>Plantilla!Z18</f>
        <v>7.6</v>
      </c>
      <c r="N17" s="49">
        <f>Plantilla!AA18</f>
        <v>2</v>
      </c>
      <c r="O17" s="49">
        <f>Plantilla!AB18</f>
        <v>4</v>
      </c>
      <c r="P17" s="49">
        <f>Plantilla!AC18</f>
        <v>6</v>
      </c>
      <c r="Q17" s="49">
        <f>Plantilla!AD18</f>
        <v>2</v>
      </c>
      <c r="R17" s="201">
        <f t="shared" si="2"/>
        <v>2.25</v>
      </c>
      <c r="S17" s="201">
        <f t="shared" ca="1" si="3"/>
        <v>4.5517575200340943</v>
      </c>
      <c r="T17" s="49">
        <f t="shared" si="4"/>
        <v>0.36</v>
      </c>
      <c r="U17" s="49">
        <f t="shared" si="5"/>
        <v>0.34</v>
      </c>
      <c r="V17" s="201">
        <f t="shared" ca="1" si="6"/>
        <v>2.1735832336370424</v>
      </c>
      <c r="W17" s="201">
        <f t="shared" ca="1" si="7"/>
        <v>2.3790561069698581</v>
      </c>
      <c r="X17" s="83">
        <f t="shared" ca="1" si="8"/>
        <v>2.3632689208098485</v>
      </c>
      <c r="Y17" s="83">
        <f t="shared" ca="1" si="9"/>
        <v>3.612764234553854</v>
      </c>
      <c r="Z17" s="83">
        <f t="shared" ca="1" si="10"/>
        <v>2.3632689208098485</v>
      </c>
      <c r="AA17" s="83">
        <f t="shared" ca="1" si="11"/>
        <v>3.8669080906504942</v>
      </c>
      <c r="AB17" s="83">
        <f t="shared" ca="1" si="12"/>
        <v>7.4940079276172371</v>
      </c>
      <c r="AC17" s="83">
        <f t="shared" ca="1" si="13"/>
        <v>1.9334540453252471</v>
      </c>
      <c r="AD17" s="83">
        <f t="shared" ca="1" si="14"/>
        <v>1.9263738867729026</v>
      </c>
      <c r="AE17" s="83">
        <f t="shared" ca="1" si="15"/>
        <v>2.8327349966393158</v>
      </c>
      <c r="AF17" s="83">
        <f t="shared" ca="1" si="16"/>
        <v>5.4181677316672623</v>
      </c>
      <c r="AG17" s="83">
        <f t="shared" ca="1" si="17"/>
        <v>1.4163674983196579</v>
      </c>
      <c r="AH17" s="83">
        <f t="shared" ca="1" si="18"/>
        <v>3.1161930521326364</v>
      </c>
      <c r="AI17" s="83">
        <f t="shared" ca="1" si="19"/>
        <v>6.8944872934078587</v>
      </c>
      <c r="AJ17" s="83">
        <f t="shared" ca="1" si="20"/>
        <v>3.1025192820335361</v>
      </c>
      <c r="AK17" s="83">
        <f t="shared" ca="1" si="21"/>
        <v>1.3516993239120787</v>
      </c>
      <c r="AL17" s="83">
        <f t="shared" ca="1" si="22"/>
        <v>1.466476661438936</v>
      </c>
      <c r="AM17" s="83">
        <f t="shared" ca="1" si="23"/>
        <v>5.6504819774233965</v>
      </c>
      <c r="AN17" s="83">
        <f t="shared" ca="1" si="24"/>
        <v>5.3057576127530037</v>
      </c>
      <c r="AO17" s="83">
        <f t="shared" ca="1" si="25"/>
        <v>0.41649932391207878</v>
      </c>
      <c r="AP17" s="83">
        <f t="shared" ca="1" si="26"/>
        <v>0.79027428315376447</v>
      </c>
      <c r="AQ17" s="83">
        <f t="shared" ca="1" si="27"/>
        <v>2.0233821404566541</v>
      </c>
      <c r="AR17" s="83">
        <f t="shared" ca="1" si="28"/>
        <v>4.4514407090046388</v>
      </c>
      <c r="AS17" s="83">
        <f t="shared" ca="1" si="29"/>
        <v>1.011691070228327</v>
      </c>
      <c r="AT17" s="83">
        <f t="shared" ca="1" si="30"/>
        <v>7.640743483670672</v>
      </c>
      <c r="AU17" s="83">
        <f t="shared" ca="1" si="31"/>
        <v>0.58422103059024089</v>
      </c>
      <c r="AV17" s="83">
        <f t="shared" ca="1" si="32"/>
        <v>1.6627443227918504</v>
      </c>
      <c r="AW17" s="83">
        <f t="shared" ca="1" si="33"/>
        <v>0.29211051529512044</v>
      </c>
      <c r="AX17" s="83">
        <f t="shared" ca="1" si="34"/>
        <v>1.4163674983196579</v>
      </c>
      <c r="AY17" s="83">
        <f t="shared" ca="1" si="35"/>
        <v>2.9976031710468951</v>
      </c>
      <c r="AZ17" s="83">
        <f t="shared" ca="1" si="36"/>
        <v>0.70818374915982896</v>
      </c>
      <c r="BA17" s="83">
        <f t="shared" ca="1" si="37"/>
        <v>8.0940079276172376</v>
      </c>
      <c r="BB17" s="83">
        <f t="shared" ca="1" si="38"/>
        <v>1.136984005687161</v>
      </c>
      <c r="BC17" s="83">
        <f t="shared" ca="1" si="39"/>
        <v>2.8961983681170977</v>
      </c>
      <c r="BD17" s="83">
        <f t="shared" ca="1" si="40"/>
        <v>0.56849200284358048</v>
      </c>
      <c r="BE17" s="83">
        <f t="shared" ca="1" si="41"/>
        <v>2.1807563069366158</v>
      </c>
      <c r="BF17" s="83">
        <f t="shared" ca="1" si="42"/>
        <v>2.6079147588107983</v>
      </c>
      <c r="BG17" s="83">
        <f t="shared" ca="1" si="43"/>
        <v>7.1308209842307866</v>
      </c>
      <c r="BH17" s="83">
        <f t="shared" ca="1" si="44"/>
        <v>2.8471730476517241</v>
      </c>
      <c r="BI17" s="83">
        <f t="shared" ca="1" si="45"/>
        <v>1.083055910555754</v>
      </c>
      <c r="BJ17" s="83">
        <f t="shared" ca="1" si="46"/>
        <v>3.63459384489436</v>
      </c>
      <c r="BK17" s="83">
        <f t="shared" ca="1" si="47"/>
        <v>1.9784180928909507</v>
      </c>
      <c r="BL17" s="83">
        <f t="shared" ca="1" si="48"/>
        <v>3.0838170204221678</v>
      </c>
      <c r="BM17" s="83">
        <f t="shared" ca="1" si="49"/>
        <v>2.5817629287374659</v>
      </c>
      <c r="BN17" s="83">
        <f t="shared" ca="1" si="50"/>
        <v>0.23368841223609632</v>
      </c>
      <c r="BO17" s="83">
        <f t="shared" ca="1" si="51"/>
        <v>1.3489214269711027</v>
      </c>
      <c r="BP17" s="83">
        <f t="shared" ca="1" si="52"/>
        <v>0.5095925390779722</v>
      </c>
      <c r="BQ17" s="83">
        <f t="shared" ca="1" si="53"/>
        <v>2.4686724179232575</v>
      </c>
      <c r="BR17" s="83">
        <f t="shared" ca="1" si="54"/>
        <v>3.7792941949157677</v>
      </c>
      <c r="BS17" s="83">
        <f t="shared" ca="1" si="55"/>
        <v>0.60669107022832702</v>
      </c>
      <c r="BT17" s="83">
        <f t="shared" ca="1" si="56"/>
        <v>2.1282982514432951</v>
      </c>
      <c r="BU17" s="83">
        <f t="shared" ca="1" si="57"/>
        <v>1.8285379343386059</v>
      </c>
      <c r="BV17" s="83">
        <f t="shared" ca="1" si="58"/>
        <v>3.6827736070658434</v>
      </c>
      <c r="BW17" s="83">
        <f t="shared" ca="1" si="59"/>
        <v>3.2513607837998997</v>
      </c>
      <c r="BX17" s="83">
        <f t="shared" ca="1" si="60"/>
        <v>0.54377495924168573</v>
      </c>
      <c r="BY17" s="83">
        <f t="shared" ca="1" si="61"/>
        <v>2.1282982514432951</v>
      </c>
      <c r="BZ17" s="83">
        <f t="shared" ca="1" si="62"/>
        <v>1.8285379343386059</v>
      </c>
      <c r="CA17" s="83">
        <f t="shared" ca="1" si="63"/>
        <v>5.1073190023264772</v>
      </c>
      <c r="CB17" s="83">
        <f t="shared" ca="1" si="64"/>
        <v>2.6181370952174277</v>
      </c>
      <c r="CC17" s="83">
        <f t="shared" ca="1" si="65"/>
        <v>0.66511317328735109</v>
      </c>
      <c r="CD17" s="83">
        <f t="shared" ca="1" si="66"/>
        <v>3.2861672186125985</v>
      </c>
      <c r="CE17" s="83">
        <f t="shared" ca="1" si="67"/>
        <v>2.3073781302885807</v>
      </c>
      <c r="CF17" s="83">
        <f t="shared" ca="1" si="68"/>
        <v>6.2262529264970095</v>
      </c>
      <c r="CG17" s="83">
        <f t="shared" ca="1" si="69"/>
        <v>2.3073781302885807</v>
      </c>
      <c r="CH17" s="83">
        <f t="shared" ca="1" si="70"/>
        <v>3.0978193461608701</v>
      </c>
      <c r="CI17" s="83">
        <f t="shared" ca="1" si="71"/>
        <v>8.1522968529079982</v>
      </c>
      <c r="CJ17" s="83">
        <f t="shared" ca="1" si="72"/>
        <v>3.0978193461608701</v>
      </c>
      <c r="CK17" s="83">
        <f t="shared" ca="1" si="73"/>
        <v>2.0235019819043094</v>
      </c>
    </row>
    <row r="18" spans="1:89" x14ac:dyDescent="0.25">
      <c r="A18">
        <f>Plantilla!D19</f>
        <v>0</v>
      </c>
      <c r="B18" s="330">
        <f>Plantilla!E19</f>
        <v>19</v>
      </c>
      <c r="C18" s="120">
        <f ca="1">Plantilla!F19</f>
        <v>10</v>
      </c>
      <c r="D18" s="330">
        <f>Plantilla!G19</f>
        <v>0</v>
      </c>
      <c r="E18" s="273">
        <f>Plantilla!O19</f>
        <v>43624</v>
      </c>
      <c r="F18" s="120">
        <f>Plantilla!Q19</f>
        <v>5</v>
      </c>
      <c r="G18" s="147">
        <f t="shared" si="0"/>
        <v>0.84515425472851657</v>
      </c>
      <c r="H18" s="147">
        <f t="shared" si="1"/>
        <v>0.92504826128926143</v>
      </c>
      <c r="I18" s="200">
        <f ca="1">Plantilla!P19</f>
        <v>0.16436224314553138</v>
      </c>
      <c r="J18" s="201">
        <f>Plantilla!I19</f>
        <v>1.8</v>
      </c>
      <c r="K18" s="49">
        <f>Plantilla!X19</f>
        <v>0</v>
      </c>
      <c r="L18" s="49">
        <f>Plantilla!Y19</f>
        <v>5</v>
      </c>
      <c r="M18" s="49">
        <f>Plantilla!Z19</f>
        <v>6.1583333333333332</v>
      </c>
      <c r="N18" s="49">
        <f>Plantilla!AA19</f>
        <v>2</v>
      </c>
      <c r="O18" s="49">
        <f>Plantilla!AB19</f>
        <v>3</v>
      </c>
      <c r="P18" s="49">
        <f>Plantilla!AC19</f>
        <v>9</v>
      </c>
      <c r="Q18" s="49">
        <f>Plantilla!AD19</f>
        <v>1</v>
      </c>
      <c r="R18" s="201">
        <f t="shared" si="2"/>
        <v>1.75</v>
      </c>
      <c r="S18" s="201">
        <f t="shared" ca="1" si="3"/>
        <v>9.0054435390560332</v>
      </c>
      <c r="T18" s="49">
        <f t="shared" si="4"/>
        <v>0.48</v>
      </c>
      <c r="U18" s="49">
        <f t="shared" si="5"/>
        <v>0.22999999999999998</v>
      </c>
      <c r="V18" s="201">
        <f t="shared" ca="1" si="6"/>
        <v>1.3390103045101187</v>
      </c>
      <c r="W18" s="201">
        <f t="shared" ca="1" si="7"/>
        <v>1.4655894437085608</v>
      </c>
      <c r="X18" s="83">
        <f t="shared" ca="1" si="8"/>
        <v>1.8206254342062971</v>
      </c>
      <c r="Y18" s="83">
        <f t="shared" ca="1" si="9"/>
        <v>2.7766007280187046</v>
      </c>
      <c r="Z18" s="83">
        <f t="shared" ca="1" si="10"/>
        <v>1.8206254342062971</v>
      </c>
      <c r="AA18" s="83">
        <f t="shared" ca="1" si="11"/>
        <v>2.8404384009741683</v>
      </c>
      <c r="AB18" s="83">
        <f t="shared" ca="1" si="12"/>
        <v>5.504725583283272</v>
      </c>
      <c r="AC18" s="83">
        <f t="shared" ca="1" si="13"/>
        <v>1.4202192004870842</v>
      </c>
      <c r="AD18" s="83">
        <f t="shared" ca="1" si="14"/>
        <v>1.5858080221547519</v>
      </c>
      <c r="AE18" s="83">
        <f t="shared" ca="1" si="15"/>
        <v>2.0807862704810769</v>
      </c>
      <c r="AF18" s="83">
        <f t="shared" ca="1" si="16"/>
        <v>3.9799165967138057</v>
      </c>
      <c r="AG18" s="83">
        <f t="shared" ca="1" si="17"/>
        <v>1.0403931352405384</v>
      </c>
      <c r="AH18" s="83">
        <f t="shared" ca="1" si="18"/>
        <v>2.5652776828973929</v>
      </c>
      <c r="AI18" s="83">
        <f t="shared" ca="1" si="19"/>
        <v>5.0643475366206108</v>
      </c>
      <c r="AJ18" s="83">
        <f t="shared" ca="1" si="20"/>
        <v>2.2789563914792743</v>
      </c>
      <c r="AK18" s="83">
        <f t="shared" ca="1" si="21"/>
        <v>1.1127308390749731</v>
      </c>
      <c r="AL18" s="83">
        <f t="shared" ca="1" si="22"/>
        <v>1.4727786429705643</v>
      </c>
      <c r="AM18" s="83">
        <f t="shared" ca="1" si="23"/>
        <v>4.150563089795587</v>
      </c>
      <c r="AN18" s="83">
        <f t="shared" ca="1" si="24"/>
        <v>3.8973457129645563</v>
      </c>
      <c r="AO18" s="83">
        <f t="shared" ca="1" si="25"/>
        <v>0.25128917240830656</v>
      </c>
      <c r="AP18" s="83">
        <f t="shared" ca="1" si="26"/>
        <v>0.64936096798558252</v>
      </c>
      <c r="AQ18" s="83">
        <f t="shared" ca="1" si="27"/>
        <v>1.4862759074864835</v>
      </c>
      <c r="AR18" s="83">
        <f t="shared" ca="1" si="28"/>
        <v>3.2698069964702636</v>
      </c>
      <c r="AS18" s="83">
        <f t="shared" ca="1" si="29"/>
        <v>0.74313795374324176</v>
      </c>
      <c r="AT18" s="83">
        <f t="shared" ca="1" si="30"/>
        <v>6.2899276172860752</v>
      </c>
      <c r="AU18" s="83">
        <f t="shared" ca="1" si="31"/>
        <v>0.45561432582682548</v>
      </c>
      <c r="AV18" s="83">
        <f t="shared" ca="1" si="32"/>
        <v>2.064884595901999</v>
      </c>
      <c r="AW18" s="83">
        <f t="shared" ca="1" si="33"/>
        <v>0.22780716291341274</v>
      </c>
      <c r="AX18" s="83">
        <f t="shared" ca="1" si="34"/>
        <v>1.0403931352405384</v>
      </c>
      <c r="AY18" s="83">
        <f t="shared" ca="1" si="35"/>
        <v>2.2018902333133088</v>
      </c>
      <c r="AZ18" s="83">
        <f t="shared" ca="1" si="36"/>
        <v>0.52019656762026922</v>
      </c>
      <c r="BA18" s="83">
        <f t="shared" ca="1" si="37"/>
        <v>6.6630589166166052</v>
      </c>
      <c r="BB18" s="83">
        <f t="shared" ca="1" si="38"/>
        <v>0.886695572570668</v>
      </c>
      <c r="BC18" s="83">
        <f t="shared" ca="1" si="39"/>
        <v>3.1911037963890836</v>
      </c>
      <c r="BD18" s="83">
        <f t="shared" ca="1" si="40"/>
        <v>0.443347786285334</v>
      </c>
      <c r="BE18" s="83">
        <f t="shared" ca="1" si="41"/>
        <v>1.601875144735432</v>
      </c>
      <c r="BF18" s="83">
        <f t="shared" ca="1" si="42"/>
        <v>1.9156445029825786</v>
      </c>
      <c r="BG18" s="83">
        <f t="shared" ca="1" si="43"/>
        <v>5.8701549055392288</v>
      </c>
      <c r="BH18" s="83">
        <f t="shared" ca="1" si="44"/>
        <v>2.5417010435388296</v>
      </c>
      <c r="BI18" s="83">
        <f t="shared" ca="1" si="45"/>
        <v>0.84463886557126877</v>
      </c>
      <c r="BJ18" s="83">
        <f t="shared" ca="1" si="46"/>
        <v>2.6697919078923866</v>
      </c>
      <c r="BK18" s="83">
        <f t="shared" ca="1" si="47"/>
        <v>1.453247553986784</v>
      </c>
      <c r="BL18" s="83">
        <f t="shared" ca="1" si="48"/>
        <v>2.5386254472309266</v>
      </c>
      <c r="BM18" s="83">
        <f t="shared" ca="1" si="49"/>
        <v>2.3901301597895808</v>
      </c>
      <c r="BN18" s="83">
        <f t="shared" ca="1" si="50"/>
        <v>0.18224573033073019</v>
      </c>
      <c r="BO18" s="83">
        <f t="shared" ca="1" si="51"/>
        <v>0.99085060499098887</v>
      </c>
      <c r="BP18" s="83">
        <f t="shared" ca="1" si="52"/>
        <v>0.37432133966326253</v>
      </c>
      <c r="BQ18" s="83">
        <f t="shared" ca="1" si="53"/>
        <v>2.0322329695680645</v>
      </c>
      <c r="BR18" s="83">
        <f t="shared" ca="1" si="54"/>
        <v>3.5070771001022889</v>
      </c>
      <c r="BS18" s="83">
        <f t="shared" ca="1" si="55"/>
        <v>0.47313795374324186</v>
      </c>
      <c r="BT18" s="83">
        <f t="shared" ca="1" si="56"/>
        <v>1.563342065652449</v>
      </c>
      <c r="BU18" s="83">
        <f t="shared" ca="1" si="57"/>
        <v>1.3431530423211184</v>
      </c>
      <c r="BV18" s="83">
        <f t="shared" ca="1" si="58"/>
        <v>3.0316918070605556</v>
      </c>
      <c r="BW18" s="83">
        <f t="shared" ca="1" si="59"/>
        <v>3.0192359462778664</v>
      </c>
      <c r="BX18" s="83">
        <f t="shared" ca="1" si="60"/>
        <v>0.42407179557727603</v>
      </c>
      <c r="BY18" s="83">
        <f t="shared" ca="1" si="61"/>
        <v>1.563342065652449</v>
      </c>
      <c r="BZ18" s="83">
        <f t="shared" ca="1" si="62"/>
        <v>1.3431530423211184</v>
      </c>
      <c r="CA18" s="83">
        <f t="shared" ca="1" si="63"/>
        <v>4.2043901763850782</v>
      </c>
      <c r="CB18" s="83">
        <f t="shared" ca="1" si="64"/>
        <v>2.4347293970385291</v>
      </c>
      <c r="CC18" s="83">
        <f t="shared" ca="1" si="65"/>
        <v>0.51869938632592438</v>
      </c>
      <c r="CD18" s="83">
        <f t="shared" ca="1" si="66"/>
        <v>2.705201920146342</v>
      </c>
      <c r="CE18" s="83">
        <f t="shared" ca="1" si="67"/>
        <v>2.443962028890585</v>
      </c>
      <c r="CF18" s="83">
        <f t="shared" ca="1" si="68"/>
        <v>7.4443210067769652</v>
      </c>
      <c r="CG18" s="83">
        <f t="shared" ca="1" si="69"/>
        <v>2.443962028890585</v>
      </c>
      <c r="CH18" s="83">
        <f t="shared" ca="1" si="70"/>
        <v>3.7397098551676411</v>
      </c>
      <c r="CI18" s="83">
        <f t="shared" ca="1" si="71"/>
        <v>10.797969323514801</v>
      </c>
      <c r="CJ18" s="83">
        <f t="shared" ca="1" si="72"/>
        <v>3.7397098551676411</v>
      </c>
      <c r="CK18" s="83">
        <f t="shared" ca="1" si="73"/>
        <v>1.6657647291541513</v>
      </c>
    </row>
    <row r="19" spans="1:89" x14ac:dyDescent="0.25">
      <c r="A19" t="str">
        <f>Plantilla!D20</f>
        <v>V. Godoi</v>
      </c>
      <c r="B19" s="330">
        <f>Plantilla!E20</f>
        <v>25</v>
      </c>
      <c r="C19" s="120">
        <f ca="1">Plantilla!F20</f>
        <v>94</v>
      </c>
      <c r="D19" s="330">
        <f>Plantilla!G20</f>
        <v>0</v>
      </c>
      <c r="E19" s="273">
        <f>Plantilla!O20</f>
        <v>43639</v>
      </c>
      <c r="F19" s="120">
        <f>Plantilla!Q20</f>
        <v>7</v>
      </c>
      <c r="G19" s="147">
        <f t="shared" si="0"/>
        <v>1</v>
      </c>
      <c r="H19" s="147">
        <f t="shared" si="1"/>
        <v>1</v>
      </c>
      <c r="I19" s="200">
        <f ca="1">Plantilla!P20</f>
        <v>6.7683633516304187E-2</v>
      </c>
      <c r="J19" s="201">
        <f>Plantilla!I20</f>
        <v>4.5</v>
      </c>
      <c r="K19" s="49">
        <f>Plantilla!X20</f>
        <v>0</v>
      </c>
      <c r="L19" s="49">
        <f>Plantilla!Y20</f>
        <v>3</v>
      </c>
      <c r="M19" s="49">
        <f>Plantilla!Z20</f>
        <v>9.0769230769230766</v>
      </c>
      <c r="N19" s="49">
        <f>Plantilla!AA20</f>
        <v>9</v>
      </c>
      <c r="O19" s="49">
        <f>Plantilla!AB20</f>
        <v>5</v>
      </c>
      <c r="P19" s="49">
        <f>Plantilla!AC20</f>
        <v>5</v>
      </c>
      <c r="Q19" s="49">
        <f>Plantilla!AD20</f>
        <v>1</v>
      </c>
      <c r="R19" s="201">
        <f t="shared" si="2"/>
        <v>2</v>
      </c>
      <c r="S19" s="201">
        <f t="shared" ca="1" si="3"/>
        <v>3.3243803706623769</v>
      </c>
      <c r="T19" s="49">
        <f t="shared" si="4"/>
        <v>0.27999999999999997</v>
      </c>
      <c r="U19" s="49">
        <f t="shared" si="5"/>
        <v>0.15000000000000002</v>
      </c>
      <c r="V19" s="201">
        <f t="shared" ca="1" si="6"/>
        <v>1.9929375274856915</v>
      </c>
      <c r="W19" s="201">
        <f t="shared" ca="1" si="7"/>
        <v>1.9929375274856915</v>
      </c>
      <c r="X19" s="83">
        <f t="shared" ca="1" si="8"/>
        <v>1.6474271780942336</v>
      </c>
      <c r="Y19" s="83">
        <f t="shared" ca="1" si="9"/>
        <v>2.4867760445815068</v>
      </c>
      <c r="Z19" s="83">
        <f t="shared" ca="1" si="10"/>
        <v>1.6474271780942336</v>
      </c>
      <c r="AA19" s="83">
        <f t="shared" ca="1" si="11"/>
        <v>2.0323349643718491</v>
      </c>
      <c r="AB19" s="83">
        <f t="shared" ca="1" si="12"/>
        <v>3.9386336518834288</v>
      </c>
      <c r="AC19" s="83">
        <f t="shared" ca="1" si="13"/>
        <v>1.0161674821859246</v>
      </c>
      <c r="AD19" s="83">
        <f t="shared" ca="1" si="14"/>
        <v>2.3837025014559483</v>
      </c>
      <c r="AE19" s="83">
        <f t="shared" ca="1" si="15"/>
        <v>1.4888035204119361</v>
      </c>
      <c r="AF19" s="83">
        <f t="shared" ca="1" si="16"/>
        <v>2.8476321303117191</v>
      </c>
      <c r="AG19" s="83">
        <f t="shared" ca="1" si="17"/>
        <v>0.74440176020596804</v>
      </c>
      <c r="AH19" s="83">
        <f t="shared" ca="1" si="18"/>
        <v>3.8559893405905052</v>
      </c>
      <c r="AI19" s="83">
        <f t="shared" ca="1" si="19"/>
        <v>3.6235429597327546</v>
      </c>
      <c r="AJ19" s="83">
        <f t="shared" ca="1" si="20"/>
        <v>1.6305943318797396</v>
      </c>
      <c r="AK19" s="83">
        <f t="shared" ca="1" si="21"/>
        <v>1.6725979737106866</v>
      </c>
      <c r="AL19" s="83">
        <f t="shared" ca="1" si="22"/>
        <v>5.843916587307457</v>
      </c>
      <c r="AM19" s="83">
        <f t="shared" ca="1" si="23"/>
        <v>2.9697297735201054</v>
      </c>
      <c r="AN19" s="83">
        <f t="shared" ca="1" si="24"/>
        <v>2.7885526255334674</v>
      </c>
      <c r="AO19" s="83">
        <f t="shared" ca="1" si="25"/>
        <v>0.32375181986453272</v>
      </c>
      <c r="AP19" s="83">
        <f t="shared" ca="1" si="26"/>
        <v>0.84632649174242747</v>
      </c>
      <c r="AQ19" s="83">
        <f t="shared" ca="1" si="27"/>
        <v>1.0634310860085259</v>
      </c>
      <c r="AR19" s="83">
        <f t="shared" ca="1" si="28"/>
        <v>2.3395483892187565</v>
      </c>
      <c r="AS19" s="83">
        <f t="shared" ca="1" si="29"/>
        <v>0.53171554300426294</v>
      </c>
      <c r="AT19" s="83">
        <f t="shared" ca="1" si="30"/>
        <v>9.4546855519933413</v>
      </c>
      <c r="AU19" s="83">
        <f t="shared" ca="1" si="31"/>
        <v>0.77202237474484581</v>
      </c>
      <c r="AV19" s="83">
        <f t="shared" ca="1" si="32"/>
        <v>1.7400196600018447</v>
      </c>
      <c r="AW19" s="83">
        <f t="shared" ca="1" si="33"/>
        <v>0.3860111873724229</v>
      </c>
      <c r="AX19" s="83">
        <f t="shared" ca="1" si="34"/>
        <v>0.74440176020596804</v>
      </c>
      <c r="AY19" s="83">
        <f t="shared" ca="1" si="35"/>
        <v>1.5754534607533717</v>
      </c>
      <c r="AZ19" s="83">
        <f t="shared" ca="1" si="36"/>
        <v>0.37220088010298402</v>
      </c>
      <c r="BA19" s="83">
        <f t="shared" ca="1" si="37"/>
        <v>10.015556728806507</v>
      </c>
      <c r="BB19" s="83">
        <f t="shared" ca="1" si="38"/>
        <v>1.5024743139265075</v>
      </c>
      <c r="BC19" s="83">
        <f t="shared" ca="1" si="39"/>
        <v>3.2721871421877697</v>
      </c>
      <c r="BD19" s="83">
        <f t="shared" ca="1" si="40"/>
        <v>0.75123715696325377</v>
      </c>
      <c r="BE19" s="83">
        <f t="shared" ca="1" si="41"/>
        <v>1.1461423926980778</v>
      </c>
      <c r="BF19" s="83">
        <f t="shared" ca="1" si="42"/>
        <v>1.370644510855433</v>
      </c>
      <c r="BG19" s="83">
        <f t="shared" ca="1" si="43"/>
        <v>8.8237054780785318</v>
      </c>
      <c r="BH19" s="83">
        <f t="shared" ca="1" si="44"/>
        <v>7.5754453165243687</v>
      </c>
      <c r="BI19" s="83">
        <f t="shared" ca="1" si="45"/>
        <v>1.4312107101039064</v>
      </c>
      <c r="BJ19" s="83">
        <f t="shared" ca="1" si="46"/>
        <v>1.9102373211634629</v>
      </c>
      <c r="BK19" s="83">
        <f t="shared" ca="1" si="47"/>
        <v>1.0397992840972252</v>
      </c>
      <c r="BL19" s="83">
        <f t="shared" ca="1" si="48"/>
        <v>3.8159271136752793</v>
      </c>
      <c r="BM19" s="83">
        <f t="shared" ca="1" si="49"/>
        <v>7.8823658117461184</v>
      </c>
      <c r="BN19" s="83">
        <f t="shared" ca="1" si="50"/>
        <v>0.30880894989793833</v>
      </c>
      <c r="BO19" s="83">
        <f t="shared" ca="1" si="51"/>
        <v>0.70895405733901717</v>
      </c>
      <c r="BP19" s="83">
        <f t="shared" ca="1" si="52"/>
        <v>0.26782708832807317</v>
      </c>
      <c r="BQ19" s="83">
        <f t="shared" ca="1" si="53"/>
        <v>3.0547448022859847</v>
      </c>
      <c r="BR19" s="83">
        <f t="shared" ca="1" si="54"/>
        <v>11.63708287632209</v>
      </c>
      <c r="BS19" s="83">
        <f t="shared" ca="1" si="55"/>
        <v>0.80171554300426295</v>
      </c>
      <c r="BT19" s="83">
        <f t="shared" ca="1" si="56"/>
        <v>1.1185719571348938</v>
      </c>
      <c r="BU19" s="83">
        <f t="shared" ca="1" si="57"/>
        <v>0.96102661105955667</v>
      </c>
      <c r="BV19" s="83">
        <f t="shared" ca="1" si="58"/>
        <v>4.5570783116069604</v>
      </c>
      <c r="BW19" s="83">
        <f t="shared" ca="1" si="59"/>
        <v>10.036006086286839</v>
      </c>
      <c r="BX19" s="83">
        <f t="shared" ca="1" si="60"/>
        <v>0.71857467187789492</v>
      </c>
      <c r="BY19" s="83">
        <f t="shared" ca="1" si="61"/>
        <v>1.1185719571348938</v>
      </c>
      <c r="BZ19" s="83">
        <f t="shared" ca="1" si="62"/>
        <v>0.96102661105955667</v>
      </c>
      <c r="CA19" s="83">
        <f t="shared" ca="1" si="63"/>
        <v>6.3198162958769055</v>
      </c>
      <c r="CB19" s="83">
        <f t="shared" ca="1" si="64"/>
        <v>8.1230771184356687</v>
      </c>
      <c r="CC19" s="83">
        <f t="shared" ca="1" si="65"/>
        <v>0.87891778047874747</v>
      </c>
      <c r="CD19" s="83">
        <f t="shared" ca="1" si="66"/>
        <v>4.0663160318954423</v>
      </c>
      <c r="CE19" s="83">
        <f t="shared" ca="1" si="67"/>
        <v>3.6700281326312663</v>
      </c>
      <c r="CF19" s="83">
        <f t="shared" ca="1" si="68"/>
        <v>6.6869014920207412</v>
      </c>
      <c r="CG19" s="83">
        <f t="shared" ca="1" si="69"/>
        <v>3.6700281326312663</v>
      </c>
      <c r="CH19" s="83">
        <f t="shared" ca="1" si="70"/>
        <v>4.8261710204091379</v>
      </c>
      <c r="CI19" s="83">
        <f t="shared" ca="1" si="71"/>
        <v>8.1299894694284145</v>
      </c>
      <c r="CJ19" s="83">
        <f t="shared" ca="1" si="72"/>
        <v>4.8261710204091379</v>
      </c>
      <c r="CK19" s="83">
        <f t="shared" ca="1" si="73"/>
        <v>2.5038891822016267</v>
      </c>
    </row>
    <row r="20" spans="1:89" x14ac:dyDescent="0.25">
      <c r="A20" t="str">
        <f>Plantilla!D21</f>
        <v>P. Tuderek</v>
      </c>
      <c r="B20" s="330">
        <f>Plantilla!E21</f>
        <v>18</v>
      </c>
      <c r="C20" s="120">
        <f ca="1">Plantilla!F21</f>
        <v>75</v>
      </c>
      <c r="D20" s="330" t="str">
        <f>Plantilla!G21</f>
        <v>CAB</v>
      </c>
      <c r="E20" s="273">
        <f>Plantilla!O21</f>
        <v>43626</v>
      </c>
      <c r="F20" s="120">
        <f>Plantilla!Q21</f>
        <v>6</v>
      </c>
      <c r="G20" s="147">
        <f t="shared" si="0"/>
        <v>0.92582009977255142</v>
      </c>
      <c r="H20" s="147">
        <f t="shared" si="1"/>
        <v>0.99928545900129484</v>
      </c>
      <c r="I20" s="200">
        <f ca="1">Plantilla!P21</f>
        <v>0.15364458747949647</v>
      </c>
      <c r="J20" s="201">
        <f>Plantilla!I21</f>
        <v>0.6</v>
      </c>
      <c r="K20" s="49">
        <f>Plantilla!X21</f>
        <v>0</v>
      </c>
      <c r="L20" s="49">
        <f>Plantilla!Y21</f>
        <v>6</v>
      </c>
      <c r="M20" s="49">
        <f>Plantilla!Z21</f>
        <v>6.2833333333333332</v>
      </c>
      <c r="N20" s="49">
        <f>Plantilla!AA21</f>
        <v>2</v>
      </c>
      <c r="O20" s="49">
        <f>Plantilla!AB21</f>
        <v>3</v>
      </c>
      <c r="P20" s="49">
        <f>Plantilla!AC21</f>
        <v>6</v>
      </c>
      <c r="Q20" s="49">
        <f>Plantilla!AD21</f>
        <v>8</v>
      </c>
      <c r="R20" s="201">
        <f t="shared" si="2"/>
        <v>1.875</v>
      </c>
      <c r="S20" s="201">
        <f t="shared" ca="1" si="3"/>
        <v>6.445840222793489</v>
      </c>
      <c r="T20" s="49">
        <f t="shared" si="4"/>
        <v>0.54</v>
      </c>
      <c r="U20" s="49">
        <f t="shared" si="5"/>
        <v>0.48000000000000009</v>
      </c>
      <c r="V20" s="201">
        <f t="shared" ca="1" si="6"/>
        <v>7.3469904704604838</v>
      </c>
      <c r="W20" s="201">
        <f t="shared" ca="1" si="7"/>
        <v>7.9299863400631594</v>
      </c>
      <c r="X20" s="83">
        <f t="shared" ca="1" si="8"/>
        <v>1.5318997803161616</v>
      </c>
      <c r="Y20" s="83">
        <f t="shared" ca="1" si="9"/>
        <v>2.3664795147630748</v>
      </c>
      <c r="Z20" s="83">
        <f t="shared" ca="1" si="10"/>
        <v>1.5318997803161616</v>
      </c>
      <c r="AA20" s="83">
        <f t="shared" ca="1" si="11"/>
        <v>3.0226486674033666</v>
      </c>
      <c r="AB20" s="83">
        <f t="shared" ca="1" si="12"/>
        <v>5.8578462546576873</v>
      </c>
      <c r="AC20" s="83">
        <f t="shared" ca="1" si="13"/>
        <v>1.5113243337016833</v>
      </c>
      <c r="AD20" s="83">
        <f t="shared" ca="1" si="14"/>
        <v>1.4616007419418628</v>
      </c>
      <c r="AE20" s="83">
        <f t="shared" ca="1" si="15"/>
        <v>2.2142658842606058</v>
      </c>
      <c r="AF20" s="83">
        <f t="shared" ca="1" si="16"/>
        <v>4.2352228421175075</v>
      </c>
      <c r="AG20" s="83">
        <f t="shared" ca="1" si="17"/>
        <v>1.1071329421303029</v>
      </c>
      <c r="AH20" s="83">
        <f t="shared" ca="1" si="18"/>
        <v>2.364354141376543</v>
      </c>
      <c r="AI20" s="83">
        <f t="shared" ca="1" si="19"/>
        <v>5.3892185542850726</v>
      </c>
      <c r="AJ20" s="83">
        <f t="shared" ca="1" si="20"/>
        <v>2.4251483494282824</v>
      </c>
      <c r="AK20" s="83">
        <f t="shared" ca="1" si="21"/>
        <v>1.0255769911945005</v>
      </c>
      <c r="AL20" s="83">
        <f t="shared" ca="1" si="22"/>
        <v>1.0924135977387204</v>
      </c>
      <c r="AM20" s="83">
        <f t="shared" ca="1" si="23"/>
        <v>4.4168160760118962</v>
      </c>
      <c r="AN20" s="83">
        <f t="shared" ca="1" si="24"/>
        <v>4.1473551482976427</v>
      </c>
      <c r="AO20" s="83">
        <f t="shared" ca="1" si="25"/>
        <v>1.3122603245278339</v>
      </c>
      <c r="AP20" s="83">
        <f t="shared" ca="1" si="26"/>
        <v>0.49905972134141408</v>
      </c>
      <c r="AQ20" s="83">
        <f t="shared" ca="1" si="27"/>
        <v>1.5816184887575757</v>
      </c>
      <c r="AR20" s="83">
        <f t="shared" ca="1" si="28"/>
        <v>3.4795606752666659</v>
      </c>
      <c r="AS20" s="83">
        <f t="shared" ca="1" si="29"/>
        <v>0.79080924437878786</v>
      </c>
      <c r="AT20" s="83">
        <f t="shared" ca="1" si="30"/>
        <v>5.7972735310635226</v>
      </c>
      <c r="AU20" s="83">
        <f t="shared" ca="1" si="31"/>
        <v>0.37152001310549948</v>
      </c>
      <c r="AV20" s="83">
        <f t="shared" ca="1" si="32"/>
        <v>1.3563489526147023</v>
      </c>
      <c r="AW20" s="83">
        <f t="shared" ca="1" si="33"/>
        <v>0.18576000655274974</v>
      </c>
      <c r="AX20" s="83">
        <f t="shared" ca="1" si="34"/>
        <v>1.1071329421303029</v>
      </c>
      <c r="AY20" s="83">
        <f t="shared" ca="1" si="35"/>
        <v>2.3431385018630748</v>
      </c>
      <c r="AZ20" s="83">
        <f t="shared" ca="1" si="36"/>
        <v>0.55356647106515144</v>
      </c>
      <c r="BA20" s="83">
        <f t="shared" ca="1" si="37"/>
        <v>6.1411795879910205</v>
      </c>
      <c r="BB20" s="83">
        <f t="shared" ca="1" si="38"/>
        <v>0.72303510242839508</v>
      </c>
      <c r="BC20" s="83">
        <f t="shared" ca="1" si="39"/>
        <v>2.2046732863163858</v>
      </c>
      <c r="BD20" s="83">
        <f t="shared" ca="1" si="40"/>
        <v>0.36151755121419754</v>
      </c>
      <c r="BE20" s="83">
        <f t="shared" ca="1" si="41"/>
        <v>1.7046332601053868</v>
      </c>
      <c r="BF20" s="83">
        <f t="shared" ca="1" si="42"/>
        <v>2.0385304966208748</v>
      </c>
      <c r="BG20" s="83">
        <f t="shared" ca="1" si="43"/>
        <v>5.4103792170200888</v>
      </c>
      <c r="BH20" s="83">
        <f t="shared" ca="1" si="44"/>
        <v>1.9666253203906847</v>
      </c>
      <c r="BI20" s="83">
        <f t="shared" ca="1" si="45"/>
        <v>0.6887409473725028</v>
      </c>
      <c r="BJ20" s="83">
        <f t="shared" ca="1" si="46"/>
        <v>2.8410554335089784</v>
      </c>
      <c r="BK20" s="83">
        <f t="shared" ca="1" si="47"/>
        <v>1.5464714112296296</v>
      </c>
      <c r="BL20" s="83">
        <f t="shared" ca="1" si="48"/>
        <v>2.339789423024579</v>
      </c>
      <c r="BM20" s="83">
        <f t="shared" ca="1" si="49"/>
        <v>1.8247576265708194</v>
      </c>
      <c r="BN20" s="83">
        <f t="shared" ca="1" si="50"/>
        <v>0.14860800524219978</v>
      </c>
      <c r="BO20" s="83">
        <f t="shared" ca="1" si="51"/>
        <v>1.0544123258383837</v>
      </c>
      <c r="BP20" s="83">
        <f t="shared" ca="1" si="52"/>
        <v>0.39833354531672277</v>
      </c>
      <c r="BQ20" s="83">
        <f t="shared" ca="1" si="53"/>
        <v>1.8730597743372612</v>
      </c>
      <c r="BR20" s="83">
        <f t="shared" ca="1" si="54"/>
        <v>2.6751902834897869</v>
      </c>
      <c r="BS20" s="83">
        <f t="shared" ca="1" si="55"/>
        <v>0.38580924437878794</v>
      </c>
      <c r="BT20" s="83">
        <f t="shared" ca="1" si="56"/>
        <v>1.6636283363227831</v>
      </c>
      <c r="BU20" s="83">
        <f t="shared" ca="1" si="57"/>
        <v>1.4293144861364757</v>
      </c>
      <c r="BV20" s="83">
        <f t="shared" ca="1" si="58"/>
        <v>2.7942367125359144</v>
      </c>
      <c r="BW20" s="83">
        <f t="shared" ca="1" si="59"/>
        <v>2.3024936501607183</v>
      </c>
      <c r="BX20" s="83">
        <f t="shared" ca="1" si="60"/>
        <v>0.34579939681358024</v>
      </c>
      <c r="BY20" s="83">
        <f t="shared" ca="1" si="61"/>
        <v>1.6636283363227831</v>
      </c>
      <c r="BZ20" s="83">
        <f t="shared" ca="1" si="62"/>
        <v>1.4293144861364757</v>
      </c>
      <c r="CA20" s="83">
        <f t="shared" ca="1" si="63"/>
        <v>3.8750843200223342</v>
      </c>
      <c r="CB20" s="83">
        <f t="shared" ca="1" si="64"/>
        <v>1.8557723979186305</v>
      </c>
      <c r="CC20" s="83">
        <f t="shared" ca="1" si="65"/>
        <v>0.42296124568933785</v>
      </c>
      <c r="CD20" s="83">
        <f t="shared" ca="1" si="66"/>
        <v>2.4933189127243547</v>
      </c>
      <c r="CE20" s="83">
        <f t="shared" ca="1" si="67"/>
        <v>1.7259378986766554</v>
      </c>
      <c r="CF20" s="83">
        <f t="shared" ca="1" si="68"/>
        <v>4.9669348827445559</v>
      </c>
      <c r="CG20" s="83">
        <f t="shared" ca="1" si="69"/>
        <v>1.7259378986766554</v>
      </c>
      <c r="CH20" s="83">
        <f t="shared" ca="1" si="70"/>
        <v>2.5594906239070707</v>
      </c>
      <c r="CI20" s="83">
        <f t="shared" ca="1" si="71"/>
        <v>6.9123915226263737</v>
      </c>
      <c r="CJ20" s="83">
        <f t="shared" ca="1" si="72"/>
        <v>2.5594906239070707</v>
      </c>
      <c r="CK20" s="83">
        <f t="shared" ca="1" si="73"/>
        <v>1.5352948969977551</v>
      </c>
    </row>
    <row r="21" spans="1:89" x14ac:dyDescent="0.25">
      <c r="A21">
        <f>Plantilla!D22</f>
        <v>0</v>
      </c>
      <c r="B21" s="330">
        <f>Plantilla!E22</f>
        <v>18</v>
      </c>
      <c r="C21" s="120">
        <f ca="1">Plantilla!F22</f>
        <v>107</v>
      </c>
      <c r="D21" s="330" t="str">
        <f>Plantilla!G22</f>
        <v>RAP</v>
      </c>
      <c r="E21" s="273">
        <f>Plantilla!O22</f>
        <v>43626</v>
      </c>
      <c r="F21" s="120">
        <f>Plantilla!Q22</f>
        <v>5</v>
      </c>
      <c r="G21" s="147">
        <f t="shared" si="0"/>
        <v>0.84515425472851657</v>
      </c>
      <c r="H21" s="147">
        <f t="shared" si="1"/>
        <v>0.92504826128926143</v>
      </c>
      <c r="I21" s="200">
        <f ca="1">Plantilla!P22</f>
        <v>0.15364458747949647</v>
      </c>
      <c r="J21" s="201">
        <f>Plantilla!I22</f>
        <v>0.5</v>
      </c>
      <c r="K21" s="49">
        <f>Plantilla!X22</f>
        <v>0</v>
      </c>
      <c r="L21" s="49">
        <f>Plantilla!Y22</f>
        <v>4</v>
      </c>
      <c r="M21" s="49">
        <f>Plantilla!Z22</f>
        <v>5.2857142857142856</v>
      </c>
      <c r="N21" s="49">
        <f>Plantilla!AA22</f>
        <v>3</v>
      </c>
      <c r="O21" s="49">
        <f>Plantilla!AB22</f>
        <v>4</v>
      </c>
      <c r="P21" s="49">
        <f>Plantilla!AC22</f>
        <v>9</v>
      </c>
      <c r="Q21" s="49">
        <f>Plantilla!AD22</f>
        <v>8</v>
      </c>
      <c r="R21" s="201">
        <f t="shared" si="2"/>
        <v>1.875</v>
      </c>
      <c r="S21" s="201">
        <f t="shared" ca="1" si="3"/>
        <v>11.192519484439822</v>
      </c>
      <c r="T21" s="49">
        <f t="shared" si="4"/>
        <v>0.69000000000000006</v>
      </c>
      <c r="U21" s="49">
        <f t="shared" si="5"/>
        <v>0.4</v>
      </c>
      <c r="V21" s="201">
        <f t="shared" ca="1" si="6"/>
        <v>6.6176268614220257</v>
      </c>
      <c r="W21" s="201">
        <f t="shared" ca="1" si="7"/>
        <v>7.2432034599245636</v>
      </c>
      <c r="X21" s="83">
        <f t="shared" ca="1" si="8"/>
        <v>0.88773280991672643</v>
      </c>
      <c r="Y21" s="83">
        <f t="shared" ca="1" si="9"/>
        <v>1.38018219656643</v>
      </c>
      <c r="Z21" s="83">
        <f t="shared" ca="1" si="10"/>
        <v>0.88773280991672643</v>
      </c>
      <c r="AA21" s="83">
        <f t="shared" ca="1" si="11"/>
        <v>1.936171970122601</v>
      </c>
      <c r="AB21" s="83">
        <f t="shared" ca="1" si="12"/>
        <v>3.7522712599275212</v>
      </c>
      <c r="AC21" s="83">
        <f t="shared" ca="1" si="13"/>
        <v>0.9680859850613005</v>
      </c>
      <c r="AD21" s="83">
        <f t="shared" ca="1" si="14"/>
        <v>1.1990405598627498</v>
      </c>
      <c r="AE21" s="83">
        <f t="shared" ca="1" si="15"/>
        <v>1.418358536252603</v>
      </c>
      <c r="AF21" s="83">
        <f t="shared" ca="1" si="16"/>
        <v>2.7128921209275978</v>
      </c>
      <c r="AG21" s="83">
        <f t="shared" ca="1" si="17"/>
        <v>0.7091792681263015</v>
      </c>
      <c r="AH21" s="83">
        <f t="shared" ca="1" si="18"/>
        <v>1.9396244350720955</v>
      </c>
      <c r="AI21" s="83">
        <f t="shared" ca="1" si="19"/>
        <v>3.4520895591333196</v>
      </c>
      <c r="AJ21" s="83">
        <f t="shared" ca="1" si="20"/>
        <v>1.5534403016099938</v>
      </c>
      <c r="AK21" s="83">
        <f t="shared" ca="1" si="21"/>
        <v>0.84134358612218174</v>
      </c>
      <c r="AL21" s="83">
        <f t="shared" ca="1" si="22"/>
        <v>1.6183355008373825</v>
      </c>
      <c r="AM21" s="83">
        <f t="shared" ca="1" si="23"/>
        <v>2.8292125299853508</v>
      </c>
      <c r="AN21" s="83">
        <f t="shared" ca="1" si="24"/>
        <v>2.6566080520286848</v>
      </c>
      <c r="AO21" s="83">
        <f t="shared" ca="1" si="25"/>
        <v>1.2946293004078961</v>
      </c>
      <c r="AP21" s="83">
        <f t="shared" ca="1" si="26"/>
        <v>0.46865412285912622</v>
      </c>
      <c r="AQ21" s="83">
        <f t="shared" ca="1" si="27"/>
        <v>1.0131132401804308</v>
      </c>
      <c r="AR21" s="83">
        <f t="shared" ca="1" si="28"/>
        <v>2.2288491283969476</v>
      </c>
      <c r="AS21" s="83">
        <f t="shared" ca="1" si="29"/>
        <v>0.5065566200902154</v>
      </c>
      <c r="AT21" s="83">
        <f t="shared" ca="1" si="30"/>
        <v>4.7558583550858646</v>
      </c>
      <c r="AU21" s="83">
        <f t="shared" ca="1" si="31"/>
        <v>0.48779526379057775</v>
      </c>
      <c r="AV21" s="83">
        <f t="shared" ca="1" si="32"/>
        <v>1.9644154791587638</v>
      </c>
      <c r="AW21" s="83">
        <f t="shared" ca="1" si="33"/>
        <v>0.24389763189528887</v>
      </c>
      <c r="AX21" s="83">
        <f t="shared" ca="1" si="34"/>
        <v>0.7091792681263015</v>
      </c>
      <c r="AY21" s="83">
        <f t="shared" ca="1" si="35"/>
        <v>1.5009085039710086</v>
      </c>
      <c r="AZ21" s="83">
        <f t="shared" ca="1" si="36"/>
        <v>0.35458963406315075</v>
      </c>
      <c r="BA21" s="83">
        <f t="shared" ca="1" si="37"/>
        <v>5.0379855456418063</v>
      </c>
      <c r="BB21" s="83">
        <f t="shared" ca="1" si="38"/>
        <v>0.9493246287616629</v>
      </c>
      <c r="BC21" s="83">
        <f t="shared" ca="1" si="39"/>
        <v>3.117501464220064</v>
      </c>
      <c r="BD21" s="83">
        <f t="shared" ca="1" si="40"/>
        <v>0.47466231438083145</v>
      </c>
      <c r="BE21" s="83">
        <f t="shared" ca="1" si="41"/>
        <v>1.0919109366389086</v>
      </c>
      <c r="BF21" s="83">
        <f t="shared" ca="1" si="42"/>
        <v>1.3057903984547772</v>
      </c>
      <c r="BG21" s="83">
        <f t="shared" ca="1" si="43"/>
        <v>4.4384652657104313</v>
      </c>
      <c r="BH21" s="83">
        <f t="shared" ca="1" si="44"/>
        <v>2.7617691500755663</v>
      </c>
      <c r="BI21" s="83">
        <f t="shared" ca="1" si="45"/>
        <v>0.9042973736425326</v>
      </c>
      <c r="BJ21" s="83">
        <f t="shared" ca="1" si="46"/>
        <v>1.8198515610648478</v>
      </c>
      <c r="BK21" s="83">
        <f t="shared" ca="1" si="47"/>
        <v>0.9905996126208656</v>
      </c>
      <c r="BL21" s="83">
        <f t="shared" ca="1" si="48"/>
        <v>1.9194724928895281</v>
      </c>
      <c r="BM21" s="83">
        <f t="shared" ca="1" si="49"/>
        <v>2.606485081176654</v>
      </c>
      <c r="BN21" s="83">
        <f t="shared" ca="1" si="50"/>
        <v>0.1951181055162311</v>
      </c>
      <c r="BO21" s="83">
        <f t="shared" ca="1" si="51"/>
        <v>0.6754088267869538</v>
      </c>
      <c r="BP21" s="83">
        <f t="shared" ca="1" si="52"/>
        <v>0.25515444567507145</v>
      </c>
      <c r="BQ21" s="83">
        <f t="shared" ca="1" si="53"/>
        <v>1.5365855914207509</v>
      </c>
      <c r="BR21" s="83">
        <f t="shared" ca="1" si="54"/>
        <v>3.8254208402667924</v>
      </c>
      <c r="BS21" s="83">
        <f t="shared" ca="1" si="55"/>
        <v>0.5065566200902154</v>
      </c>
      <c r="BT21" s="83">
        <f t="shared" ca="1" si="56"/>
        <v>1.065645037819416</v>
      </c>
      <c r="BU21" s="83">
        <f t="shared" ca="1" si="57"/>
        <v>0.9155541874223152</v>
      </c>
      <c r="BV21" s="83">
        <f t="shared" ca="1" si="58"/>
        <v>2.2922834232670222</v>
      </c>
      <c r="BW21" s="83">
        <f t="shared" ca="1" si="59"/>
        <v>3.2935165559996937</v>
      </c>
      <c r="BX21" s="83">
        <f t="shared" ca="1" si="60"/>
        <v>0.45402482245123005</v>
      </c>
      <c r="BY21" s="83">
        <f t="shared" ca="1" si="61"/>
        <v>1.065645037819416</v>
      </c>
      <c r="BZ21" s="83">
        <f t="shared" ca="1" si="62"/>
        <v>0.9155541874223152</v>
      </c>
      <c r="CA21" s="83">
        <f t="shared" ca="1" si="63"/>
        <v>3.1789688792999797</v>
      </c>
      <c r="CB21" s="83">
        <f t="shared" ca="1" si="64"/>
        <v>2.6562827776351314</v>
      </c>
      <c r="CC21" s="83">
        <f t="shared" ca="1" si="65"/>
        <v>0.5553361464692731</v>
      </c>
      <c r="CD21" s="83">
        <f t="shared" ca="1" si="66"/>
        <v>2.0454221315305734</v>
      </c>
      <c r="CE21" s="83">
        <f t="shared" ca="1" si="67"/>
        <v>2.4459333264222387</v>
      </c>
      <c r="CF21" s="83">
        <f t="shared" ca="1" si="68"/>
        <v>7.1400574386783893</v>
      </c>
      <c r="CG21" s="83">
        <f t="shared" ca="1" si="69"/>
        <v>2.4459333264222387</v>
      </c>
      <c r="CH21" s="83">
        <f t="shared" ca="1" si="70"/>
        <v>3.6367174021901767</v>
      </c>
      <c r="CI21" s="83">
        <f t="shared" ca="1" si="71"/>
        <v>10.136859354840777</v>
      </c>
      <c r="CJ21" s="83">
        <f t="shared" ca="1" si="72"/>
        <v>3.6367174021901767</v>
      </c>
      <c r="CK21" s="83">
        <f t="shared" ca="1" si="73"/>
        <v>1.2594963864104516</v>
      </c>
    </row>
    <row r="22" spans="1:89" x14ac:dyDescent="0.25">
      <c r="A22" t="str">
        <f>Plantilla!D23</f>
        <v>K. Helms</v>
      </c>
      <c r="B22" s="330">
        <f>Plantilla!E23</f>
        <v>35</v>
      </c>
      <c r="C22" s="120">
        <f ca="1">Plantilla!F23</f>
        <v>38</v>
      </c>
      <c r="D22" s="330" t="str">
        <f>Plantilla!G23</f>
        <v>TEC</v>
      </c>
      <c r="E22" s="273">
        <v>36526</v>
      </c>
      <c r="F22" s="120">
        <f>Plantilla!Q23</f>
        <v>7</v>
      </c>
      <c r="G22" s="147">
        <f t="shared" si="0"/>
        <v>1</v>
      </c>
      <c r="H22" s="147">
        <f t="shared" si="1"/>
        <v>1</v>
      </c>
      <c r="I22" s="200">
        <f>Plantilla!P23</f>
        <v>1.5</v>
      </c>
      <c r="J22" s="201">
        <f>Plantilla!I23</f>
        <v>13.5</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201">
        <f t="shared" si="2"/>
        <v>3.7687878787878786</v>
      </c>
      <c r="S22" s="201">
        <f t="shared" si="3"/>
        <v>15.502716837831953</v>
      </c>
      <c r="T22" s="49">
        <f t="shared" si="4"/>
        <v>0.73750000000000004</v>
      </c>
      <c r="U22" s="49">
        <f t="shared" si="5"/>
        <v>0.8300121212121212</v>
      </c>
      <c r="V22" s="201">
        <f t="shared" ca="1" si="6"/>
        <v>20.507111691326674</v>
      </c>
      <c r="W22" s="201">
        <f t="shared" ca="1" si="7"/>
        <v>20.507111691326674</v>
      </c>
      <c r="X22" s="83">
        <f t="shared" si="8"/>
        <v>4.626292142891824</v>
      </c>
      <c r="Y22" s="83">
        <f t="shared" si="9"/>
        <v>6.9635599813815254</v>
      </c>
      <c r="Z22" s="83">
        <f t="shared" si="10"/>
        <v>4.626292142891824</v>
      </c>
      <c r="AA22" s="83">
        <f t="shared" si="11"/>
        <v>5.2928259963609277</v>
      </c>
      <c r="AB22" s="83">
        <f t="shared" si="12"/>
        <v>10.257414721629704</v>
      </c>
      <c r="AC22" s="83">
        <f t="shared" si="13"/>
        <v>2.6464129981804638</v>
      </c>
      <c r="AD22" s="83">
        <f t="shared" si="14"/>
        <v>3.2384925825357493</v>
      </c>
      <c r="AE22" s="83">
        <f t="shared" si="15"/>
        <v>3.8773027647760281</v>
      </c>
      <c r="AF22" s="83">
        <f t="shared" si="16"/>
        <v>7.4161108437382763</v>
      </c>
      <c r="AG22" s="83">
        <f t="shared" si="17"/>
        <v>1.938651382388014</v>
      </c>
      <c r="AH22" s="83">
        <f t="shared" si="18"/>
        <v>5.2387380011607716</v>
      </c>
      <c r="AI22" s="83">
        <f t="shared" si="19"/>
        <v>9.4368215438993275</v>
      </c>
      <c r="AJ22" s="83">
        <f t="shared" si="20"/>
        <v>4.2465696947546974</v>
      </c>
      <c r="AK22" s="83">
        <f t="shared" si="21"/>
        <v>2.2723876524515556</v>
      </c>
      <c r="AL22" s="83">
        <f t="shared" si="22"/>
        <v>9.3827816745000838</v>
      </c>
      <c r="AM22" s="83">
        <f t="shared" si="23"/>
        <v>7.7340907001087968</v>
      </c>
      <c r="AN22" s="83">
        <f t="shared" si="24"/>
        <v>7.2622496229138305</v>
      </c>
      <c r="AO22" s="83">
        <f t="shared" si="25"/>
        <v>3.5081876524515549</v>
      </c>
      <c r="AP22" s="83">
        <f t="shared" si="26"/>
        <v>1.9514590761929913</v>
      </c>
      <c r="AQ22" s="83">
        <f t="shared" si="27"/>
        <v>2.7695019748400203</v>
      </c>
      <c r="AR22" s="83">
        <f t="shared" si="28"/>
        <v>6.0929043446480442</v>
      </c>
      <c r="AS22" s="83">
        <f t="shared" si="29"/>
        <v>1.3847509874200101</v>
      </c>
      <c r="AT22" s="83">
        <f t="shared" si="30"/>
        <v>12.845113436612385</v>
      </c>
      <c r="AU22" s="83">
        <f t="shared" si="31"/>
        <v>1.6844245198724677</v>
      </c>
      <c r="AV22" s="83">
        <f t="shared" si="32"/>
        <v>2.7584337255587155</v>
      </c>
      <c r="AW22" s="83">
        <f t="shared" si="33"/>
        <v>0.84221225993623383</v>
      </c>
      <c r="AX22" s="83">
        <f t="shared" si="34"/>
        <v>1.938651382388014</v>
      </c>
      <c r="AY22" s="83">
        <f t="shared" si="35"/>
        <v>4.1029658886518821</v>
      </c>
      <c r="AZ22" s="83">
        <f t="shared" si="36"/>
        <v>0.96932569119400702</v>
      </c>
      <c r="BA22" s="83">
        <f t="shared" si="37"/>
        <v>13.607111691326679</v>
      </c>
      <c r="BB22" s="83">
        <f t="shared" si="38"/>
        <v>3.2781492579056484</v>
      </c>
      <c r="BC22" s="83">
        <f t="shared" si="39"/>
        <v>5.8793685419209973</v>
      </c>
      <c r="BD22" s="83">
        <f t="shared" si="40"/>
        <v>1.6390746289528242</v>
      </c>
      <c r="BE22" s="83">
        <f t="shared" si="41"/>
        <v>2.9849076839942437</v>
      </c>
      <c r="BF22" s="83">
        <f t="shared" si="42"/>
        <v>3.5695803231271368</v>
      </c>
      <c r="BG22" s="83">
        <f t="shared" si="43"/>
        <v>11.987865400058805</v>
      </c>
      <c r="BH22" s="83">
        <f t="shared" si="44"/>
        <v>13.240872293589412</v>
      </c>
      <c r="BI22" s="83">
        <f t="shared" si="45"/>
        <v>3.1226639176097284</v>
      </c>
      <c r="BJ22" s="83">
        <f t="shared" si="46"/>
        <v>4.9748461399904063</v>
      </c>
      <c r="BK22" s="83">
        <f t="shared" si="47"/>
        <v>2.7079574865102423</v>
      </c>
      <c r="BL22" s="83">
        <f t="shared" si="48"/>
        <v>5.1843095543954645</v>
      </c>
      <c r="BM22" s="83">
        <f t="shared" si="49"/>
        <v>13.343515618219515</v>
      </c>
      <c r="BN22" s="83">
        <f t="shared" si="50"/>
        <v>0.673769807948987</v>
      </c>
      <c r="BO22" s="83">
        <f t="shared" si="51"/>
        <v>1.8463346498933466</v>
      </c>
      <c r="BP22" s="83">
        <f t="shared" si="52"/>
        <v>0.6975042010708199</v>
      </c>
      <c r="BQ22" s="83">
        <f t="shared" si="53"/>
        <v>4.1501690658546373</v>
      </c>
      <c r="BR22" s="83">
        <f t="shared" si="54"/>
        <v>19.662845635046104</v>
      </c>
      <c r="BS22" s="83">
        <f t="shared" si="55"/>
        <v>1.7492100783291011</v>
      </c>
      <c r="BT22" s="83">
        <f t="shared" si="56"/>
        <v>2.9131057809428356</v>
      </c>
      <c r="BU22" s="83">
        <f t="shared" si="57"/>
        <v>2.5028091920776476</v>
      </c>
      <c r="BV22" s="83">
        <f t="shared" si="58"/>
        <v>6.191235819553639</v>
      </c>
      <c r="BW22" s="83">
        <f t="shared" si="59"/>
        <v>16.948479753989954</v>
      </c>
      <c r="BX22" s="83">
        <f t="shared" si="60"/>
        <v>1.5678105146505275</v>
      </c>
      <c r="BY22" s="83">
        <f t="shared" si="61"/>
        <v>2.9131057809428356</v>
      </c>
      <c r="BZ22" s="83">
        <f t="shared" si="62"/>
        <v>2.5028091920776476</v>
      </c>
      <c r="CA22" s="83">
        <f t="shared" si="63"/>
        <v>8.5860874772271352</v>
      </c>
      <c r="CB22" s="83">
        <f t="shared" si="64"/>
        <v>13.702614963737371</v>
      </c>
      <c r="CC22" s="83">
        <f t="shared" si="65"/>
        <v>1.9176525303163476</v>
      </c>
      <c r="CD22" s="83">
        <f t="shared" si="66"/>
        <v>5.5244873466786322</v>
      </c>
      <c r="CE22" s="83">
        <f t="shared" si="67"/>
        <v>7.4752241264873307</v>
      </c>
      <c r="CF22" s="83">
        <f t="shared" si="68"/>
        <v>11.091707764433835</v>
      </c>
      <c r="CG22" s="83">
        <f t="shared" si="69"/>
        <v>7.4752241264873307</v>
      </c>
      <c r="CH22" s="83">
        <f t="shared" si="70"/>
        <v>7.0452805836965178</v>
      </c>
      <c r="CI22" s="83">
        <f t="shared" si="71"/>
        <v>11.738285905426217</v>
      </c>
      <c r="CJ22" s="83">
        <f t="shared" si="72"/>
        <v>7.0452805836965178</v>
      </c>
      <c r="CK22" s="83">
        <f t="shared" si="73"/>
        <v>3.4017779228316698</v>
      </c>
    </row>
    <row r="23" spans="1:89" x14ac:dyDescent="0.25">
      <c r="A23" t="str">
        <f>Plantilla!D24</f>
        <v>S. Zobbe</v>
      </c>
      <c r="B23" s="330">
        <f>Plantilla!E24</f>
        <v>32</v>
      </c>
      <c r="C23" s="120">
        <f ca="1">Plantilla!F24</f>
        <v>53</v>
      </c>
      <c r="D23" s="330" t="str">
        <f>Plantilla!G24</f>
        <v>CAB</v>
      </c>
      <c r="E23" s="273">
        <v>36526</v>
      </c>
      <c r="F23" s="120">
        <f>Plantilla!Q24</f>
        <v>5</v>
      </c>
      <c r="G23" s="147">
        <f t="shared" si="0"/>
        <v>0.84515425472851657</v>
      </c>
      <c r="H23" s="147">
        <f t="shared" si="1"/>
        <v>0.92504826128926143</v>
      </c>
      <c r="I23" s="200">
        <f>Plantilla!P24</f>
        <v>1.5</v>
      </c>
      <c r="J23" s="201">
        <f>Plantilla!I24</f>
        <v>13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201">
        <f t="shared" si="2"/>
        <v>3.9799999999999995</v>
      </c>
      <c r="S23" s="201">
        <f t="shared" si="3"/>
        <v>19.334419744797479</v>
      </c>
      <c r="T23" s="49">
        <f t="shared" si="4"/>
        <v>0.82750000000000001</v>
      </c>
      <c r="U23" s="49">
        <f t="shared" si="5"/>
        <v>0.81439999999999979</v>
      </c>
      <c r="V23" s="201">
        <f t="shared" ca="1" si="6"/>
        <v>15.622894282023008</v>
      </c>
      <c r="W23" s="201">
        <f t="shared" ca="1" si="7"/>
        <v>17.099755590219004</v>
      </c>
      <c r="X23" s="83">
        <f t="shared" si="8"/>
        <v>4.9134900620851578</v>
      </c>
      <c r="Y23" s="83">
        <f t="shared" si="9"/>
        <v>7.4069678237708345</v>
      </c>
      <c r="Z23" s="83">
        <f t="shared" si="10"/>
        <v>4.9134900620851578</v>
      </c>
      <c r="AA23" s="83">
        <f t="shared" si="11"/>
        <v>5.8541530263871024</v>
      </c>
      <c r="AB23" s="83">
        <f t="shared" si="12"/>
        <v>11.34525780307578</v>
      </c>
      <c r="AC23" s="83">
        <f t="shared" si="13"/>
        <v>2.9270765131935512</v>
      </c>
      <c r="AD23" s="83">
        <f t="shared" si="14"/>
        <v>3.6268035793542586</v>
      </c>
      <c r="AE23" s="83">
        <f t="shared" si="15"/>
        <v>4.288507449562645</v>
      </c>
      <c r="AF23" s="83">
        <f t="shared" si="16"/>
        <v>8.2026213916237882</v>
      </c>
      <c r="AG23" s="83">
        <f t="shared" si="17"/>
        <v>2.1442537247813225</v>
      </c>
      <c r="AH23" s="83">
        <f t="shared" si="18"/>
        <v>5.8668881430730657</v>
      </c>
      <c r="AI23" s="83">
        <f t="shared" si="19"/>
        <v>10.437637178829718</v>
      </c>
      <c r="AJ23" s="83">
        <f t="shared" si="20"/>
        <v>4.6969367304733725</v>
      </c>
      <c r="AK23" s="83">
        <f t="shared" si="21"/>
        <v>2.5448579737485768</v>
      </c>
      <c r="AL23" s="83">
        <f t="shared" si="22"/>
        <v>9.3699315882085585</v>
      </c>
      <c r="AM23" s="83">
        <f t="shared" si="23"/>
        <v>8.5543243835191376</v>
      </c>
      <c r="AN23" s="83">
        <f t="shared" si="24"/>
        <v>8.0324425245776521</v>
      </c>
      <c r="AO23" s="83">
        <f t="shared" si="25"/>
        <v>3.1705380531136558</v>
      </c>
      <c r="AP23" s="83">
        <f t="shared" si="26"/>
        <v>2.005994247285825</v>
      </c>
      <c r="AQ23" s="83">
        <f t="shared" si="27"/>
        <v>3.0632196068304607</v>
      </c>
      <c r="AR23" s="83">
        <f t="shared" si="28"/>
        <v>6.7390831350270135</v>
      </c>
      <c r="AS23" s="83">
        <f t="shared" si="29"/>
        <v>1.5316098034152303</v>
      </c>
      <c r="AT23" s="83">
        <f t="shared" si="30"/>
        <v>14.385304953405127</v>
      </c>
      <c r="AU23" s="83">
        <f t="shared" si="31"/>
        <v>1.7192835143998517</v>
      </c>
      <c r="AV23" s="83">
        <f t="shared" si="32"/>
        <v>3.3058305363012042</v>
      </c>
      <c r="AW23" s="83">
        <f t="shared" si="33"/>
        <v>0.85964175719992586</v>
      </c>
      <c r="AX23" s="83">
        <f t="shared" si="34"/>
        <v>2.1442537247813225</v>
      </c>
      <c r="AY23" s="83">
        <f t="shared" si="35"/>
        <v>4.5381031212303125</v>
      </c>
      <c r="AZ23" s="83">
        <f t="shared" si="36"/>
        <v>1.0721268623906612</v>
      </c>
      <c r="BA23" s="83">
        <f t="shared" si="37"/>
        <v>15.238670501488482</v>
      </c>
      <c r="BB23" s="83">
        <f t="shared" si="38"/>
        <v>3.3459902241781729</v>
      </c>
      <c r="BC23" s="83">
        <f t="shared" si="39"/>
        <v>6.5962170494947561</v>
      </c>
      <c r="BD23" s="83">
        <f t="shared" si="40"/>
        <v>1.6729951120890865</v>
      </c>
      <c r="BE23" s="83">
        <f t="shared" si="41"/>
        <v>3.301470020695052</v>
      </c>
      <c r="BF23" s="83">
        <f t="shared" si="42"/>
        <v>3.9481497154703713</v>
      </c>
      <c r="BG23" s="83">
        <f t="shared" si="43"/>
        <v>13.425268711811352</v>
      </c>
      <c r="BH23" s="83">
        <f t="shared" si="44"/>
        <v>13.31279418693437</v>
      </c>
      <c r="BI23" s="83">
        <f t="shared" si="45"/>
        <v>3.1872871305412636</v>
      </c>
      <c r="BJ23" s="83">
        <f t="shared" si="46"/>
        <v>5.5024500344917531</v>
      </c>
      <c r="BK23" s="83">
        <f t="shared" si="47"/>
        <v>2.995148060012006</v>
      </c>
      <c r="BL23" s="83">
        <f t="shared" si="48"/>
        <v>5.8059334610671121</v>
      </c>
      <c r="BM23" s="83">
        <f t="shared" si="49"/>
        <v>13.382705319888235</v>
      </c>
      <c r="BN23" s="83">
        <f t="shared" si="50"/>
        <v>0.68771340575994067</v>
      </c>
      <c r="BO23" s="83">
        <f t="shared" si="51"/>
        <v>2.0421464045536402</v>
      </c>
      <c r="BP23" s="83">
        <f t="shared" si="52"/>
        <v>0.77147753060915314</v>
      </c>
      <c r="BQ23" s="83">
        <f t="shared" si="53"/>
        <v>4.6477945029539871</v>
      </c>
      <c r="BR23" s="83">
        <f t="shared" si="54"/>
        <v>19.717681534755457</v>
      </c>
      <c r="BS23" s="83">
        <f t="shared" si="55"/>
        <v>1.7854098034152308</v>
      </c>
      <c r="BT23" s="83">
        <f t="shared" si="56"/>
        <v>3.2220532160735211</v>
      </c>
      <c r="BU23" s="83">
        <f t="shared" si="57"/>
        <v>2.7682429039504903</v>
      </c>
      <c r="BV23" s="83">
        <f t="shared" si="58"/>
        <v>6.9335950781772597</v>
      </c>
      <c r="BW23" s="83">
        <f t="shared" si="59"/>
        <v>16.995025645807967</v>
      </c>
      <c r="BX23" s="83">
        <f t="shared" si="60"/>
        <v>1.6002561941721696</v>
      </c>
      <c r="BY23" s="83">
        <f t="shared" si="61"/>
        <v>3.2220532160735211</v>
      </c>
      <c r="BZ23" s="83">
        <f t="shared" si="62"/>
        <v>2.7682429039504903</v>
      </c>
      <c r="CA23" s="83">
        <f t="shared" si="63"/>
        <v>9.6156010864392325</v>
      </c>
      <c r="CB23" s="83">
        <f t="shared" si="64"/>
        <v>13.739025733752825</v>
      </c>
      <c r="CC23" s="83">
        <f t="shared" si="65"/>
        <v>1.9573381548552158</v>
      </c>
      <c r="CD23" s="83">
        <f t="shared" si="66"/>
        <v>6.186900223604324</v>
      </c>
      <c r="CE23" s="83">
        <f t="shared" si="67"/>
        <v>6.8627693154024829</v>
      </c>
      <c r="CF23" s="83">
        <f t="shared" si="68"/>
        <v>12.973570286263332</v>
      </c>
      <c r="CG23" s="83">
        <f t="shared" si="69"/>
        <v>6.8627693154024829</v>
      </c>
      <c r="CH23" s="83">
        <f t="shared" si="70"/>
        <v>7.8528456113162122</v>
      </c>
      <c r="CI23" s="83">
        <f t="shared" si="71"/>
        <v>14.815377932410746</v>
      </c>
      <c r="CJ23" s="83">
        <f t="shared" si="72"/>
        <v>7.8528456113162122</v>
      </c>
      <c r="CK23" s="83">
        <f t="shared" si="73"/>
        <v>3.8096676253721204</v>
      </c>
    </row>
    <row r="24" spans="1:89" x14ac:dyDescent="0.25">
      <c r="A24" t="str">
        <f>Plantilla!D25</f>
        <v>L. Bauman</v>
      </c>
      <c r="B24" s="330">
        <f>Plantilla!E25</f>
        <v>35</v>
      </c>
      <c r="C24" s="120">
        <f ca="1">Plantilla!F25</f>
        <v>53</v>
      </c>
      <c r="D24" s="330">
        <f>Plantilla!G25</f>
        <v>0</v>
      </c>
      <c r="E24" s="273">
        <v>36526</v>
      </c>
      <c r="F24" s="120">
        <f>Plantilla!Q25</f>
        <v>5</v>
      </c>
      <c r="G24" s="147">
        <f t="shared" si="0"/>
        <v>0.84515425472851657</v>
      </c>
      <c r="H24" s="147">
        <f t="shared" si="1"/>
        <v>0.92504826128926143</v>
      </c>
      <c r="I24" s="200">
        <f>Plantilla!P25</f>
        <v>1.5</v>
      </c>
      <c r="J24" s="201">
        <f>Plantilla!I25</f>
        <v>12</v>
      </c>
      <c r="K24" s="49">
        <f>Plantilla!X25</f>
        <v>0</v>
      </c>
      <c r="L24" s="49">
        <f>Plantilla!Y25</f>
        <v>5.95</v>
      </c>
      <c r="M24" s="49">
        <f>Plantilla!Z25</f>
        <v>14.1</v>
      </c>
      <c r="N24" s="49">
        <f>Plantilla!AA25</f>
        <v>2.95</v>
      </c>
      <c r="O24" s="49">
        <f>Plantilla!AB25</f>
        <v>8.9499999999999993</v>
      </c>
      <c r="P24" s="49">
        <f>Plantilla!AC25</f>
        <v>5.95</v>
      </c>
      <c r="Q24" s="49">
        <f>Plantilla!AD25</f>
        <v>16.95</v>
      </c>
      <c r="R24" s="201">
        <f t="shared" si="2"/>
        <v>3.3562499999999997</v>
      </c>
      <c r="S24" s="201">
        <f t="shared" si="3"/>
        <v>18.094487405020338</v>
      </c>
      <c r="T24" s="49">
        <f t="shared" si="4"/>
        <v>0.80600000000000005</v>
      </c>
      <c r="U24" s="49">
        <f t="shared" si="5"/>
        <v>0.74649999999999994</v>
      </c>
      <c r="V24" s="201">
        <f t="shared" ca="1" si="6"/>
        <v>16.386618368004036</v>
      </c>
      <c r="W24" s="201">
        <f t="shared" ca="1" si="7"/>
        <v>17.935675937172022</v>
      </c>
      <c r="X24" s="83">
        <f t="shared" si="8"/>
        <v>4.2078669703994356</v>
      </c>
      <c r="Y24" s="83">
        <f t="shared" si="9"/>
        <v>6.322880651529978</v>
      </c>
      <c r="Z24" s="83">
        <f t="shared" si="10"/>
        <v>4.2078669703994356</v>
      </c>
      <c r="AA24" s="83">
        <f t="shared" si="11"/>
        <v>4.5866766972807662</v>
      </c>
      <c r="AB24" s="83">
        <f t="shared" si="12"/>
        <v>8.8889083280635006</v>
      </c>
      <c r="AC24" s="83">
        <f t="shared" si="13"/>
        <v>2.2933383486403831</v>
      </c>
      <c r="AD24" s="83">
        <f t="shared" si="14"/>
        <v>4.0552601820791123</v>
      </c>
      <c r="AE24" s="83">
        <f t="shared" si="15"/>
        <v>3.3600073480080033</v>
      </c>
      <c r="AF24" s="83">
        <f t="shared" si="16"/>
        <v>6.4266807211899106</v>
      </c>
      <c r="AG24" s="83">
        <f t="shared" si="17"/>
        <v>1.6800036740040016</v>
      </c>
      <c r="AH24" s="83">
        <f t="shared" si="18"/>
        <v>6.5599797063044472</v>
      </c>
      <c r="AI24" s="83">
        <f t="shared" si="19"/>
        <v>8.1777956618184202</v>
      </c>
      <c r="AJ24" s="83">
        <f t="shared" si="20"/>
        <v>3.6800080478182893</v>
      </c>
      <c r="AK24" s="83">
        <f t="shared" si="21"/>
        <v>2.8454976907866047</v>
      </c>
      <c r="AL24" s="83">
        <f t="shared" si="22"/>
        <v>3.4626780969013375</v>
      </c>
      <c r="AM24" s="83">
        <f t="shared" si="23"/>
        <v>6.7022368793598792</v>
      </c>
      <c r="AN24" s="83">
        <f t="shared" si="24"/>
        <v>6.2933470962689579</v>
      </c>
      <c r="AO24" s="83">
        <f t="shared" si="25"/>
        <v>3.3214476907866048</v>
      </c>
      <c r="AP24" s="83">
        <f t="shared" si="26"/>
        <v>1.8130055984822875</v>
      </c>
      <c r="AQ24" s="83">
        <f t="shared" si="27"/>
        <v>2.4000052485771453</v>
      </c>
      <c r="AR24" s="83">
        <f t="shared" si="28"/>
        <v>5.2800115468697193</v>
      </c>
      <c r="AS24" s="83">
        <f t="shared" si="29"/>
        <v>1.2000026242885726</v>
      </c>
      <c r="AT24" s="83">
        <f t="shared" si="30"/>
        <v>16.084729461691943</v>
      </c>
      <c r="AU24" s="83">
        <f t="shared" si="31"/>
        <v>1.5455580826482549</v>
      </c>
      <c r="AV24" s="83">
        <f t="shared" si="32"/>
        <v>2.9644501401226053</v>
      </c>
      <c r="AW24" s="83">
        <f t="shared" si="33"/>
        <v>0.77277904132412745</v>
      </c>
      <c r="AX24" s="83">
        <f t="shared" si="34"/>
        <v>1.6800036740040016</v>
      </c>
      <c r="AY24" s="83">
        <f t="shared" si="35"/>
        <v>3.5555633312254002</v>
      </c>
      <c r="AZ24" s="83">
        <f t="shared" si="36"/>
        <v>0.84000183700200082</v>
      </c>
      <c r="BA24" s="83">
        <f t="shared" si="37"/>
        <v>17.038908328063499</v>
      </c>
      <c r="BB24" s="83">
        <f t="shared" si="38"/>
        <v>3.0078938070000651</v>
      </c>
      <c r="BC24" s="83">
        <f t="shared" si="39"/>
        <v>5.9207884887629882</v>
      </c>
      <c r="BD24" s="83">
        <f t="shared" si="40"/>
        <v>1.5039469035000326</v>
      </c>
      <c r="BE24" s="83">
        <f t="shared" si="41"/>
        <v>2.5866723234664786</v>
      </c>
      <c r="BF24" s="83">
        <f t="shared" si="42"/>
        <v>3.0933400981660979</v>
      </c>
      <c r="BG24" s="83">
        <f t="shared" si="43"/>
        <v>15.011278237023943</v>
      </c>
      <c r="BH24" s="83">
        <f t="shared" si="44"/>
        <v>7.1252395036484515</v>
      </c>
      <c r="BI24" s="83">
        <f t="shared" si="45"/>
        <v>2.865226907063303</v>
      </c>
      <c r="BJ24" s="83">
        <f t="shared" si="46"/>
        <v>4.3111205391107976</v>
      </c>
      <c r="BK24" s="83">
        <f t="shared" si="47"/>
        <v>2.3466717986087642</v>
      </c>
      <c r="BL24" s="83">
        <f t="shared" si="48"/>
        <v>6.491824072992193</v>
      </c>
      <c r="BM24" s="83">
        <f t="shared" si="49"/>
        <v>6.3529058787274995</v>
      </c>
      <c r="BN24" s="83">
        <f t="shared" si="50"/>
        <v>0.61822323305930194</v>
      </c>
      <c r="BO24" s="83">
        <f t="shared" si="51"/>
        <v>1.60000349905143</v>
      </c>
      <c r="BP24" s="83">
        <f t="shared" si="52"/>
        <v>0.60444576630831803</v>
      </c>
      <c r="BQ24" s="83">
        <f t="shared" si="53"/>
        <v>5.1968670400593675</v>
      </c>
      <c r="BR24" s="83">
        <f t="shared" si="54"/>
        <v>9.289136109889661</v>
      </c>
      <c r="BS24" s="83">
        <f t="shared" si="55"/>
        <v>1.6050026242885724</v>
      </c>
      <c r="BT24" s="83">
        <f t="shared" si="56"/>
        <v>2.5244499651700338</v>
      </c>
      <c r="BU24" s="83">
        <f t="shared" si="57"/>
        <v>2.1688936320474941</v>
      </c>
      <c r="BV24" s="83">
        <f t="shared" si="58"/>
        <v>7.7527032892688927</v>
      </c>
      <c r="BW24" s="83">
        <f t="shared" si="59"/>
        <v>7.988910427494357</v>
      </c>
      <c r="BX24" s="83">
        <f t="shared" si="60"/>
        <v>1.4385579076956834</v>
      </c>
      <c r="BY24" s="83">
        <f t="shared" si="61"/>
        <v>2.5244499651700338</v>
      </c>
      <c r="BZ24" s="83">
        <f t="shared" si="62"/>
        <v>2.1688936320474941</v>
      </c>
      <c r="CA24" s="83">
        <f t="shared" si="63"/>
        <v>10.751551155008068</v>
      </c>
      <c r="CB24" s="83">
        <f t="shared" si="64"/>
        <v>6.4285729536168326</v>
      </c>
      <c r="CC24" s="83">
        <f t="shared" si="65"/>
        <v>1.7595584325533977</v>
      </c>
      <c r="CD24" s="83">
        <f t="shared" si="66"/>
        <v>6.9177967811937808</v>
      </c>
      <c r="CE24" s="83">
        <f t="shared" si="67"/>
        <v>4.9491212389210837</v>
      </c>
      <c r="CF24" s="83">
        <f t="shared" si="68"/>
        <v>11.637910777399501</v>
      </c>
      <c r="CG24" s="83">
        <f t="shared" si="69"/>
        <v>4.9491212389210837</v>
      </c>
      <c r="CH24" s="83">
        <f t="shared" si="70"/>
        <v>5.1707898883835606</v>
      </c>
      <c r="CI24" s="83">
        <f t="shared" si="71"/>
        <v>13.275915501118931</v>
      </c>
      <c r="CJ24" s="83">
        <f t="shared" si="72"/>
        <v>5.1707898883835606</v>
      </c>
      <c r="CK24" s="83">
        <f t="shared" si="73"/>
        <v>4.2597270820158748</v>
      </c>
    </row>
    <row r="25" spans="1:89" x14ac:dyDescent="0.25">
      <c r="A25" t="str">
        <f>Plantilla!D26</f>
        <v>J. Limon</v>
      </c>
      <c r="B25" s="330">
        <f>Plantilla!E26</f>
        <v>34</v>
      </c>
      <c r="C25" s="120">
        <f ca="1">Plantilla!F26</f>
        <v>90</v>
      </c>
      <c r="D25" s="330" t="str">
        <f>Plantilla!G26</f>
        <v>RAP</v>
      </c>
      <c r="E25" s="273">
        <v>36526</v>
      </c>
      <c r="F25" s="120">
        <f>Plantilla!Q26</f>
        <v>4</v>
      </c>
      <c r="G25" s="147">
        <f t="shared" si="0"/>
        <v>0.7559289460184544</v>
      </c>
      <c r="H25" s="147">
        <f t="shared" si="1"/>
        <v>0.84430867747355465</v>
      </c>
      <c r="I25" s="200">
        <f>Plantilla!P26</f>
        <v>1.5</v>
      </c>
      <c r="J25" s="201">
        <f>Plantilla!I26</f>
        <v>14.3</v>
      </c>
      <c r="K25" s="49">
        <f>Plantilla!X26</f>
        <v>0</v>
      </c>
      <c r="L25" s="49">
        <f>Plantilla!Y26</f>
        <v>6.8376190476190493</v>
      </c>
      <c r="M25" s="49">
        <f>Plantilla!Z26</f>
        <v>8.9499999999999993</v>
      </c>
      <c r="N25" s="49">
        <f>Plantilla!AA26</f>
        <v>8.7399999999999967</v>
      </c>
      <c r="O25" s="49">
        <f>Plantilla!AB26</f>
        <v>9.9499999999999993</v>
      </c>
      <c r="P25" s="49">
        <f>Plantilla!AC26</f>
        <v>6.95</v>
      </c>
      <c r="Q25" s="49">
        <f>Plantilla!AD26</f>
        <v>18.999999999999993</v>
      </c>
      <c r="R25" s="201">
        <f t="shared" si="2"/>
        <v>3.7172023809523811</v>
      </c>
      <c r="S25" s="201">
        <f t="shared" si="3"/>
        <v>21.106390190397043</v>
      </c>
      <c r="T25" s="49">
        <f t="shared" si="4"/>
        <v>0.91749999999999976</v>
      </c>
      <c r="U25" s="49">
        <f t="shared" si="5"/>
        <v>0.84350476190476176</v>
      </c>
      <c r="V25" s="201">
        <f t="shared" ca="1" si="6"/>
        <v>16.28304819116655</v>
      </c>
      <c r="W25" s="201">
        <f t="shared" ca="1" si="7"/>
        <v>18.18678720524397</v>
      </c>
      <c r="X25" s="83">
        <f t="shared" si="8"/>
        <v>4.5414940047521899</v>
      </c>
      <c r="Y25" s="83">
        <f t="shared" si="9"/>
        <v>6.8312065277279563</v>
      </c>
      <c r="Z25" s="83">
        <f t="shared" si="10"/>
        <v>4.5414940047521899</v>
      </c>
      <c r="AA25" s="83">
        <f t="shared" si="11"/>
        <v>5.0970826223473926</v>
      </c>
      <c r="AB25" s="83">
        <f t="shared" si="12"/>
        <v>9.8780670975724654</v>
      </c>
      <c r="AC25" s="83">
        <f t="shared" si="13"/>
        <v>2.5485413111736963</v>
      </c>
      <c r="AD25" s="83">
        <f t="shared" si="14"/>
        <v>2.8537266358889126</v>
      </c>
      <c r="AE25" s="83">
        <f t="shared" si="15"/>
        <v>3.7339093628823918</v>
      </c>
      <c r="AF25" s="83">
        <f t="shared" si="16"/>
        <v>7.1418425115448922</v>
      </c>
      <c r="AG25" s="83">
        <f t="shared" si="17"/>
        <v>1.8669546814411959</v>
      </c>
      <c r="AH25" s="83">
        <f t="shared" si="18"/>
        <v>4.6163224992320648</v>
      </c>
      <c r="AI25" s="83">
        <f t="shared" si="19"/>
        <v>9.0878217297666684</v>
      </c>
      <c r="AJ25" s="83">
        <f t="shared" si="20"/>
        <v>4.0895197783950001</v>
      </c>
      <c r="AK25" s="83">
        <f t="shared" si="21"/>
        <v>2.0024048243422206</v>
      </c>
      <c r="AL25" s="83">
        <f t="shared" si="22"/>
        <v>6.9269034533726055</v>
      </c>
      <c r="AM25" s="83">
        <f t="shared" si="23"/>
        <v>7.4480625915696388</v>
      </c>
      <c r="AN25" s="83">
        <f t="shared" si="24"/>
        <v>6.9936715050813048</v>
      </c>
      <c r="AO25" s="83">
        <f t="shared" si="25"/>
        <v>3.6807548243422192</v>
      </c>
      <c r="AP25" s="83">
        <f t="shared" si="26"/>
        <v>1.9462033241008694</v>
      </c>
      <c r="AQ25" s="83">
        <f t="shared" si="27"/>
        <v>2.667078116344566</v>
      </c>
      <c r="AR25" s="83">
        <f t="shared" si="28"/>
        <v>5.8675718559580439</v>
      </c>
      <c r="AS25" s="83">
        <f t="shared" si="29"/>
        <v>1.333539058172283</v>
      </c>
      <c r="AT25" s="83">
        <f t="shared" si="30"/>
        <v>11.318982959156022</v>
      </c>
      <c r="AU25" s="83">
        <f t="shared" si="31"/>
        <v>1.6887582464939439</v>
      </c>
      <c r="AV25" s="83">
        <f t="shared" si="32"/>
        <v>3.28720127863635</v>
      </c>
      <c r="AW25" s="83">
        <f t="shared" si="33"/>
        <v>0.84437912324697195</v>
      </c>
      <c r="AX25" s="83">
        <f t="shared" si="34"/>
        <v>1.8669546814411959</v>
      </c>
      <c r="AY25" s="83">
        <f t="shared" si="35"/>
        <v>3.9512268390289864</v>
      </c>
      <c r="AZ25" s="83">
        <f t="shared" si="36"/>
        <v>0.93347734072059796</v>
      </c>
      <c r="BA25" s="83">
        <f t="shared" si="37"/>
        <v>11.990448049953415</v>
      </c>
      <c r="BB25" s="83">
        <f t="shared" si="38"/>
        <v>3.2865833566382139</v>
      </c>
      <c r="BC25" s="83">
        <f t="shared" si="39"/>
        <v>6.5277368755243321</v>
      </c>
      <c r="BD25" s="83">
        <f t="shared" si="40"/>
        <v>1.6432916783191069</v>
      </c>
      <c r="BE25" s="83">
        <f t="shared" si="41"/>
        <v>2.8745175253935873</v>
      </c>
      <c r="BF25" s="83">
        <f t="shared" si="42"/>
        <v>3.4375673499552177</v>
      </c>
      <c r="BG25" s="83">
        <f t="shared" si="43"/>
        <v>10.563584732008959</v>
      </c>
      <c r="BH25" s="83">
        <f t="shared" si="44"/>
        <v>10.853968316408583</v>
      </c>
      <c r="BI25" s="83">
        <f t="shared" si="45"/>
        <v>3.1306979800387729</v>
      </c>
      <c r="BJ25" s="83">
        <f t="shared" si="46"/>
        <v>4.7908625423226452</v>
      </c>
      <c r="BK25" s="83">
        <f t="shared" si="47"/>
        <v>2.607809713759131</v>
      </c>
      <c r="BL25" s="83">
        <f t="shared" si="48"/>
        <v>4.5683607070322507</v>
      </c>
      <c r="BM25" s="83">
        <f t="shared" si="49"/>
        <v>10.539321595659283</v>
      </c>
      <c r="BN25" s="83">
        <f t="shared" si="50"/>
        <v>0.67550329859757752</v>
      </c>
      <c r="BO25" s="83">
        <f t="shared" si="51"/>
        <v>1.7780520775630437</v>
      </c>
      <c r="BP25" s="83">
        <f t="shared" si="52"/>
        <v>0.67170856263492773</v>
      </c>
      <c r="BQ25" s="83">
        <f t="shared" si="53"/>
        <v>3.6570866552357915</v>
      </c>
      <c r="BR25" s="83">
        <f t="shared" si="54"/>
        <v>15.495716192240089</v>
      </c>
      <c r="BS25" s="83">
        <f t="shared" si="55"/>
        <v>1.753710486743711</v>
      </c>
      <c r="BT25" s="83">
        <f t="shared" si="56"/>
        <v>2.8053710557105798</v>
      </c>
      <c r="BU25" s="83">
        <f t="shared" si="57"/>
        <v>2.4102483718076817</v>
      </c>
      <c r="BV25" s="83">
        <f t="shared" si="58"/>
        <v>5.4556538627288038</v>
      </c>
      <c r="BW25" s="83">
        <f t="shared" si="59"/>
        <v>13.347976439348383</v>
      </c>
      <c r="BX25" s="83">
        <f t="shared" si="60"/>
        <v>1.5718442140443631</v>
      </c>
      <c r="BY25" s="83">
        <f t="shared" si="61"/>
        <v>2.8053710557105798</v>
      </c>
      <c r="BZ25" s="83">
        <f t="shared" si="62"/>
        <v>2.4102483718076817</v>
      </c>
      <c r="CA25" s="83">
        <f t="shared" si="63"/>
        <v>7.5659727195206044</v>
      </c>
      <c r="CB25" s="83">
        <f t="shared" si="64"/>
        <v>10.777031004708304</v>
      </c>
      <c r="CC25" s="83">
        <f t="shared" si="65"/>
        <v>1.9225863113931052</v>
      </c>
      <c r="CD25" s="83">
        <f t="shared" si="66"/>
        <v>4.8681219082810863</v>
      </c>
      <c r="CE25" s="83">
        <f t="shared" si="67"/>
        <v>6.2127834340257282</v>
      </c>
      <c r="CF25" s="83">
        <f t="shared" si="68"/>
        <v>12.878244504247544</v>
      </c>
      <c r="CG25" s="83">
        <f t="shared" si="69"/>
        <v>6.2127834340257282</v>
      </c>
      <c r="CH25" s="83">
        <f t="shared" si="70"/>
        <v>6.9156391351209763</v>
      </c>
      <c r="CI25" s="83">
        <f t="shared" si="71"/>
        <v>14.783923380386224</v>
      </c>
      <c r="CJ25" s="83">
        <f t="shared" si="72"/>
        <v>6.9156391351209763</v>
      </c>
      <c r="CK25" s="83">
        <f t="shared" si="73"/>
        <v>2.9976120124883536</v>
      </c>
    </row>
    <row r="26" spans="1:89" x14ac:dyDescent="0.25">
      <c r="A26" t="str">
        <f>Plantilla!D27</f>
        <v>P .Trivadi</v>
      </c>
      <c r="B26" s="330">
        <f>Plantilla!E27</f>
        <v>32</v>
      </c>
      <c r="C26" s="120">
        <f ca="1">Plantilla!F27</f>
        <v>9</v>
      </c>
      <c r="D26" s="330">
        <f>Plantilla!G27</f>
        <v>0</v>
      </c>
      <c r="E26" s="273">
        <v>36526</v>
      </c>
      <c r="F26" s="120">
        <f>Plantilla!Q27</f>
        <v>4</v>
      </c>
      <c r="G26" s="147">
        <f t="shared" si="0"/>
        <v>0.7559289460184544</v>
      </c>
      <c r="H26" s="147">
        <f t="shared" si="1"/>
        <v>0.84430867747355465</v>
      </c>
      <c r="I26" s="200">
        <f>Plantilla!P27</f>
        <v>1.5</v>
      </c>
      <c r="J26" s="201">
        <f>Plantilla!I27</f>
        <v>6.2</v>
      </c>
      <c r="K26" s="49">
        <f>Plantilla!X27</f>
        <v>0</v>
      </c>
      <c r="L26" s="49">
        <f>Plantilla!Y27</f>
        <v>4.0199999999999996</v>
      </c>
      <c r="M26" s="49">
        <f>Plantilla!Z27</f>
        <v>5.95</v>
      </c>
      <c r="N26" s="49">
        <f>Plantilla!AA27</f>
        <v>5.5099999999999989</v>
      </c>
      <c r="O26" s="49">
        <f>Plantilla!AB27</f>
        <v>10.95</v>
      </c>
      <c r="P26" s="49">
        <f>Plantilla!AC27</f>
        <v>7.95</v>
      </c>
      <c r="Q26" s="49">
        <f>Plantilla!AD27</f>
        <v>14</v>
      </c>
      <c r="R26" s="201">
        <f t="shared" si="2"/>
        <v>3.6149999999999998</v>
      </c>
      <c r="S26" s="201">
        <f t="shared" si="3"/>
        <v>18.946914178388191</v>
      </c>
      <c r="T26" s="49">
        <f t="shared" si="4"/>
        <v>0.81750000000000012</v>
      </c>
      <c r="U26" s="49">
        <f t="shared" si="5"/>
        <v>0.58079999999999998</v>
      </c>
      <c r="V26" s="201">
        <f t="shared" ca="1" si="6"/>
        <v>12.137589943178412</v>
      </c>
      <c r="W26" s="201">
        <f t="shared" ca="1" si="7"/>
        <v>13.556661067971726</v>
      </c>
      <c r="X26" s="83">
        <f t="shared" si="8"/>
        <v>3.3413639265759674</v>
      </c>
      <c r="Y26" s="83">
        <f t="shared" si="9"/>
        <v>5.0089702281896606</v>
      </c>
      <c r="Z26" s="83">
        <f t="shared" si="10"/>
        <v>3.3413639265759674</v>
      </c>
      <c r="AA26" s="83">
        <f t="shared" si="11"/>
        <v>3.3934854823747984</v>
      </c>
      <c r="AB26" s="83">
        <f t="shared" si="12"/>
        <v>6.5765222526643381</v>
      </c>
      <c r="AC26" s="83">
        <f t="shared" si="13"/>
        <v>1.6967427411873992</v>
      </c>
      <c r="AD26" s="83">
        <f t="shared" si="14"/>
        <v>2.0245522961341127</v>
      </c>
      <c r="AE26" s="83">
        <f t="shared" si="15"/>
        <v>2.4859254115071199</v>
      </c>
      <c r="AF26" s="83">
        <f t="shared" si="16"/>
        <v>4.754825588676316</v>
      </c>
      <c r="AG26" s="83">
        <f t="shared" si="17"/>
        <v>1.2429627057535599</v>
      </c>
      <c r="AH26" s="83">
        <f t="shared" si="18"/>
        <v>3.2750110672757708</v>
      </c>
      <c r="AI26" s="83">
        <f t="shared" si="19"/>
        <v>6.0504004724511917</v>
      </c>
      <c r="AJ26" s="83">
        <f t="shared" si="20"/>
        <v>2.7226802126030361</v>
      </c>
      <c r="AK26" s="83">
        <f t="shared" si="21"/>
        <v>1.4205892161949447</v>
      </c>
      <c r="AL26" s="83">
        <f t="shared" si="22"/>
        <v>4.7431150845666306</v>
      </c>
      <c r="AM26" s="83">
        <f t="shared" si="23"/>
        <v>4.9586977785089106</v>
      </c>
      <c r="AN26" s="83">
        <f t="shared" si="24"/>
        <v>4.6561777548863512</v>
      </c>
      <c r="AO26" s="83">
        <f t="shared" si="25"/>
        <v>2.7649392161949442</v>
      </c>
      <c r="AP26" s="83">
        <f t="shared" si="26"/>
        <v>1.7773984087673294</v>
      </c>
      <c r="AQ26" s="83">
        <f t="shared" si="27"/>
        <v>1.7756610082193713</v>
      </c>
      <c r="AR26" s="83">
        <f t="shared" si="28"/>
        <v>3.9064542180826165</v>
      </c>
      <c r="AS26" s="83">
        <f t="shared" si="29"/>
        <v>0.88783050410968567</v>
      </c>
      <c r="AT26" s="83">
        <f t="shared" si="30"/>
        <v>8.030157006515136</v>
      </c>
      <c r="AU26" s="83">
        <f t="shared" si="31"/>
        <v>1.7558478928463639</v>
      </c>
      <c r="AV26" s="83">
        <f t="shared" si="32"/>
        <v>3.4384110200306508</v>
      </c>
      <c r="AW26" s="83">
        <f t="shared" si="33"/>
        <v>0.87792394642318194</v>
      </c>
      <c r="AX26" s="83">
        <f t="shared" si="34"/>
        <v>1.2429627057535599</v>
      </c>
      <c r="AY26" s="83">
        <f t="shared" si="35"/>
        <v>2.6306089010657354</v>
      </c>
      <c r="AZ26" s="83">
        <f t="shared" si="36"/>
        <v>0.62148135287677997</v>
      </c>
      <c r="BA26" s="83">
        <f t="shared" si="37"/>
        <v>8.5065222526643396</v>
      </c>
      <c r="BB26" s="83">
        <f t="shared" si="38"/>
        <v>3.4171501299240776</v>
      </c>
      <c r="BC26" s="83">
        <f t="shared" si="39"/>
        <v>6.8120937612180503</v>
      </c>
      <c r="BD26" s="83">
        <f t="shared" si="40"/>
        <v>1.7085750649620388</v>
      </c>
      <c r="BE26" s="83">
        <f t="shared" si="41"/>
        <v>1.9137679755253223</v>
      </c>
      <c r="BF26" s="83">
        <f t="shared" si="42"/>
        <v>2.2886297439271894</v>
      </c>
      <c r="BG26" s="83">
        <f t="shared" si="43"/>
        <v>7.4942461045972832</v>
      </c>
      <c r="BH26" s="83">
        <f t="shared" si="44"/>
        <v>8.8847382826185957</v>
      </c>
      <c r="BI26" s="83">
        <f t="shared" si="45"/>
        <v>3.2550718628921054</v>
      </c>
      <c r="BJ26" s="83">
        <f t="shared" si="46"/>
        <v>3.1896132925422038</v>
      </c>
      <c r="BK26" s="83">
        <f t="shared" si="47"/>
        <v>1.7362018747033854</v>
      </c>
      <c r="BL26" s="83">
        <f t="shared" si="48"/>
        <v>3.2409849782651134</v>
      </c>
      <c r="BM26" s="83">
        <f t="shared" si="49"/>
        <v>8.143580448828633</v>
      </c>
      <c r="BN26" s="83">
        <f t="shared" si="50"/>
        <v>0.70233915713854556</v>
      </c>
      <c r="BO26" s="83">
        <f t="shared" si="51"/>
        <v>1.1837740054795809</v>
      </c>
      <c r="BP26" s="83">
        <f t="shared" si="52"/>
        <v>0.44720351318117502</v>
      </c>
      <c r="BQ26" s="83">
        <f t="shared" si="53"/>
        <v>2.5944892870626237</v>
      </c>
      <c r="BR26" s="83">
        <f t="shared" si="54"/>
        <v>11.929387616926338</v>
      </c>
      <c r="BS26" s="83">
        <f t="shared" si="55"/>
        <v>1.8233805041096858</v>
      </c>
      <c r="BT26" s="83">
        <f t="shared" si="56"/>
        <v>1.8677323197566718</v>
      </c>
      <c r="BU26" s="83">
        <f t="shared" si="57"/>
        <v>1.6046714296500986</v>
      </c>
      <c r="BV26" s="83">
        <f t="shared" si="58"/>
        <v>3.8704676249622745</v>
      </c>
      <c r="BW26" s="83">
        <f t="shared" si="59"/>
        <v>10.265066655952086</v>
      </c>
      <c r="BX26" s="83">
        <f t="shared" si="60"/>
        <v>1.6342891925723848</v>
      </c>
      <c r="BY26" s="83">
        <f t="shared" si="61"/>
        <v>1.8677323197566718</v>
      </c>
      <c r="BZ26" s="83">
        <f t="shared" si="62"/>
        <v>1.6046714296500986</v>
      </c>
      <c r="CA26" s="83">
        <f t="shared" si="63"/>
        <v>5.3676155414311983</v>
      </c>
      <c r="CB26" s="83">
        <f t="shared" si="64"/>
        <v>8.269457416134582</v>
      </c>
      <c r="CC26" s="83">
        <f t="shared" si="65"/>
        <v>1.9989652933943218</v>
      </c>
      <c r="CD26" s="83">
        <f t="shared" si="66"/>
        <v>3.4536480345817222</v>
      </c>
      <c r="CE26" s="83">
        <f t="shared" si="67"/>
        <v>5.87253809363812</v>
      </c>
      <c r="CF26" s="83">
        <f t="shared" si="68"/>
        <v>13.459344056500044</v>
      </c>
      <c r="CG26" s="83">
        <f t="shared" si="69"/>
        <v>5.87253809363812</v>
      </c>
      <c r="CH26" s="83">
        <f t="shared" si="70"/>
        <v>6.302323363409883</v>
      </c>
      <c r="CI26" s="83">
        <f t="shared" si="71"/>
        <v>15.490428963897479</v>
      </c>
      <c r="CJ26" s="83">
        <f t="shared" si="72"/>
        <v>6.302323363409883</v>
      </c>
      <c r="CK26" s="83">
        <f t="shared" si="73"/>
        <v>2.1266305631660849</v>
      </c>
    </row>
    <row r="27" spans="1:89" x14ac:dyDescent="0.25">
      <c r="D27" s="191"/>
    </row>
    <row r="28" spans="1:89" ht="18.75" x14ac:dyDescent="0.3">
      <c r="A28" s="176" t="s">
        <v>280</v>
      </c>
      <c r="B28" s="176" t="s">
        <v>69</v>
      </c>
      <c r="C28" s="176"/>
      <c r="D28" s="177"/>
      <c r="L28" s="45"/>
      <c r="M28" s="45"/>
    </row>
    <row r="29" spans="1:89" x14ac:dyDescent="0.25">
      <c r="A29" s="77" t="s">
        <v>285</v>
      </c>
      <c r="B29" s="178">
        <v>1</v>
      </c>
      <c r="C29" s="202">
        <v>0.624</v>
      </c>
      <c r="D29" s="203">
        <v>0.245</v>
      </c>
    </row>
    <row r="30" spans="1:89" x14ac:dyDescent="0.25">
      <c r="A30" s="77" t="s">
        <v>286</v>
      </c>
      <c r="B30" s="178">
        <v>1</v>
      </c>
      <c r="C30" s="202">
        <v>1.002</v>
      </c>
      <c r="D30" s="203">
        <v>0.34</v>
      </c>
    </row>
    <row r="31" spans="1:89" x14ac:dyDescent="0.25">
      <c r="A31" s="77" t="s">
        <v>287</v>
      </c>
      <c r="B31" s="178">
        <v>1</v>
      </c>
      <c r="C31" s="202">
        <v>0.46800000000000003</v>
      </c>
      <c r="D31" s="203">
        <v>0.125</v>
      </c>
    </row>
    <row r="32" spans="1:89" x14ac:dyDescent="0.25">
      <c r="A32" s="77" t="s">
        <v>288</v>
      </c>
      <c r="B32" s="178">
        <v>1</v>
      </c>
      <c r="C32" s="202">
        <v>0.877</v>
      </c>
      <c r="D32" s="203">
        <v>0.25</v>
      </c>
    </row>
    <row r="33" spans="1:85" x14ac:dyDescent="0.25">
      <c r="A33" s="77" t="s">
        <v>289</v>
      </c>
      <c r="B33" s="178">
        <v>1</v>
      </c>
      <c r="C33" s="202">
        <v>0.59299999999999997</v>
      </c>
      <c r="D33" s="203">
        <v>0.19</v>
      </c>
    </row>
    <row r="35" spans="1:85" ht="15.75" x14ac:dyDescent="0.25">
      <c r="A35" s="647" t="s">
        <v>457</v>
      </c>
      <c r="B35" s="647"/>
      <c r="C35" s="647"/>
      <c r="D35" s="647"/>
      <c r="E35" s="647"/>
    </row>
    <row r="36" spans="1:85" x14ac:dyDescent="0.25">
      <c r="A36" s="192" t="s">
        <v>71</v>
      </c>
      <c r="B36" s="192" t="s">
        <v>318</v>
      </c>
      <c r="C36" s="192" t="s">
        <v>61</v>
      </c>
      <c r="D36" s="193" t="s">
        <v>319</v>
      </c>
      <c r="E36" s="192" t="s">
        <v>320</v>
      </c>
      <c r="F36" s="195" t="s">
        <v>324</v>
      </c>
      <c r="G36" s="196" t="s">
        <v>325</v>
      </c>
      <c r="H36" s="196" t="s">
        <v>1</v>
      </c>
      <c r="I36" s="196" t="s">
        <v>2</v>
      </c>
      <c r="J36" s="196" t="s">
        <v>326</v>
      </c>
      <c r="K36" s="196" t="s">
        <v>63</v>
      </c>
      <c r="L36" s="196" t="s">
        <v>262</v>
      </c>
      <c r="M36" s="196" t="s">
        <v>327</v>
      </c>
      <c r="N36" s="196" t="s">
        <v>0</v>
      </c>
      <c r="O36" s="197" t="s">
        <v>257</v>
      </c>
      <c r="P36" s="197" t="s">
        <v>376</v>
      </c>
      <c r="Q36" s="197" t="s">
        <v>328</v>
      </c>
      <c r="R36" s="197" t="s">
        <v>329</v>
      </c>
      <c r="S36" s="197" t="s">
        <v>265</v>
      </c>
      <c r="T36" s="198" t="s">
        <v>330</v>
      </c>
      <c r="U36" s="198" t="s">
        <v>331</v>
      </c>
      <c r="V36" s="198" t="s">
        <v>330</v>
      </c>
      <c r="W36" s="199" t="s">
        <v>330</v>
      </c>
      <c r="X36" s="199" t="s">
        <v>331</v>
      </c>
      <c r="Y36" s="199" t="s">
        <v>330</v>
      </c>
      <c r="Z36" s="199" t="s">
        <v>62</v>
      </c>
      <c r="AA36" s="199" t="s">
        <v>330</v>
      </c>
      <c r="AB36" s="199" t="s">
        <v>331</v>
      </c>
      <c r="AC36" s="199" t="s">
        <v>330</v>
      </c>
      <c r="AD36" s="199" t="s">
        <v>62</v>
      </c>
      <c r="AE36" s="198" t="s">
        <v>330</v>
      </c>
      <c r="AF36" s="198" t="s">
        <v>331</v>
      </c>
      <c r="AG36" s="198" t="s">
        <v>62</v>
      </c>
      <c r="AH36" s="198" t="s">
        <v>332</v>
      </c>
      <c r="AI36" s="198" t="s">
        <v>330</v>
      </c>
      <c r="AJ36" s="198" t="s">
        <v>331</v>
      </c>
      <c r="AK36" s="198" t="s">
        <v>62</v>
      </c>
      <c r="AL36" s="198" t="s">
        <v>332</v>
      </c>
      <c r="AM36" s="198" t="s">
        <v>330</v>
      </c>
      <c r="AN36" s="198" t="s">
        <v>331</v>
      </c>
      <c r="AO36" s="198" t="s">
        <v>330</v>
      </c>
      <c r="AP36" s="198" t="s">
        <v>62</v>
      </c>
      <c r="AQ36" s="198" t="s">
        <v>332</v>
      </c>
      <c r="AR36" s="198" t="s">
        <v>333</v>
      </c>
      <c r="AS36" s="198" t="s">
        <v>332</v>
      </c>
      <c r="AT36" s="198" t="s">
        <v>330</v>
      </c>
      <c r="AU36" s="198" t="s">
        <v>331</v>
      </c>
      <c r="AV36" s="198" t="s">
        <v>330</v>
      </c>
      <c r="AW36" s="198" t="s">
        <v>62</v>
      </c>
      <c r="AX36" s="198" t="s">
        <v>332</v>
      </c>
      <c r="AY36" s="198" t="s">
        <v>333</v>
      </c>
      <c r="AZ36" s="198" t="s">
        <v>332</v>
      </c>
      <c r="BA36" s="199" t="s">
        <v>330</v>
      </c>
      <c r="BB36" s="199" t="s">
        <v>331</v>
      </c>
      <c r="BC36" s="199" t="s">
        <v>62</v>
      </c>
      <c r="BD36" s="199" t="s">
        <v>332</v>
      </c>
      <c r="BE36" s="199" t="s">
        <v>333</v>
      </c>
      <c r="BF36" s="199" t="s">
        <v>330</v>
      </c>
      <c r="BG36" s="199" t="s">
        <v>331</v>
      </c>
      <c r="BH36" s="199" t="s">
        <v>62</v>
      </c>
      <c r="BI36" s="199" t="s">
        <v>332</v>
      </c>
      <c r="BJ36" s="199" t="s">
        <v>333</v>
      </c>
      <c r="BK36" s="198" t="s">
        <v>330</v>
      </c>
      <c r="BL36" s="198" t="s">
        <v>331</v>
      </c>
      <c r="BM36" s="198" t="s">
        <v>62</v>
      </c>
      <c r="BN36" s="198" t="s">
        <v>332</v>
      </c>
      <c r="BO36" s="198" t="s">
        <v>333</v>
      </c>
      <c r="BP36" s="198" t="s">
        <v>330</v>
      </c>
      <c r="BQ36" s="198" t="s">
        <v>331</v>
      </c>
      <c r="BR36" s="198" t="s">
        <v>62</v>
      </c>
      <c r="BS36" s="198" t="s">
        <v>332</v>
      </c>
      <c r="BT36" s="198" t="s">
        <v>333</v>
      </c>
      <c r="BU36" s="198" t="s">
        <v>330</v>
      </c>
      <c r="BV36" s="198" t="s">
        <v>331</v>
      </c>
      <c r="BW36" s="198" t="s">
        <v>62</v>
      </c>
      <c r="BX36" s="198" t="s">
        <v>332</v>
      </c>
      <c r="BY36" s="198" t="s">
        <v>333</v>
      </c>
      <c r="BZ36" s="199" t="s">
        <v>62</v>
      </c>
      <c r="CA36" s="199" t="s">
        <v>332</v>
      </c>
      <c r="CB36" s="199" t="s">
        <v>333</v>
      </c>
      <c r="CC36" s="199" t="s">
        <v>332</v>
      </c>
      <c r="CD36" s="198" t="s">
        <v>332</v>
      </c>
      <c r="CE36" s="198" t="s">
        <v>333</v>
      </c>
      <c r="CF36" s="198" t="s">
        <v>332</v>
      </c>
      <c r="CG36" s="198" t="s">
        <v>62</v>
      </c>
    </row>
    <row r="37" spans="1:85" x14ac:dyDescent="0.25">
      <c r="A37" t="str">
        <f>A3</f>
        <v>D. Gehmacher</v>
      </c>
      <c r="B37">
        <f t="shared" ref="B37:E37" si="74">B3</f>
        <v>35</v>
      </c>
      <c r="C37">
        <f t="shared" ca="1" si="74"/>
        <v>6</v>
      </c>
      <c r="D37">
        <f t="shared" si="74"/>
        <v>0</v>
      </c>
      <c r="E37" s="273">
        <f t="shared" si="74"/>
        <v>42468</v>
      </c>
      <c r="F37" s="200">
        <f ca="1">I3</f>
        <v>1</v>
      </c>
      <c r="G37" s="201">
        <f>J3</f>
        <v>23.7</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201">
        <f>((2*(L37+1))+(I37+1))/8</f>
        <v>2.1062499999999997</v>
      </c>
      <c r="P37" s="201">
        <f ca="1">1.66*(M37+(LOG(G37)*4/3)+F37)+0.55*(N37+(LOG(G37)*4/3)+F37)-7.6</f>
        <v>8.6709251262431071</v>
      </c>
      <c r="Q37" s="201">
        <f>(0.5*M37+ 0.3*N37)/10</f>
        <v>0.54600000000000004</v>
      </c>
      <c r="R37" s="201">
        <f>(0.4*I37+0.3*N37)/10</f>
        <v>1.024</v>
      </c>
      <c r="S37" s="201">
        <f ca="1">IF(TODAY()-E37&gt;335,(N37+1+(LOG(G37)*4/3)),(N37+((TODAY()-E37)^0.5)/(336^0.5)+(LOG(G37)*4/3)))</f>
        <v>21.032997794680139</v>
      </c>
      <c r="T37" s="83">
        <f ca="1">((H37+F37+(LOG(G37)*4/3))*0.597)+((I37+F37+(LOG(G37)*4/3))*0.276)</f>
        <v>15.721407074755762</v>
      </c>
      <c r="U37" s="83">
        <f ca="1">((H37+F37+(LOG(G37)*4/3))*0.866)+((I37+F37+(LOG(G37)*4/3))*0.425)</f>
        <v>23.169483486265392</v>
      </c>
      <c r="V37" s="83">
        <f ca="1">T37</f>
        <v>15.721407074755762</v>
      </c>
      <c r="W37" s="83">
        <f ca="1">((I37+F37+(LOG(G37)*4/3))*0.516)</f>
        <v>7.6280268620549521</v>
      </c>
      <c r="X37" s="83">
        <f ca="1">(I37+F37+(LOG(G37)*4/3))*1</f>
        <v>14.782997794680139</v>
      </c>
      <c r="Y37" s="83">
        <f ca="1">W37/2</f>
        <v>3.814013431027476</v>
      </c>
      <c r="Z37" s="83">
        <f ca="1">(J37+F37+(LOG(G37)*4/3))*0.238</f>
        <v>1.1669134751338726</v>
      </c>
      <c r="AA37" s="83">
        <f ca="1">((I37+F37+(LOG(G37)*4/3))*0.378)</f>
        <v>5.5879731663890926</v>
      </c>
      <c r="AB37" s="83">
        <f ca="1">(I37+F37+(LOG(G37)*4/3))*0.723</f>
        <v>10.68810740555374</v>
      </c>
      <c r="AC37" s="83">
        <f ca="1">AA37/2</f>
        <v>2.7939865831945463</v>
      </c>
      <c r="AD37" s="83">
        <f ca="1">(J37+F37+(LOG(G37)*4/3))*0.385</f>
        <v>1.8876541509518527</v>
      </c>
      <c r="AE37" s="337">
        <f ca="1">((I37+F37+(LOG(G37)*4/3))*0.92)</f>
        <v>13.600357971105728</v>
      </c>
      <c r="AF37" s="83">
        <f ca="1">(I37+F37+(LOG(G37)*4/3))*0.414</f>
        <v>6.1201610869975767</v>
      </c>
      <c r="AG37" s="83">
        <f ca="1">((J37+F37+(LOG(G37)*4/3))*0.167)</f>
        <v>0.8188006317115829</v>
      </c>
      <c r="AH37" s="337">
        <f ca="1">(K37+F37+(LOG(G37)*4/3))*0.588</f>
        <v>2.9300027032719207</v>
      </c>
      <c r="AI37" s="83">
        <f ca="1">((I37+F37+(LOG(G37)*4/3))*0.754)</f>
        <v>11.146380337188825</v>
      </c>
      <c r="AJ37" s="83">
        <f ca="1">((I37+F37+(LOG(G37)*4/3))*0.708)</f>
        <v>10.466362438633537</v>
      </c>
      <c r="AK37" s="83">
        <f ca="1">((N37+F37+(LOG(G37)*4/3))*0.167)</f>
        <v>3.5125106317115833</v>
      </c>
      <c r="AL37" s="83">
        <f ca="1">((O37+F37+(LOG(G37)*4/3))*0.288)</f>
        <v>1.4225033648678798</v>
      </c>
      <c r="AM37" s="83">
        <f ca="1">((I37+F37+(LOG(G37)*4/3))*0.27)</f>
        <v>3.9914094045636377</v>
      </c>
      <c r="AN37" s="83">
        <f ca="1">((I37+F37+(LOG(G37)*4/3))*0.594)</f>
        <v>8.7811006900400024</v>
      </c>
      <c r="AO37" s="83">
        <f ca="1">AM37/2</f>
        <v>1.9957047022818188</v>
      </c>
      <c r="AP37" s="83">
        <f ca="1">((J37+F37+(LOG(G37)*4/3))*0.944)</f>
        <v>4.6284299181780488</v>
      </c>
      <c r="AQ37" s="83">
        <f ca="1">((L37+F37+(LOG(G37)*4/3))*0.13)</f>
        <v>0.49178971330841803</v>
      </c>
      <c r="AR37" s="83">
        <f ca="1">((M37+F37+(LOG(G37)*4/3))*0.173)+((L37+F37+(LOG(G37)*4/3))*0.12)</f>
        <v>0.94406835384128052</v>
      </c>
      <c r="AS37" s="83">
        <f ca="1">AQ37/2</f>
        <v>0.24589485665420902</v>
      </c>
      <c r="AT37" s="83">
        <f ca="1">((I37+F37+(LOG(G37)*4/3))*0.189)</f>
        <v>2.7939865831945463</v>
      </c>
      <c r="AU37" s="83">
        <f ca="1">((I37+F37+(LOG(G37)*4/3))*0.4)</f>
        <v>5.9131991178720558</v>
      </c>
      <c r="AV37" s="83">
        <f ca="1">AT37/2</f>
        <v>1.3969932915972731</v>
      </c>
      <c r="AW37" s="83">
        <f ca="1">((J37+F37+(LOG(G37)*4/3))*1)</f>
        <v>4.9029977946801369</v>
      </c>
      <c r="AX37" s="83">
        <f ca="1">((L37+F37+(LOG(G37)*4/3))*0.253)</f>
        <v>0.95709844205407502</v>
      </c>
      <c r="AY37" s="83">
        <f ca="1">((M37+F37+(LOG(G37)*4/3))*0.21)+((L37+F37+(LOG(G37)*4/3))*0.341)</f>
        <v>1.8849317848687566</v>
      </c>
      <c r="AZ37" s="83">
        <f ca="1">AX37/2</f>
        <v>0.47854922102703751</v>
      </c>
      <c r="BA37" s="83">
        <f ca="1">((I37+F37+(LOG(G37)*4/3))*0.291)</f>
        <v>4.3018523582519199</v>
      </c>
      <c r="BB37" s="83">
        <f ca="1">((I37+F37+(LOG(G37)*4/3))*0.348)</f>
        <v>5.144483232548688</v>
      </c>
      <c r="BC37" s="83">
        <f ca="1">((J37+F37+(LOG(G37)*4/3))*0.881)</f>
        <v>4.3195410571132005</v>
      </c>
      <c r="BD37" s="83">
        <f ca="1">((K37+F37+(LOG(G37)*4/3))*0.574)+((L37+F37+(LOG(G37)*4/3))*0.315)</f>
        <v>4.0518850394706423</v>
      </c>
      <c r="BE37" s="83">
        <f ca="1">((L37+F37+(LOG(G37)*4/3))*0.241)</f>
        <v>0.91170246851791337</v>
      </c>
      <c r="BF37" s="83">
        <f ca="1">((I37+F37+(LOG(G37)*4/3))*0.485)</f>
        <v>7.1697539304198674</v>
      </c>
      <c r="BG37" s="83">
        <f ca="1">((I37+F37+(LOG(G37)*4/3))*0.264)</f>
        <v>3.9027114177955569</v>
      </c>
      <c r="BH37" s="83">
        <f ca="1">((J37+F37+(LOG(G37)*4/3))*0.381)</f>
        <v>1.8680421597731323</v>
      </c>
      <c r="BI37" s="83">
        <f ca="1">((K37+F37+(LOG(G37)*4/3))*0.673)+((L37+F37+(LOG(G37)*4/3))*0.201)</f>
        <v>4.1139400725504407</v>
      </c>
      <c r="BJ37" s="83">
        <f ca="1">((L37+F37+(LOG(G37)*4/3))*0.052)</f>
        <v>0.1967158853233672</v>
      </c>
      <c r="BK37" s="83">
        <f ca="1">((I37+F37+(LOG(G37)*4/3))*0.18)</f>
        <v>2.6609396030424248</v>
      </c>
      <c r="BL37" s="83">
        <f ca="1">(I37+F37+(LOG(G37)*4/3))*0.068</f>
        <v>1.0052438500382495</v>
      </c>
      <c r="BM37" s="83">
        <f ca="1">((J37+F37+(LOG(G37)*4/3))*0.305)</f>
        <v>1.4954143273774416</v>
      </c>
      <c r="BN37" s="83">
        <f ca="1">((K37+F37+(LOG(G37)*4/3))*1)+((L37+F37+(LOG(G37)*4/3))*0.286)</f>
        <v>6.0649351639586575</v>
      </c>
      <c r="BO37" s="83">
        <f ca="1">((L37+F37+(LOG(G37)*4/3))*0.135)</f>
        <v>0.51070470228181875</v>
      </c>
      <c r="BP37" s="83">
        <f ca="1">((I37+F37+(LOG(G37)*4/3))*0.284)</f>
        <v>4.1983713736891586</v>
      </c>
      <c r="BQ37" s="83">
        <f ca="1">(I37+F37+(LOG(G37)*4/3))*0.244</f>
        <v>3.6070514619019538</v>
      </c>
      <c r="BR37" s="83">
        <f ca="1">((J37+F37+(LOG(G37)*4/3))*0.455)</f>
        <v>2.2308639965794623</v>
      </c>
      <c r="BS37" s="83">
        <f ca="1">((K37+F37+(LOG(G37)*4/3))*0.864)+((L37+F37+(LOG(G37)*4/3))*0.244)</f>
        <v>5.2283615565055932</v>
      </c>
      <c r="BT37" s="83">
        <f ca="1">((L37+F37+(LOG(G37)*4/3))*0.121)</f>
        <v>0.45774273315629677</v>
      </c>
      <c r="BU37" s="83">
        <f ca="1">((I37+F37+(LOG(G37)*4/3))*0.284)</f>
        <v>4.1983713736891586</v>
      </c>
      <c r="BV37" s="83">
        <f ca="1">((I37+F37+(LOG(G37)*4/3))*0.244)</f>
        <v>3.6070514619019538</v>
      </c>
      <c r="BW37" s="83">
        <f ca="1">((J37+F37+(LOG(G37)*4/3))*0.631)</f>
        <v>3.0937916084431665</v>
      </c>
      <c r="BX37" s="83">
        <f ca="1">((K37+F37+(LOG(G37)*4/3))*0.702)+((L37+F37+(LOG(G37)*4/3))*0.193)</f>
        <v>4.2281830262387228</v>
      </c>
      <c r="BY37" s="83">
        <f ca="1">((L37+F37+(LOG(G37)*4/3))*0.148)</f>
        <v>0.55988367361266045</v>
      </c>
      <c r="BZ37" s="83">
        <f ca="1">((J37+F37+(LOG(G37)*4/3))*0.406)</f>
        <v>1.9906171046401357</v>
      </c>
      <c r="CA37" s="83">
        <f ca="1">IF(D37="TEC",((K37+F37+(LOG(G37)*4/3))*0.15)+((L37+F37+(LOG(G37)*4/3))*0.324)+((M37+F37+(LOG(G37)*4/3))*0.127),(((K37+F37+(LOG(G37)*4/3))*0.144)+((L37+F37+(LOG(G37)*4/3))*0.25)+((M37+F37+(LOG(G37)*4/3))*0.127)))</f>
        <v>2.0230918510283522</v>
      </c>
      <c r="CB37" s="83">
        <f ca="1">((L37+F37+(LOG(G37)*4/3))*0.543)+((M37+F37+(LOG(G37)*4/3))*0.583)</f>
        <v>3.7058055168098356</v>
      </c>
      <c r="CC37" s="83">
        <f ca="1">CA37</f>
        <v>2.0230918510283522</v>
      </c>
      <c r="CD37" s="83">
        <f ca="1">((M37+1+(LOG(G37)*4/3))*0.26)+((K37+F37+(LOG(G37)*4/3))*0.221)+((L37+F37+(LOG(G37)*4/3))*0.142)</f>
        <v>2.375007626085726</v>
      </c>
      <c r="CE37" s="83">
        <f ca="1">((M37+F37+(LOG(G37)*4/3))*1)+((L37+F37+(LOG(G37)*4/3))*0.369)</f>
        <v>4.2289239809171093</v>
      </c>
      <c r="CF37" s="83">
        <f ca="1">CD37</f>
        <v>2.375007626085726</v>
      </c>
      <c r="CG37" s="83">
        <f ca="1">((J37+F37+(LOG(G37)*4/3))*0.25)</f>
        <v>1.2257494486700342</v>
      </c>
    </row>
    <row r="38" spans="1:85" x14ac:dyDescent="0.25">
      <c r="A38" t="str">
        <f t="shared" ref="A38:E38" si="76">A4</f>
        <v>T. Hammond</v>
      </c>
      <c r="B38">
        <f t="shared" si="76"/>
        <v>39</v>
      </c>
      <c r="C38">
        <f t="shared" ca="1" si="76"/>
        <v>15</v>
      </c>
      <c r="D38" t="str">
        <f t="shared" si="76"/>
        <v>CAB</v>
      </c>
      <c r="E38" s="273">
        <f t="shared" si="76"/>
        <v>36526</v>
      </c>
      <c r="F38" s="200">
        <f t="shared" ref="F38:F60" si="77">I4</f>
        <v>1.5</v>
      </c>
      <c r="G38" s="201">
        <f t="shared" ref="G38:H38" si="78">J4</f>
        <v>8.4</v>
      </c>
      <c r="H38" s="49">
        <f t="shared" si="78"/>
        <v>7.95</v>
      </c>
      <c r="I38" s="49">
        <f t="shared" ref="I38:I60" si="79">L4</f>
        <v>7.95</v>
      </c>
      <c r="J38" s="49">
        <f t="shared" ref="J38:J60" si="80">M4</f>
        <v>0.95</v>
      </c>
      <c r="K38" s="49">
        <f t="shared" ref="K38:K60" si="81">N4</f>
        <v>0.95</v>
      </c>
      <c r="L38" s="49">
        <f t="shared" ref="L38:L60" si="82">O4</f>
        <v>1.95</v>
      </c>
      <c r="M38" s="49">
        <f t="shared" ref="M38:M60" si="83">P4</f>
        <v>0</v>
      </c>
      <c r="N38" s="49">
        <f t="shared" ref="N38:N60" si="84">Q4</f>
        <v>14.95</v>
      </c>
      <c r="O38" s="201">
        <f t="shared" ref="O38:O60" si="85">((2*(L38+1))+(I38+1))/8</f>
        <v>1.85625</v>
      </c>
      <c r="P38" s="201">
        <f t="shared" ref="P38:P60" si="86">1.66*(M38+(LOG(G38)*4/3)+F38)+0.55*(N38+(LOG(G38)*4/3)+F38)-7.6</f>
        <v>6.6610429629290131</v>
      </c>
      <c r="Q38" s="201">
        <f t="shared" ref="Q38:Q60" si="87">(0.5*M38+ 0.3*N38)/10</f>
        <v>0.44849999999999995</v>
      </c>
      <c r="R38" s="201">
        <f t="shared" ref="R38:R60" si="88">(0.4*I38+0.3*N38)/10</f>
        <v>0.76649999999999996</v>
      </c>
      <c r="S38" s="201">
        <f t="shared" ref="S38:S60" ca="1" si="89">IF(TODAY()-E38&gt;335,(N38+1+(LOG(G38)*4/3)),(N38+((TODAY()-E38)^0.5)/(336^0.5)+(LOG(G38)*4/3)))</f>
        <v>17.182372381415842</v>
      </c>
      <c r="T38" s="83">
        <f t="shared" ref="T38:T60" si="90">((H38+F38+(LOG(G38)*4/3))*0.597)+((I38+F38+(LOG(G38)*4/3))*0.276)</f>
        <v>9.3257110889760302</v>
      </c>
      <c r="U38" s="83">
        <f t="shared" ref="U38:U60" si="91">((H38+F38+(LOG(G38)*4/3))*0.866)+((I38+F38+(LOG(G38)*4/3))*0.425)</f>
        <v>13.790942744407852</v>
      </c>
      <c r="V38" s="83">
        <f t="shared" ref="V38:V60" si="92">T38</f>
        <v>9.3257110889760302</v>
      </c>
      <c r="W38" s="83">
        <f t="shared" ref="W38:W60" si="93">((I38+F38+(LOG(G38)*4/3))*0.516)</f>
        <v>5.5121041488105744</v>
      </c>
      <c r="X38" s="83">
        <f t="shared" ref="X38:X60" si="94">(I38+F38+(LOG(G38)*4/3))*1</f>
        <v>10.682372381415842</v>
      </c>
      <c r="Y38" s="83">
        <f t="shared" ref="Y38:Y60" si="95">W38/2</f>
        <v>2.7560520744052872</v>
      </c>
      <c r="Z38" s="83">
        <f t="shared" ref="Z38:Z60" si="96">(J38+F38+(LOG(G38)*4/3))*0.238</f>
        <v>0.87640462677697051</v>
      </c>
      <c r="AA38" s="83">
        <f t="shared" ref="AA38:AA60" si="97">((I38+F38+(LOG(G38)*4/3))*0.378)</f>
        <v>4.0379367601751879</v>
      </c>
      <c r="AB38" s="83">
        <f t="shared" ref="AB38:AB60" si="98">(I38+F38+(LOG(G38)*4/3))*0.723</f>
        <v>7.7233552317636534</v>
      </c>
      <c r="AC38" s="83">
        <f t="shared" ref="AC38:AC60" si="99">AA38/2</f>
        <v>2.0189683800875939</v>
      </c>
      <c r="AD38" s="83">
        <f t="shared" ref="AD38:AD60" si="100">(J38+F38+(LOG(G38)*4/3))*0.385</f>
        <v>1.4177133668450994</v>
      </c>
      <c r="AE38" s="337">
        <f t="shared" ref="AE38:AE60" si="101">((I38+F38+(LOG(G38)*4/3))*0.92)</f>
        <v>9.8277825909025758</v>
      </c>
      <c r="AF38" s="83">
        <f t="shared" ref="AF38:AF60" si="102">(I38+F38+(LOG(G38)*4/3))*0.414</f>
        <v>4.4225021659061587</v>
      </c>
      <c r="AG38" s="83">
        <f t="shared" ref="AG38:AG60" si="103">((J38+F38+(LOG(G38)*4/3))*0.167)</f>
        <v>0.61495618769644578</v>
      </c>
      <c r="AH38" s="337">
        <f t="shared" ref="AH38:AH60" si="104">(K38+F38+(LOG(G38)*4/3))*0.588</f>
        <v>2.1652349602725152</v>
      </c>
      <c r="AI38" s="83">
        <f t="shared" ref="AI38:AI60" si="105">((I38+F38+(LOG(G38)*4/3))*0.754)</f>
        <v>8.0545087755875446</v>
      </c>
      <c r="AJ38" s="83">
        <f t="shared" ref="AJ38:AJ60" si="106">((I38+F38+(LOG(G38)*4/3))*0.708)</f>
        <v>7.5631196460424155</v>
      </c>
      <c r="AK38" s="83">
        <f t="shared" ref="AK38:AK60" si="107">((N38+F38+(LOG(G38)*4/3))*0.167)</f>
        <v>2.9529561876964459</v>
      </c>
      <c r="AL38" s="83">
        <f t="shared" ref="AL38:AL60" si="108">((O38+F38+(LOG(G38)*4/3))*0.288)</f>
        <v>1.3215232458477624</v>
      </c>
      <c r="AM38" s="83">
        <f t="shared" ref="AM38:AM60" si="109">((I38+F38+(LOG(G38)*4/3))*0.27)</f>
        <v>2.8842405429822775</v>
      </c>
      <c r="AN38" s="83">
        <f t="shared" ref="AN38:AN60" si="110">((I38+F38+(LOG(G38)*4/3))*0.594)</f>
        <v>6.3453291945610095</v>
      </c>
      <c r="AO38" s="83">
        <f t="shared" ref="AO38:AO60" si="111">AM38/2</f>
        <v>1.4421202714911387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2.0189683800875939</v>
      </c>
      <c r="AU38" s="83">
        <f t="shared" ref="AU38:AU60" si="117">((I38+F38+(LOG(G38)*4/3))*0.4)</f>
        <v>4.2729489525663373</v>
      </c>
      <c r="AV38" s="83">
        <f t="shared" ref="AV38:AV60" si="118">AT38/2</f>
        <v>1.009484190043797</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3.1085703629920096</v>
      </c>
      <c r="BB38" s="83">
        <f t="shared" ref="BB38:BB60" si="124">((I38+F38+(LOG(G38)*4/3))*0.348)</f>
        <v>3.7174655887327126</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5.1809506049866831</v>
      </c>
      <c r="BG38" s="83">
        <f t="shared" ref="BG38:BG60" si="129">((I38+F38+(LOG(G38)*4/3))*0.264)</f>
        <v>2.8201463086937824</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1.9228270286548514</v>
      </c>
      <c r="BL38" s="83">
        <f t="shared" ref="BL38:BL60" si="134">(I38+F38+(LOG(G38)*4/3))*0.068</f>
        <v>0.72640132193627727</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3.0337937563220989</v>
      </c>
      <c r="BQ38" s="83">
        <f t="shared" ref="BQ38:BQ60" si="139">(I38+F38+(LOG(G38)*4/3))*0.244</f>
        <v>2.6064988610654654</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3.0337937563220989</v>
      </c>
      <c r="BV38" s="83">
        <f t="shared" ref="BV38:BV60" si="144">((I38+F38+(LOG(G38)*4/3))*0.244)</f>
        <v>2.6064988610654654</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17</v>
      </c>
      <c r="D39">
        <f t="shared" si="156"/>
        <v>0</v>
      </c>
      <c r="E39" s="273">
        <f t="shared" si="156"/>
        <v>36526</v>
      </c>
      <c r="F39" s="200">
        <f t="shared" si="77"/>
        <v>1.5</v>
      </c>
      <c r="G39" s="201">
        <f t="shared" ref="G39:H39" si="157">J5</f>
        <v>18</v>
      </c>
      <c r="H39" s="49">
        <f t="shared" si="157"/>
        <v>0</v>
      </c>
      <c r="I39" s="49">
        <f t="shared" si="79"/>
        <v>11.95</v>
      </c>
      <c r="J39" s="49">
        <f t="shared" si="80"/>
        <v>12.95</v>
      </c>
      <c r="K39" s="49">
        <f t="shared" si="81"/>
        <v>8.9499999999999993</v>
      </c>
      <c r="L39" s="49">
        <f t="shared" si="82"/>
        <v>8.9499999999999993</v>
      </c>
      <c r="M39" s="49">
        <f t="shared" si="83"/>
        <v>1.95</v>
      </c>
      <c r="N39" s="49">
        <f t="shared" si="84"/>
        <v>17.177777777777774</v>
      </c>
      <c r="O39" s="201">
        <f t="shared" si="85"/>
        <v>4.1062499999999993</v>
      </c>
      <c r="P39" s="201">
        <f t="shared" si="86"/>
        <v>12.098647426148853</v>
      </c>
      <c r="Q39" s="201">
        <f t="shared" si="87"/>
        <v>0.61283333333333312</v>
      </c>
      <c r="R39" s="201">
        <f t="shared" si="88"/>
        <v>0.99333333333333318</v>
      </c>
      <c r="S39" s="201">
        <f t="shared" ca="1" si="89"/>
        <v>19.851474451248848</v>
      </c>
      <c r="T39" s="83">
        <f t="shared" si="90"/>
        <v>6.0688371959402483</v>
      </c>
      <c r="U39" s="83">
        <f t="shared" si="91"/>
        <v>9.1759924054511579</v>
      </c>
      <c r="V39" s="83">
        <f t="shared" si="92"/>
        <v>6.0688371959402483</v>
      </c>
      <c r="W39" s="83">
        <f t="shared" si="93"/>
        <v>7.8038274835110739</v>
      </c>
      <c r="X39" s="83">
        <f t="shared" si="94"/>
        <v>15.123696673471073</v>
      </c>
      <c r="Y39" s="83">
        <f t="shared" si="95"/>
        <v>3.901913741755537</v>
      </c>
      <c r="Z39" s="83">
        <f t="shared" si="96"/>
        <v>3.8374398082861152</v>
      </c>
      <c r="AA39" s="83">
        <f t="shared" si="97"/>
        <v>5.7167573425720661</v>
      </c>
      <c r="AB39" s="83">
        <f t="shared" si="98"/>
        <v>10.934432694919586</v>
      </c>
      <c r="AC39" s="83">
        <f t="shared" si="99"/>
        <v>2.8583786712860331</v>
      </c>
      <c r="AD39" s="83">
        <f t="shared" si="100"/>
        <v>6.2076232192863632</v>
      </c>
      <c r="AE39" s="337">
        <f t="shared" si="101"/>
        <v>13.913800939593388</v>
      </c>
      <c r="AF39" s="83">
        <f t="shared" si="102"/>
        <v>6.2612104228170242</v>
      </c>
      <c r="AG39" s="83">
        <f t="shared" si="103"/>
        <v>2.6926573444696693</v>
      </c>
      <c r="AH39" s="337">
        <f t="shared" si="104"/>
        <v>7.1287336440009907</v>
      </c>
      <c r="AI39" s="83">
        <f t="shared" si="105"/>
        <v>11.403267291797189</v>
      </c>
      <c r="AJ39" s="83">
        <f t="shared" si="106"/>
        <v>10.70757724481752</v>
      </c>
      <c r="AK39" s="83">
        <f t="shared" si="107"/>
        <v>3.398696233358558</v>
      </c>
      <c r="AL39" s="83">
        <f t="shared" si="108"/>
        <v>2.0966246419596692</v>
      </c>
      <c r="AM39" s="83">
        <f t="shared" si="109"/>
        <v>4.0833981018371901</v>
      </c>
      <c r="AN39" s="83">
        <f t="shared" si="110"/>
        <v>8.9834758240418164</v>
      </c>
      <c r="AO39" s="83">
        <f t="shared" si="111"/>
        <v>2.041699050918595</v>
      </c>
      <c r="AP39" s="83">
        <f t="shared" si="112"/>
        <v>15.220769659756693</v>
      </c>
      <c r="AQ39" s="83">
        <f t="shared" si="113"/>
        <v>1.5760805675512395</v>
      </c>
      <c r="AR39" s="83">
        <f t="shared" si="114"/>
        <v>2.3412431253270247</v>
      </c>
      <c r="AS39" s="83">
        <f t="shared" si="115"/>
        <v>0.78804028377561974</v>
      </c>
      <c r="AT39" s="83">
        <f t="shared" si="116"/>
        <v>2.8583786712860331</v>
      </c>
      <c r="AU39" s="83">
        <f t="shared" si="117"/>
        <v>6.0494786693884297</v>
      </c>
      <c r="AV39" s="83">
        <f t="shared" si="118"/>
        <v>1.4291893356430165</v>
      </c>
      <c r="AW39" s="83">
        <f t="shared" si="119"/>
        <v>16.123696673471073</v>
      </c>
      <c r="AX39" s="83">
        <f t="shared" si="120"/>
        <v>3.0672952583881816</v>
      </c>
      <c r="AY39" s="83">
        <f t="shared" si="121"/>
        <v>5.2101568670825618</v>
      </c>
      <c r="AZ39" s="83">
        <f t="shared" si="122"/>
        <v>1.5336476291940908</v>
      </c>
      <c r="BA39" s="83">
        <f t="shared" si="123"/>
        <v>4.4009957319800819</v>
      </c>
      <c r="BB39" s="83">
        <f t="shared" si="124"/>
        <v>5.2630464423679335</v>
      </c>
      <c r="BC39" s="83">
        <f t="shared" si="125"/>
        <v>14.204976769328015</v>
      </c>
      <c r="BD39" s="83">
        <f t="shared" si="126"/>
        <v>10.777966342715784</v>
      </c>
      <c r="BE39" s="83">
        <f t="shared" si="127"/>
        <v>2.9218108983065285</v>
      </c>
      <c r="BF39" s="83">
        <f t="shared" si="128"/>
        <v>7.3349928866334704</v>
      </c>
      <c r="BG39" s="83">
        <f t="shared" si="129"/>
        <v>3.9926559217963637</v>
      </c>
      <c r="BH39" s="83">
        <f t="shared" si="130"/>
        <v>6.1431284325924791</v>
      </c>
      <c r="BI39" s="83">
        <f t="shared" si="131"/>
        <v>10.596110892613719</v>
      </c>
      <c r="BJ39" s="83">
        <f t="shared" si="132"/>
        <v>0.63043222702049584</v>
      </c>
      <c r="BK39" s="83">
        <f t="shared" si="133"/>
        <v>2.7222654012247931</v>
      </c>
      <c r="BL39" s="83">
        <f t="shared" si="134"/>
        <v>1.028411373796033</v>
      </c>
      <c r="BM39" s="83">
        <f t="shared" si="135"/>
        <v>4.917727485408677</v>
      </c>
      <c r="BN39" s="83">
        <f t="shared" si="136"/>
        <v>15.591073922083801</v>
      </c>
      <c r="BO39" s="83">
        <f t="shared" si="137"/>
        <v>1.636699050918595</v>
      </c>
      <c r="BP39" s="83">
        <f t="shared" si="138"/>
        <v>4.2951298552657846</v>
      </c>
      <c r="BQ39" s="83">
        <f t="shared" si="139"/>
        <v>3.690181988326942</v>
      </c>
      <c r="BR39" s="83">
        <f t="shared" si="140"/>
        <v>7.3362819864293387</v>
      </c>
      <c r="BS39" s="83">
        <f t="shared" si="141"/>
        <v>13.43305591420595</v>
      </c>
      <c r="BT39" s="83">
        <f t="shared" si="142"/>
        <v>1.4669672974899999</v>
      </c>
      <c r="BU39" s="83">
        <f t="shared" si="143"/>
        <v>4.2951298552657846</v>
      </c>
      <c r="BV39" s="83">
        <f t="shared" si="144"/>
        <v>3.690181988326942</v>
      </c>
      <c r="BW39" s="83">
        <f t="shared" si="145"/>
        <v>10.174052600960247</v>
      </c>
      <c r="BX39" s="83">
        <f t="shared" si="146"/>
        <v>10.85070852275661</v>
      </c>
      <c r="BY39" s="83">
        <f t="shared" si="147"/>
        <v>1.7943071076737187</v>
      </c>
      <c r="BZ39" s="83">
        <f t="shared" si="148"/>
        <v>6.5462208494292566</v>
      </c>
      <c r="CA39" s="83">
        <f t="shared" si="149"/>
        <v>5.4274459668784294</v>
      </c>
      <c r="CB39" s="83">
        <f t="shared" si="150"/>
        <v>9.5702824543284297</v>
      </c>
      <c r="CC39" s="83">
        <f t="shared" si="151"/>
        <v>5.4274459668784294</v>
      </c>
      <c r="CD39" s="83">
        <f t="shared" si="152"/>
        <v>5.6030630275724791</v>
      </c>
      <c r="CE39" s="83">
        <f t="shared" si="153"/>
        <v>9.5973407459819011</v>
      </c>
      <c r="CF39" s="83">
        <f t="shared" si="154"/>
        <v>5.6030630275724791</v>
      </c>
      <c r="CG39" s="83">
        <f t="shared" si="155"/>
        <v>4.0309241683677683</v>
      </c>
    </row>
    <row r="40" spans="1:85" x14ac:dyDescent="0.25">
      <c r="A40" t="str">
        <f t="shared" ref="A40:E40" si="158">A6</f>
        <v>B. Bartolache</v>
      </c>
      <c r="B40">
        <f t="shared" si="158"/>
        <v>36</v>
      </c>
      <c r="C40">
        <f t="shared" ca="1" si="158"/>
        <v>2</v>
      </c>
      <c r="D40">
        <f t="shared" si="158"/>
        <v>0</v>
      </c>
      <c r="E40" s="273">
        <f t="shared" si="158"/>
        <v>36526</v>
      </c>
      <c r="F40" s="200">
        <f t="shared" si="77"/>
        <v>1.5</v>
      </c>
      <c r="G40" s="201">
        <f t="shared" ref="G40:H40" si="159">J6</f>
        <v>11.8</v>
      </c>
      <c r="H40" s="49">
        <f t="shared" si="159"/>
        <v>0</v>
      </c>
      <c r="I40" s="49">
        <f t="shared" si="79"/>
        <v>11.95</v>
      </c>
      <c r="J40" s="49">
        <f t="shared" si="80"/>
        <v>5.95</v>
      </c>
      <c r="K40" s="49">
        <f t="shared" si="81"/>
        <v>6.95</v>
      </c>
      <c r="L40" s="49">
        <f t="shared" si="82"/>
        <v>7.95</v>
      </c>
      <c r="M40" s="49">
        <f t="shared" si="83"/>
        <v>2.95</v>
      </c>
      <c r="N40" s="49">
        <f t="shared" si="84"/>
        <v>16</v>
      </c>
      <c r="O40" s="201">
        <f t="shared" si="85"/>
        <v>3.8562499999999997</v>
      </c>
      <c r="P40" s="201">
        <f t="shared" si="86"/>
        <v>12.570478981528717</v>
      </c>
      <c r="Q40" s="201">
        <f t="shared" si="87"/>
        <v>0.62750000000000006</v>
      </c>
      <c r="R40" s="201">
        <f t="shared" si="88"/>
        <v>0.95799999999999996</v>
      </c>
      <c r="S40" s="201">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37">
        <f t="shared" si="101"/>
        <v>13.68884192896218</v>
      </c>
      <c r="AF40" s="83">
        <f t="shared" si="102"/>
        <v>6.1599788680329803</v>
      </c>
      <c r="AG40" s="83">
        <f t="shared" si="103"/>
        <v>1.4828223936268308</v>
      </c>
      <c r="AH40" s="337">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2.3225985708542596</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4.9444259813675666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4.8890507010753215</v>
      </c>
      <c r="CB40" s="83">
        <f t="shared" si="150"/>
        <v>9.3349521869689287</v>
      </c>
      <c r="CC40" s="83">
        <f t="shared" si="151"/>
        <v>4.8890507010753215</v>
      </c>
      <c r="CD40" s="83">
        <f t="shared" si="152"/>
        <v>5.1267266540689542</v>
      </c>
      <c r="CE40" s="83">
        <f t="shared" si="153"/>
        <v>9.8935919573361133</v>
      </c>
      <c r="CF40" s="83">
        <f t="shared" si="154"/>
        <v>5.1267266540689542</v>
      </c>
      <c r="CG40" s="83">
        <f t="shared" si="155"/>
        <v>2.2197940024353753</v>
      </c>
    </row>
    <row r="41" spans="1:85" x14ac:dyDescent="0.25">
      <c r="A41" t="str">
        <f t="shared" ref="A41:E41" si="160">A7</f>
        <v>F. Lasprilla</v>
      </c>
      <c r="B41">
        <f t="shared" si="160"/>
        <v>32</v>
      </c>
      <c r="C41">
        <f t="shared" ca="1" si="160"/>
        <v>25</v>
      </c>
      <c r="D41">
        <f t="shared" si="160"/>
        <v>0</v>
      </c>
      <c r="E41" s="273">
        <f t="shared" si="160"/>
        <v>36526</v>
      </c>
      <c r="F41" s="200">
        <f t="shared" si="77"/>
        <v>1.5</v>
      </c>
      <c r="G41" s="201">
        <f t="shared" ref="G41:H41" si="161">J7</f>
        <v>6.3</v>
      </c>
      <c r="H41" s="49">
        <f t="shared" si="161"/>
        <v>0</v>
      </c>
      <c r="I41" s="49">
        <f t="shared" si="79"/>
        <v>9.6046666666666667</v>
      </c>
      <c r="J41" s="49">
        <f t="shared" si="80"/>
        <v>7.7607222222222223</v>
      </c>
      <c r="K41" s="49">
        <f t="shared" si="81"/>
        <v>6.1599999999999984</v>
      </c>
      <c r="L41" s="49">
        <f t="shared" si="82"/>
        <v>8.8633333333333315</v>
      </c>
      <c r="M41" s="49">
        <f t="shared" si="83"/>
        <v>2.95</v>
      </c>
      <c r="N41" s="49">
        <f t="shared" si="84"/>
        <v>13.33611111111111</v>
      </c>
      <c r="O41" s="201">
        <f t="shared" si="85"/>
        <v>3.7914166666666662</v>
      </c>
      <c r="P41" s="201">
        <f t="shared" si="86"/>
        <v>10.302251263501001</v>
      </c>
      <c r="Q41" s="201">
        <f t="shared" si="87"/>
        <v>0.5475833333333332</v>
      </c>
      <c r="R41" s="201">
        <f t="shared" si="88"/>
        <v>0.78426999999999991</v>
      </c>
      <c r="S41" s="201">
        <f t="shared" ca="1" si="89"/>
        <v>15.401898510382553</v>
      </c>
      <c r="T41" s="83">
        <f t="shared" si="90"/>
        <v>4.8908203995639692</v>
      </c>
      <c r="U41" s="83">
        <f t="shared" si="91"/>
        <v>7.3944148657927649</v>
      </c>
      <c r="V41" s="83">
        <f t="shared" si="92"/>
        <v>4.8908203995639692</v>
      </c>
      <c r="W41" s="83">
        <f t="shared" si="93"/>
        <v>6.279954298024065</v>
      </c>
      <c r="X41" s="83">
        <f t="shared" si="94"/>
        <v>12.17045406593811</v>
      </c>
      <c r="Y41" s="83">
        <f t="shared" si="95"/>
        <v>3.1399771490120325</v>
      </c>
      <c r="Z41" s="83">
        <f t="shared" si="96"/>
        <v>2.457709289915492</v>
      </c>
      <c r="AA41" s="83">
        <f t="shared" si="97"/>
        <v>4.600431636924605</v>
      </c>
      <c r="AB41" s="83">
        <f t="shared" si="98"/>
        <v>8.7992382896732533</v>
      </c>
      <c r="AC41" s="83">
        <f t="shared" si="99"/>
        <v>2.3002158184623025</v>
      </c>
      <c r="AD41" s="83">
        <f t="shared" si="100"/>
        <v>3.9757062042750611</v>
      </c>
      <c r="AE41" s="337">
        <f t="shared" si="101"/>
        <v>11.196817740663061</v>
      </c>
      <c r="AF41" s="83">
        <f t="shared" si="102"/>
        <v>5.0385679832983774</v>
      </c>
      <c r="AG41" s="83">
        <f t="shared" si="103"/>
        <v>1.7245271067894421</v>
      </c>
      <c r="AH41" s="337">
        <f t="shared" si="104"/>
        <v>5.1307629907716068</v>
      </c>
      <c r="AI41" s="83">
        <f t="shared" si="105"/>
        <v>9.176522365717334</v>
      </c>
      <c r="AJ41" s="83">
        <f t="shared" si="106"/>
        <v>8.6166814786841819</v>
      </c>
      <c r="AK41" s="83">
        <f t="shared" si="107"/>
        <v>2.6556170512338864</v>
      </c>
      <c r="AL41" s="83">
        <f t="shared" si="108"/>
        <v>1.8308747709901751</v>
      </c>
      <c r="AM41" s="83">
        <f t="shared" si="109"/>
        <v>3.28602259780329</v>
      </c>
      <c r="AN41" s="83">
        <f t="shared" si="110"/>
        <v>7.2292497151672368</v>
      </c>
      <c r="AO41" s="83">
        <f t="shared" si="111"/>
        <v>1.643011298901645</v>
      </c>
      <c r="AP41" s="83">
        <f t="shared" si="112"/>
        <v>9.7482250826900199</v>
      </c>
      <c r="AQ41" s="83">
        <f t="shared" si="113"/>
        <v>1.4857856952386208</v>
      </c>
      <c r="AR41" s="83">
        <f t="shared" si="114"/>
        <v>2.3257257079865323</v>
      </c>
      <c r="AS41" s="83">
        <f t="shared" si="115"/>
        <v>0.7428928476193104</v>
      </c>
      <c r="AT41" s="83">
        <f t="shared" si="116"/>
        <v>2.3002158184623025</v>
      </c>
      <c r="AU41" s="83">
        <f t="shared" si="117"/>
        <v>4.868181626375244</v>
      </c>
      <c r="AV41" s="83">
        <f t="shared" si="118"/>
        <v>1.1501079092311512</v>
      </c>
      <c r="AW41" s="83">
        <f t="shared" si="119"/>
        <v>10.326509621493665</v>
      </c>
      <c r="AX41" s="83">
        <f t="shared" si="120"/>
        <v>2.891567545349008</v>
      </c>
      <c r="AY41" s="83">
        <f t="shared" si="121"/>
        <v>5.0556455236652313</v>
      </c>
      <c r="AZ41" s="83">
        <f t="shared" si="122"/>
        <v>1.445783772674504</v>
      </c>
      <c r="BA41" s="83">
        <f t="shared" si="123"/>
        <v>3.5416021331879897</v>
      </c>
      <c r="BB41" s="83">
        <f t="shared" si="124"/>
        <v>4.2353180149464622</v>
      </c>
      <c r="BC41" s="83">
        <f t="shared" si="125"/>
        <v>9.0976549765359191</v>
      </c>
      <c r="BD41" s="83">
        <f t="shared" si="126"/>
        <v>8.6087749979523114</v>
      </c>
      <c r="BE41" s="83">
        <f t="shared" si="127"/>
        <v>2.7544180965577505</v>
      </c>
      <c r="BF41" s="83">
        <f t="shared" si="128"/>
        <v>5.9026702219799834</v>
      </c>
      <c r="BG41" s="83">
        <f t="shared" si="129"/>
        <v>3.2129998734076612</v>
      </c>
      <c r="BH41" s="83">
        <f t="shared" si="130"/>
        <v>3.9344001657890866</v>
      </c>
      <c r="BI41" s="83">
        <f t="shared" si="131"/>
        <v>8.1697081869632395</v>
      </c>
      <c r="BJ41" s="83">
        <f t="shared" si="132"/>
        <v>0.59431427809544823</v>
      </c>
      <c r="BK41" s="83">
        <f t="shared" si="133"/>
        <v>2.1906817318688598</v>
      </c>
      <c r="BL41" s="83">
        <f t="shared" si="134"/>
        <v>0.82759087648379148</v>
      </c>
      <c r="BM41" s="83">
        <f t="shared" si="135"/>
        <v>3.1495854345555676</v>
      </c>
      <c r="BN41" s="83">
        <f t="shared" si="136"/>
        <v>11.994515928796407</v>
      </c>
      <c r="BO41" s="83">
        <f t="shared" si="137"/>
        <v>1.5429312989016446</v>
      </c>
      <c r="BP41" s="83">
        <f t="shared" si="138"/>
        <v>3.456408954726423</v>
      </c>
      <c r="BQ41" s="83">
        <f t="shared" si="139"/>
        <v>2.9695907920888986</v>
      </c>
      <c r="BR41" s="83">
        <f t="shared" si="140"/>
        <v>4.6985618777796176</v>
      </c>
      <c r="BS41" s="83">
        <f t="shared" si="141"/>
        <v>10.32778577172609</v>
      </c>
      <c r="BT41" s="83">
        <f t="shared" si="142"/>
        <v>1.3829236086451777</v>
      </c>
      <c r="BU41" s="83">
        <f t="shared" si="143"/>
        <v>3.456408954726423</v>
      </c>
      <c r="BV41" s="83">
        <f t="shared" si="144"/>
        <v>2.9695907920888986</v>
      </c>
      <c r="BW41" s="83">
        <f t="shared" si="145"/>
        <v>6.5160275711625024</v>
      </c>
      <c r="BX41" s="83">
        <f t="shared" si="146"/>
        <v>8.3313230556812741</v>
      </c>
      <c r="BY41" s="83">
        <f t="shared" si="147"/>
        <v>1.6915098684255065</v>
      </c>
      <c r="BZ41" s="83">
        <f t="shared" si="148"/>
        <v>4.1925629063264287</v>
      </c>
      <c r="CA41" s="83">
        <f t="shared" si="149"/>
        <v>4.8142985683537542</v>
      </c>
      <c r="CB41" s="83">
        <f t="shared" si="150"/>
        <v>9.4217166115796438</v>
      </c>
      <c r="CC41" s="83">
        <f t="shared" si="151"/>
        <v>4.8142985683537542</v>
      </c>
      <c r="CD41" s="83">
        <f t="shared" si="152"/>
        <v>4.855438883079441</v>
      </c>
      <c r="CE41" s="83">
        <f t="shared" si="153"/>
        <v>9.733132949602604</v>
      </c>
      <c r="CF41" s="83">
        <f t="shared" si="154"/>
        <v>4.855438883079441</v>
      </c>
      <c r="CG41" s="83">
        <f t="shared" si="155"/>
        <v>2.5816274053734163</v>
      </c>
    </row>
    <row r="42" spans="1:85" x14ac:dyDescent="0.25">
      <c r="A42" t="str">
        <f t="shared" ref="A42:E42" si="162">A8</f>
        <v>E. Romweber</v>
      </c>
      <c r="B42">
        <f t="shared" si="162"/>
        <v>35</v>
      </c>
      <c r="C42">
        <f t="shared" ca="1" si="162"/>
        <v>91</v>
      </c>
      <c r="D42" t="str">
        <f t="shared" si="162"/>
        <v>IMP</v>
      </c>
      <c r="E42" s="273">
        <f t="shared" si="162"/>
        <v>36526</v>
      </c>
      <c r="F42" s="200">
        <f t="shared" si="77"/>
        <v>1.5</v>
      </c>
      <c r="G42" s="201">
        <f t="shared" ref="G42:H42" si="163">J8</f>
        <v>17.100000000000001</v>
      </c>
      <c r="H42" s="49">
        <f t="shared" si="163"/>
        <v>0</v>
      </c>
      <c r="I42" s="49">
        <f t="shared" si="79"/>
        <v>11.95</v>
      </c>
      <c r="J42" s="49">
        <f t="shared" si="80"/>
        <v>12.614111111111114</v>
      </c>
      <c r="K42" s="49">
        <f t="shared" si="81"/>
        <v>12.95</v>
      </c>
      <c r="L42" s="49">
        <f t="shared" si="82"/>
        <v>10.95</v>
      </c>
      <c r="M42" s="49">
        <f t="shared" si="83"/>
        <v>5.95</v>
      </c>
      <c r="N42" s="49">
        <f t="shared" si="84"/>
        <v>17.529999999999998</v>
      </c>
      <c r="O42" s="201">
        <f t="shared" si="85"/>
        <v>4.6062499999999993</v>
      </c>
      <c r="P42" s="201">
        <f t="shared" si="86"/>
        <v>18.866728538622212</v>
      </c>
      <c r="Q42" s="201">
        <f t="shared" si="87"/>
        <v>0.82340000000000002</v>
      </c>
      <c r="R42" s="201">
        <f t="shared" si="88"/>
        <v>1.0039</v>
      </c>
      <c r="S42" s="201">
        <f t="shared" ca="1" si="89"/>
        <v>20.173994813856204</v>
      </c>
      <c r="T42" s="83">
        <f t="shared" si="90"/>
        <v>6.0429074724964664</v>
      </c>
      <c r="U42" s="83">
        <f t="shared" si="91"/>
        <v>9.1376473046883611</v>
      </c>
      <c r="V42" s="83">
        <f t="shared" si="92"/>
        <v>6.0429074724964664</v>
      </c>
      <c r="W42" s="83">
        <f t="shared" si="93"/>
        <v>7.7885013239498013</v>
      </c>
      <c r="X42" s="83">
        <f t="shared" si="94"/>
        <v>15.093994813856204</v>
      </c>
      <c r="Y42" s="83">
        <f t="shared" si="95"/>
        <v>3.8942506619749007</v>
      </c>
      <c r="Z42" s="83">
        <f t="shared" si="96"/>
        <v>3.7504292101422219</v>
      </c>
      <c r="AA42" s="83">
        <f t="shared" si="97"/>
        <v>5.7055300396376456</v>
      </c>
      <c r="AB42" s="83">
        <f t="shared" si="98"/>
        <v>10.912958250418034</v>
      </c>
      <c r="AC42" s="83">
        <f t="shared" si="99"/>
        <v>2.8527650198188228</v>
      </c>
      <c r="AD42" s="83">
        <f t="shared" si="100"/>
        <v>6.0668707811124181</v>
      </c>
      <c r="AE42" s="337">
        <f t="shared" si="101"/>
        <v>13.886475228747708</v>
      </c>
      <c r="AF42" s="83">
        <f t="shared" si="102"/>
        <v>6.2489138529364681</v>
      </c>
      <c r="AG42" s="83">
        <f t="shared" si="103"/>
        <v>2.6316036894695425</v>
      </c>
      <c r="AH42" s="337">
        <f t="shared" si="104"/>
        <v>9.4632689505474481</v>
      </c>
      <c r="AI42" s="83">
        <f t="shared" si="105"/>
        <v>11.380872089647578</v>
      </c>
      <c r="AJ42" s="83">
        <f t="shared" si="106"/>
        <v>10.686548328210192</v>
      </c>
      <c r="AK42" s="83">
        <f t="shared" si="107"/>
        <v>3.4525571339139862</v>
      </c>
      <c r="AL42" s="83">
        <f t="shared" si="108"/>
        <v>2.2320705063905866</v>
      </c>
      <c r="AM42" s="83">
        <f t="shared" si="109"/>
        <v>4.0753785997411756</v>
      </c>
      <c r="AN42" s="83">
        <f t="shared" si="110"/>
        <v>8.9658329194305857</v>
      </c>
      <c r="AO42" s="83">
        <f t="shared" si="111"/>
        <v>2.0376892998705878</v>
      </c>
      <c r="AP42" s="83">
        <f t="shared" si="112"/>
        <v>14.875651993169148</v>
      </c>
      <c r="AQ42" s="83">
        <f t="shared" si="113"/>
        <v>1.8322193258013066</v>
      </c>
      <c r="AR42" s="83">
        <f t="shared" si="114"/>
        <v>3.2645404804598677</v>
      </c>
      <c r="AS42" s="83">
        <f t="shared" si="115"/>
        <v>0.91610966290065332</v>
      </c>
      <c r="AT42" s="83">
        <f t="shared" si="116"/>
        <v>2.8527650198188228</v>
      </c>
      <c r="AU42" s="83">
        <f t="shared" si="117"/>
        <v>6.0375979255424816</v>
      </c>
      <c r="AV42" s="83">
        <f t="shared" si="118"/>
        <v>1.4263825099094114</v>
      </c>
      <c r="AW42" s="83">
        <f t="shared" si="119"/>
        <v>15.758105924967319</v>
      </c>
      <c r="AX42" s="83">
        <f t="shared" si="120"/>
        <v>3.5657806879056198</v>
      </c>
      <c r="AY42" s="83">
        <f t="shared" si="121"/>
        <v>6.7157911424347692</v>
      </c>
      <c r="AZ42" s="83">
        <f t="shared" si="122"/>
        <v>1.7828903439528099</v>
      </c>
      <c r="BA42" s="83">
        <f t="shared" si="123"/>
        <v>4.3923524908321552</v>
      </c>
      <c r="BB42" s="83">
        <f t="shared" si="124"/>
        <v>5.252710195221959</v>
      </c>
      <c r="BC42" s="83">
        <f t="shared" si="125"/>
        <v>13.882891319896208</v>
      </c>
      <c r="BD42" s="83">
        <f t="shared" si="126"/>
        <v>13.677561389518168</v>
      </c>
      <c r="BE42" s="83">
        <f t="shared" si="127"/>
        <v>3.3966527501393449</v>
      </c>
      <c r="BF42" s="83">
        <f t="shared" si="128"/>
        <v>7.3205874847202592</v>
      </c>
      <c r="BG42" s="83">
        <f t="shared" si="129"/>
        <v>3.9848146308580379</v>
      </c>
      <c r="BH42" s="83">
        <f t="shared" si="130"/>
        <v>6.0038383574125485</v>
      </c>
      <c r="BI42" s="83">
        <f t="shared" si="131"/>
        <v>13.664151467310324</v>
      </c>
      <c r="BJ42" s="83">
        <f t="shared" si="132"/>
        <v>0.73288773032052257</v>
      </c>
      <c r="BK42" s="83">
        <f t="shared" si="133"/>
        <v>2.7169190664941167</v>
      </c>
      <c r="BL42" s="83">
        <f t="shared" si="134"/>
        <v>1.0263916473422219</v>
      </c>
      <c r="BM42" s="83">
        <f t="shared" si="135"/>
        <v>4.8062223071150321</v>
      </c>
      <c r="BN42" s="83">
        <f t="shared" si="136"/>
        <v>20.124877330619078</v>
      </c>
      <c r="BO42" s="83">
        <f t="shared" si="137"/>
        <v>1.9026892998705878</v>
      </c>
      <c r="BP42" s="83">
        <f t="shared" si="138"/>
        <v>4.286694527135162</v>
      </c>
      <c r="BQ42" s="83">
        <f t="shared" si="139"/>
        <v>3.6829347345809138</v>
      </c>
      <c r="BR42" s="83">
        <f t="shared" si="140"/>
        <v>7.1699381958601309</v>
      </c>
      <c r="BS42" s="83">
        <f t="shared" si="141"/>
        <v>17.344146253752676</v>
      </c>
      <c r="BT42" s="83">
        <f t="shared" si="142"/>
        <v>1.7053733724766007</v>
      </c>
      <c r="BU42" s="83">
        <f t="shared" si="143"/>
        <v>4.286694527135162</v>
      </c>
      <c r="BV42" s="83">
        <f t="shared" si="144"/>
        <v>3.6829347345809138</v>
      </c>
      <c r="BW42" s="83">
        <f t="shared" si="145"/>
        <v>9.9433648386543787</v>
      </c>
      <c r="BX42" s="83">
        <f t="shared" si="146"/>
        <v>14.018125358401305</v>
      </c>
      <c r="BY42" s="83">
        <f t="shared" si="147"/>
        <v>2.0859112324507181</v>
      </c>
      <c r="BZ42" s="83">
        <f t="shared" si="148"/>
        <v>6.3977910055367317</v>
      </c>
      <c r="CA42" s="83">
        <f t="shared" si="149"/>
        <v>6.9959712980190831</v>
      </c>
      <c r="CB42" s="83">
        <f t="shared" si="150"/>
        <v>12.954838160402087</v>
      </c>
      <c r="CC42" s="83">
        <f t="shared" si="151"/>
        <v>6.9959712980190831</v>
      </c>
      <c r="CD42" s="83">
        <f t="shared" si="152"/>
        <v>7.7925587690324161</v>
      </c>
      <c r="CE42" s="83">
        <f t="shared" si="153"/>
        <v>14.294678900169146</v>
      </c>
      <c r="CF42" s="83">
        <f t="shared" si="154"/>
        <v>7.7925587690324161</v>
      </c>
      <c r="CG42" s="83">
        <f t="shared" si="155"/>
        <v>3.9395264812418298</v>
      </c>
    </row>
    <row r="43" spans="1:85" x14ac:dyDescent="0.25">
      <c r="A43" t="str">
        <f t="shared" ref="A43:E43" si="164">A9</f>
        <v>S. Buschelman</v>
      </c>
      <c r="B43">
        <f t="shared" si="164"/>
        <v>34</v>
      </c>
      <c r="C43">
        <f t="shared" ca="1" si="164"/>
        <v>50</v>
      </c>
      <c r="D43" t="str">
        <f t="shared" si="164"/>
        <v>TEC</v>
      </c>
      <c r="E43" s="273">
        <f t="shared" si="164"/>
        <v>36526</v>
      </c>
      <c r="F43" s="200">
        <f t="shared" si="77"/>
        <v>1.5</v>
      </c>
      <c r="G43" s="201">
        <f t="shared" ref="G43:H43" si="165">J9</f>
        <v>14.8</v>
      </c>
      <c r="H43" s="49">
        <f t="shared" si="165"/>
        <v>0</v>
      </c>
      <c r="I43" s="49">
        <f t="shared" si="79"/>
        <v>9.3036666666666648</v>
      </c>
      <c r="J43" s="49">
        <f t="shared" si="80"/>
        <v>14</v>
      </c>
      <c r="K43" s="49">
        <f t="shared" si="81"/>
        <v>12.945</v>
      </c>
      <c r="L43" s="49">
        <f t="shared" si="82"/>
        <v>9.9499999999999993</v>
      </c>
      <c r="M43" s="49">
        <f t="shared" si="83"/>
        <v>3.95</v>
      </c>
      <c r="N43" s="49">
        <f t="shared" si="84"/>
        <v>16</v>
      </c>
      <c r="O43" s="201">
        <f t="shared" si="85"/>
        <v>4.0254583333333329</v>
      </c>
      <c r="P43" s="201">
        <f t="shared" si="86"/>
        <v>14.520371188030476</v>
      </c>
      <c r="Q43" s="201">
        <f t="shared" si="87"/>
        <v>0.67749999999999999</v>
      </c>
      <c r="R43" s="201">
        <f t="shared" si="88"/>
        <v>0.8521466666666665</v>
      </c>
      <c r="S43" s="201">
        <f t="shared" ca="1" si="89"/>
        <v>18.560348953859943</v>
      </c>
      <c r="T43" s="83">
        <f t="shared" si="90"/>
        <v>5.2394966367197302</v>
      </c>
      <c r="U43" s="83">
        <f t="shared" si="91"/>
        <v>7.9049688327665191</v>
      </c>
      <c r="V43" s="83">
        <f t="shared" si="92"/>
        <v>5.2394966367197302</v>
      </c>
      <c r="W43" s="83">
        <f t="shared" si="93"/>
        <v>6.3798320601917302</v>
      </c>
      <c r="X43" s="83">
        <f t="shared" si="94"/>
        <v>12.364015620526608</v>
      </c>
      <c r="Y43" s="83">
        <f t="shared" si="95"/>
        <v>3.1899160300958651</v>
      </c>
      <c r="Z43" s="83">
        <f t="shared" si="96"/>
        <v>4.0603630510186663</v>
      </c>
      <c r="AA43" s="83">
        <f t="shared" si="97"/>
        <v>4.6735979045590579</v>
      </c>
      <c r="AB43" s="83">
        <f t="shared" si="98"/>
        <v>8.9391832936407365</v>
      </c>
      <c r="AC43" s="83">
        <f t="shared" si="99"/>
        <v>2.3367989522795289</v>
      </c>
      <c r="AD43" s="83">
        <f t="shared" si="100"/>
        <v>6.5682343472360785</v>
      </c>
      <c r="AE43" s="337">
        <f t="shared" si="101"/>
        <v>11.37489437088448</v>
      </c>
      <c r="AF43" s="83">
        <f t="shared" si="102"/>
        <v>5.1187024668980152</v>
      </c>
      <c r="AG43" s="83">
        <f t="shared" si="103"/>
        <v>2.8490782752946107</v>
      </c>
      <c r="AH43" s="337">
        <f t="shared" si="104"/>
        <v>9.4111451848696461</v>
      </c>
      <c r="AI43" s="83">
        <f t="shared" si="105"/>
        <v>9.3224677778770619</v>
      </c>
      <c r="AJ43" s="83">
        <f t="shared" si="106"/>
        <v>8.7537230593328381</v>
      </c>
      <c r="AK43" s="83">
        <f t="shared" si="107"/>
        <v>3.1830782752946107</v>
      </c>
      <c r="AL43" s="83">
        <f t="shared" si="108"/>
        <v>2.0407124987116636</v>
      </c>
      <c r="AM43" s="83">
        <f t="shared" si="109"/>
        <v>3.3382842175421845</v>
      </c>
      <c r="AN43" s="83">
        <f t="shared" si="110"/>
        <v>7.3442252785928046</v>
      </c>
      <c r="AO43" s="83">
        <f t="shared" si="111"/>
        <v>1.6691421087710923</v>
      </c>
      <c r="AP43" s="83">
        <f t="shared" si="112"/>
        <v>16.104969412443786</v>
      </c>
      <c r="AQ43" s="83">
        <f t="shared" si="113"/>
        <v>1.6913453640017926</v>
      </c>
      <c r="AR43" s="83">
        <f t="shared" si="114"/>
        <v>2.7740322434809634</v>
      </c>
      <c r="AS43" s="83">
        <f t="shared" si="115"/>
        <v>0.84567268200089629</v>
      </c>
      <c r="AT43" s="83">
        <f t="shared" si="116"/>
        <v>2.3367989522795289</v>
      </c>
      <c r="AU43" s="83">
        <f t="shared" si="117"/>
        <v>4.9456062482106438</v>
      </c>
      <c r="AV43" s="83">
        <f t="shared" si="118"/>
        <v>1.1683994761397645</v>
      </c>
      <c r="AW43" s="83">
        <f t="shared" si="119"/>
        <v>17.060348953859943</v>
      </c>
      <c r="AX43" s="83">
        <f t="shared" si="120"/>
        <v>3.2916182853265656</v>
      </c>
      <c r="AY43" s="83">
        <f t="shared" si="121"/>
        <v>5.9087022735768286</v>
      </c>
      <c r="AZ43" s="83">
        <f t="shared" si="122"/>
        <v>1.6458091426632828</v>
      </c>
      <c r="BA43" s="83">
        <f t="shared" si="123"/>
        <v>3.5979285455732426</v>
      </c>
      <c r="BB43" s="83">
        <f t="shared" si="124"/>
        <v>4.3026774359432594</v>
      </c>
      <c r="BC43" s="83">
        <f t="shared" si="125"/>
        <v>15.030167428350611</v>
      </c>
      <c r="BD43" s="83">
        <f t="shared" si="126"/>
        <v>13.285330219981489</v>
      </c>
      <c r="BE43" s="83">
        <f t="shared" si="127"/>
        <v>3.1354940978802461</v>
      </c>
      <c r="BF43" s="83">
        <f t="shared" si="128"/>
        <v>5.9965475759554048</v>
      </c>
      <c r="BG43" s="83">
        <f t="shared" si="129"/>
        <v>3.2641001238190248</v>
      </c>
      <c r="BH43" s="83">
        <f t="shared" si="130"/>
        <v>6.4999929514206389</v>
      </c>
      <c r="BI43" s="83">
        <f t="shared" si="131"/>
        <v>13.386679985673592</v>
      </c>
      <c r="BJ43" s="83">
        <f t="shared" si="132"/>
        <v>0.67653814560071701</v>
      </c>
      <c r="BK43" s="83">
        <f t="shared" si="133"/>
        <v>2.2255228116947894</v>
      </c>
      <c r="BL43" s="83">
        <f t="shared" si="134"/>
        <v>0.84075306219580936</v>
      </c>
      <c r="BM43" s="83">
        <f t="shared" si="135"/>
        <v>5.2034064309272825</v>
      </c>
      <c r="BN43" s="83">
        <f t="shared" si="136"/>
        <v>19.726308754663886</v>
      </c>
      <c r="BO43" s="83">
        <f t="shared" si="137"/>
        <v>1.7563971087710923</v>
      </c>
      <c r="BP43" s="83">
        <f t="shared" si="138"/>
        <v>3.5113804362295564</v>
      </c>
      <c r="BQ43" s="83">
        <f t="shared" si="139"/>
        <v>3.0168198114084923</v>
      </c>
      <c r="BR43" s="83">
        <f t="shared" si="140"/>
        <v>7.7624587740062747</v>
      </c>
      <c r="BS43" s="83">
        <f t="shared" si="141"/>
        <v>17.003146640876817</v>
      </c>
      <c r="BT43" s="83">
        <f t="shared" si="142"/>
        <v>1.5742522234170531</v>
      </c>
      <c r="BU43" s="83">
        <f t="shared" si="143"/>
        <v>3.5113804362295564</v>
      </c>
      <c r="BV43" s="83">
        <f t="shared" si="144"/>
        <v>3.0168198114084923</v>
      </c>
      <c r="BW43" s="83">
        <f t="shared" si="145"/>
        <v>10.765080189885625</v>
      </c>
      <c r="BX43" s="83">
        <f t="shared" si="146"/>
        <v>13.746752313704649</v>
      </c>
      <c r="BY43" s="83">
        <f t="shared" si="147"/>
        <v>1.9255316451712714</v>
      </c>
      <c r="BZ43" s="83">
        <f t="shared" si="148"/>
        <v>6.9265016752671373</v>
      </c>
      <c r="CA43" s="83">
        <f t="shared" si="149"/>
        <v>7.5064697212698261</v>
      </c>
      <c r="CB43" s="83">
        <f t="shared" si="150"/>
        <v>11.151652922046296</v>
      </c>
      <c r="CC43" s="83">
        <f t="shared" si="151"/>
        <v>7.5064697212698261</v>
      </c>
      <c r="CD43" s="83">
        <f t="shared" si="152"/>
        <v>7.0773423982547445</v>
      </c>
      <c r="CE43" s="83">
        <f t="shared" si="153"/>
        <v>11.811167717834262</v>
      </c>
      <c r="CF43" s="83">
        <f t="shared" si="154"/>
        <v>7.0773423982547445</v>
      </c>
      <c r="CG43" s="83">
        <f t="shared" si="155"/>
        <v>4.2650872384649858</v>
      </c>
    </row>
    <row r="44" spans="1:85" x14ac:dyDescent="0.25">
      <c r="A44" t="str">
        <f t="shared" ref="A44:E44" si="166">A10</f>
        <v>E. Gross</v>
      </c>
      <c r="B44">
        <f t="shared" si="166"/>
        <v>35</v>
      </c>
      <c r="C44">
        <f t="shared" ca="1" si="166"/>
        <v>78</v>
      </c>
      <c r="D44">
        <f t="shared" si="166"/>
        <v>0</v>
      </c>
      <c r="E44" s="273">
        <f t="shared" si="166"/>
        <v>36526</v>
      </c>
      <c r="F44" s="200">
        <f t="shared" si="77"/>
        <v>1.5</v>
      </c>
      <c r="G44" s="201">
        <f t="shared" ref="G44:H44" si="167">J10</f>
        <v>13.1</v>
      </c>
      <c r="H44" s="49">
        <f t="shared" si="167"/>
        <v>0</v>
      </c>
      <c r="I44" s="49">
        <f t="shared" si="79"/>
        <v>10.549999999999995</v>
      </c>
      <c r="J44" s="49">
        <f t="shared" si="80"/>
        <v>12.95</v>
      </c>
      <c r="K44" s="49">
        <f t="shared" si="81"/>
        <v>3.95</v>
      </c>
      <c r="L44" s="49">
        <f t="shared" si="82"/>
        <v>8.9499999999999993</v>
      </c>
      <c r="M44" s="49">
        <f t="shared" si="83"/>
        <v>0.95</v>
      </c>
      <c r="N44" s="49">
        <f t="shared" si="84"/>
        <v>17.3</v>
      </c>
      <c r="O44" s="201">
        <f t="shared" si="85"/>
        <v>3.9312499999999995</v>
      </c>
      <c r="P44" s="201">
        <f t="shared" si="86"/>
        <v>10.099226084532321</v>
      </c>
      <c r="Q44" s="201">
        <f t="shared" si="87"/>
        <v>0.5665</v>
      </c>
      <c r="R44" s="201">
        <f t="shared" si="88"/>
        <v>0.94099999999999984</v>
      </c>
      <c r="S44" s="201">
        <f t="shared" ca="1" si="89"/>
        <v>19.789695060874354</v>
      </c>
      <c r="T44" s="83">
        <f t="shared" si="90"/>
        <v>5.5218037881433082</v>
      </c>
      <c r="U44" s="83">
        <f t="shared" si="91"/>
        <v>8.3434463235887861</v>
      </c>
      <c r="V44" s="83">
        <f t="shared" si="92"/>
        <v>5.5218037881433082</v>
      </c>
      <c r="W44" s="83">
        <f t="shared" si="93"/>
        <v>6.9864826514111638</v>
      </c>
      <c r="X44" s="83">
        <f t="shared" si="94"/>
        <v>13.539695060874347</v>
      </c>
      <c r="Y44" s="83">
        <f t="shared" si="95"/>
        <v>3.4932413257055819</v>
      </c>
      <c r="Z44" s="83">
        <f t="shared" si="96"/>
        <v>3.7936474244880953</v>
      </c>
      <c r="AA44" s="83">
        <f t="shared" si="97"/>
        <v>5.118004733010503</v>
      </c>
      <c r="AB44" s="83">
        <f t="shared" si="98"/>
        <v>9.7891995290121532</v>
      </c>
      <c r="AC44" s="83">
        <f t="shared" si="99"/>
        <v>2.5590023665052515</v>
      </c>
      <c r="AD44" s="83">
        <f t="shared" si="100"/>
        <v>6.1367825984366258</v>
      </c>
      <c r="AE44" s="337">
        <f t="shared" si="101"/>
        <v>12.456519456004401</v>
      </c>
      <c r="AF44" s="83">
        <f t="shared" si="102"/>
        <v>5.6054337552019797</v>
      </c>
      <c r="AG44" s="83">
        <f t="shared" si="103"/>
        <v>2.6619290751660167</v>
      </c>
      <c r="AH44" s="337">
        <f t="shared" si="104"/>
        <v>4.0805406957941193</v>
      </c>
      <c r="AI44" s="83">
        <f t="shared" si="105"/>
        <v>10.208930075899257</v>
      </c>
      <c r="AJ44" s="83">
        <f t="shared" si="106"/>
        <v>9.5861041030990375</v>
      </c>
      <c r="AK44" s="83">
        <f t="shared" si="107"/>
        <v>3.3883790751660174</v>
      </c>
      <c r="AL44" s="83">
        <f t="shared" si="108"/>
        <v>1.9932321775318131</v>
      </c>
      <c r="AM44" s="83">
        <f t="shared" si="109"/>
        <v>3.655717666436074</v>
      </c>
      <c r="AN44" s="83">
        <f t="shared" si="110"/>
        <v>8.0425788661593618</v>
      </c>
      <c r="AO44" s="83">
        <f t="shared" si="111"/>
        <v>1.827858833218037</v>
      </c>
      <c r="AP44" s="83">
        <f t="shared" si="112"/>
        <v>15.047072137465387</v>
      </c>
      <c r="AQ44" s="83">
        <f t="shared" si="113"/>
        <v>1.5521603579136658</v>
      </c>
      <c r="AR44" s="83">
        <f t="shared" si="114"/>
        <v>2.1143306528361849</v>
      </c>
      <c r="AS44" s="83">
        <f t="shared" si="115"/>
        <v>0.7760801789568329</v>
      </c>
      <c r="AT44" s="83">
        <f t="shared" si="116"/>
        <v>2.5590023665052515</v>
      </c>
      <c r="AU44" s="83">
        <f t="shared" si="117"/>
        <v>5.4158780243497393</v>
      </c>
      <c r="AV44" s="83">
        <f t="shared" si="118"/>
        <v>1.2795011832526257</v>
      </c>
      <c r="AW44" s="83">
        <f t="shared" si="119"/>
        <v>15.939695060874351</v>
      </c>
      <c r="AX44" s="83">
        <f t="shared" si="120"/>
        <v>3.020742850401211</v>
      </c>
      <c r="AY44" s="83">
        <f t="shared" si="121"/>
        <v>4.8987719785417685</v>
      </c>
      <c r="AZ44" s="83">
        <f t="shared" si="122"/>
        <v>1.5103714252006055</v>
      </c>
      <c r="BA44" s="83">
        <f t="shared" si="123"/>
        <v>3.9400512627144346</v>
      </c>
      <c r="BB44" s="83">
        <f t="shared" si="124"/>
        <v>4.7118138811842725</v>
      </c>
      <c r="BC44" s="83">
        <f t="shared" si="125"/>
        <v>14.042871348630303</v>
      </c>
      <c r="BD44" s="83">
        <f t="shared" si="126"/>
        <v>7.7443889091172986</v>
      </c>
      <c r="BE44" s="83">
        <f t="shared" si="127"/>
        <v>2.8774665096707186</v>
      </c>
      <c r="BF44" s="83">
        <f t="shared" si="128"/>
        <v>6.566752104524058</v>
      </c>
      <c r="BG44" s="83">
        <f t="shared" si="129"/>
        <v>3.5744794960708277</v>
      </c>
      <c r="BH44" s="83">
        <f t="shared" si="130"/>
        <v>6.0730238181931275</v>
      </c>
      <c r="BI44" s="83">
        <f t="shared" si="131"/>
        <v>7.0702934832041837</v>
      </c>
      <c r="BJ44" s="83">
        <f t="shared" si="132"/>
        <v>0.62086414316546623</v>
      </c>
      <c r="BK44" s="83">
        <f t="shared" si="133"/>
        <v>2.4371451109573825</v>
      </c>
      <c r="BL44" s="83">
        <f t="shared" si="134"/>
        <v>0.92069926413945569</v>
      </c>
      <c r="BM44" s="83">
        <f t="shared" si="135"/>
        <v>4.861606993566677</v>
      </c>
      <c r="BN44" s="83">
        <f t="shared" si="136"/>
        <v>10.354447848284416</v>
      </c>
      <c r="BO44" s="83">
        <f t="shared" si="137"/>
        <v>1.6118588332180375</v>
      </c>
      <c r="BP44" s="83">
        <f t="shared" si="138"/>
        <v>3.8452733972883144</v>
      </c>
      <c r="BQ44" s="83">
        <f t="shared" si="139"/>
        <v>3.3036855948533406</v>
      </c>
      <c r="BR44" s="83">
        <f t="shared" si="140"/>
        <v>7.2525612526978298</v>
      </c>
      <c r="BS44" s="83">
        <f t="shared" si="141"/>
        <v>8.9091821274487817</v>
      </c>
      <c r="BT44" s="83">
        <f t="shared" si="142"/>
        <v>1.4447031023657964</v>
      </c>
      <c r="BU44" s="83">
        <f t="shared" si="143"/>
        <v>3.8452733972883144</v>
      </c>
      <c r="BV44" s="83">
        <f t="shared" si="144"/>
        <v>3.3036855948533406</v>
      </c>
      <c r="BW44" s="83">
        <f t="shared" si="145"/>
        <v>10.057947583411716</v>
      </c>
      <c r="BX44" s="83">
        <f t="shared" si="146"/>
        <v>7.1760270794825445</v>
      </c>
      <c r="BY44" s="83">
        <f t="shared" si="147"/>
        <v>1.7670748690094038</v>
      </c>
      <c r="BZ44" s="83">
        <f t="shared" si="148"/>
        <v>6.4715161947149866</v>
      </c>
      <c r="CA44" s="83">
        <f t="shared" si="149"/>
        <v>4.4845811267155371</v>
      </c>
      <c r="CB44" s="83">
        <f t="shared" si="150"/>
        <v>8.7800966385445207</v>
      </c>
      <c r="CC44" s="83">
        <f t="shared" si="151"/>
        <v>4.4845811267155371</v>
      </c>
      <c r="CD44" s="83">
        <f t="shared" si="152"/>
        <v>4.1234300229247216</v>
      </c>
      <c r="CE44" s="83">
        <f t="shared" si="153"/>
        <v>8.3454425383369877</v>
      </c>
      <c r="CF44" s="83">
        <f t="shared" si="154"/>
        <v>4.1234300229247216</v>
      </c>
      <c r="CG44" s="83">
        <f t="shared" si="155"/>
        <v>3.9849237652185878</v>
      </c>
    </row>
    <row r="45" spans="1:85" x14ac:dyDescent="0.25">
      <c r="A45" t="str">
        <f t="shared" ref="A45:E45" si="168">A11</f>
        <v>W. Gelifini</v>
      </c>
      <c r="B45">
        <f t="shared" si="168"/>
        <v>34</v>
      </c>
      <c r="C45">
        <f t="shared" ca="1" si="168"/>
        <v>3</v>
      </c>
      <c r="D45">
        <f t="shared" si="168"/>
        <v>0</v>
      </c>
      <c r="E45" s="273">
        <f t="shared" si="168"/>
        <v>36526</v>
      </c>
      <c r="F45" s="200">
        <f t="shared" si="77"/>
        <v>1.5</v>
      </c>
      <c r="G45" s="201">
        <f t="shared" ref="G45:H45" si="169">J11</f>
        <v>4.5</v>
      </c>
      <c r="H45" s="49">
        <f t="shared" si="169"/>
        <v>0</v>
      </c>
      <c r="I45" s="49">
        <f t="shared" si="79"/>
        <v>5.6515555555555519</v>
      </c>
      <c r="J45" s="49">
        <f t="shared" si="80"/>
        <v>8.9499999999999993</v>
      </c>
      <c r="K45" s="49">
        <f t="shared" si="81"/>
        <v>6.95</v>
      </c>
      <c r="L45" s="49">
        <f t="shared" si="82"/>
        <v>9.2666666666666639</v>
      </c>
      <c r="M45" s="49">
        <f t="shared" si="83"/>
        <v>2.95</v>
      </c>
      <c r="N45" s="49">
        <f t="shared" si="84"/>
        <v>12.847222222222223</v>
      </c>
      <c r="O45" s="201">
        <f t="shared" si="85"/>
        <v>3.3981111111111098</v>
      </c>
      <c r="P45" s="201">
        <f t="shared" si="86"/>
        <v>9.6027717628135694</v>
      </c>
      <c r="Q45" s="201">
        <f t="shared" si="87"/>
        <v>0.53291666666666671</v>
      </c>
      <c r="R45" s="201">
        <f t="shared" si="88"/>
        <v>0.61147888888888879</v>
      </c>
      <c r="S45" s="201">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2.6943861043713757</v>
      </c>
      <c r="AA45" s="83">
        <f t="shared" si="97"/>
        <v>3.0325071069427718</v>
      </c>
      <c r="AB45" s="83">
        <f t="shared" si="98"/>
        <v>5.8002715299460954</v>
      </c>
      <c r="AC45" s="83">
        <f t="shared" si="99"/>
        <v>1.5162535534713859</v>
      </c>
      <c r="AD45" s="83">
        <f t="shared" si="100"/>
        <v>4.358565757071343</v>
      </c>
      <c r="AE45" s="337">
        <f t="shared" si="101"/>
        <v>7.3807051280088629</v>
      </c>
      <c r="AF45" s="83">
        <f t="shared" si="102"/>
        <v>3.3213173076039881</v>
      </c>
      <c r="AG45" s="83">
        <f t="shared" si="103"/>
        <v>1.89059865306731</v>
      </c>
      <c r="AH45" s="337">
        <f t="shared" si="104"/>
        <v>5.4807186107998689</v>
      </c>
      <c r="AI45" s="83">
        <f t="shared" si="105"/>
        <v>6.0489692027376982</v>
      </c>
      <c r="AJ45" s="83">
        <f t="shared" si="106"/>
        <v>5.6799339463372549</v>
      </c>
      <c r="AK45" s="83">
        <f t="shared" si="107"/>
        <v>2.5414347641784212</v>
      </c>
      <c r="AL45" s="83">
        <f t="shared" si="108"/>
        <v>1.6614896052897317</v>
      </c>
      <c r="AM45" s="83">
        <f t="shared" si="109"/>
        <v>2.1660765049591229</v>
      </c>
      <c r="AN45" s="83">
        <f t="shared" si="110"/>
        <v>4.7653683109100697</v>
      </c>
      <c r="AO45" s="83">
        <f t="shared" si="111"/>
        <v>1.0830382524795614</v>
      </c>
      <c r="AP45" s="83">
        <f t="shared" si="112"/>
        <v>10.686976817338564</v>
      </c>
      <c r="AQ45" s="83">
        <f t="shared" si="113"/>
        <v>1.5128901690543926</v>
      </c>
      <c r="AR45" s="83">
        <f t="shared" si="114"/>
        <v>2.3170383553815674</v>
      </c>
      <c r="AS45" s="83">
        <f t="shared" si="115"/>
        <v>0.75644508452719628</v>
      </c>
      <c r="AT45" s="83">
        <f t="shared" si="116"/>
        <v>1.5162535534713859</v>
      </c>
      <c r="AU45" s="83">
        <f t="shared" si="117"/>
        <v>3.2090022295690712</v>
      </c>
      <c r="AV45" s="83">
        <f t="shared" si="118"/>
        <v>0.75812677673569295</v>
      </c>
      <c r="AW45" s="83">
        <f t="shared" si="119"/>
        <v>11.320950018367125</v>
      </c>
      <c r="AX45" s="83">
        <f t="shared" si="120"/>
        <v>2.9443170213135486</v>
      </c>
      <c r="AY45" s="83">
        <f t="shared" si="121"/>
        <v>5.0858267934536183</v>
      </c>
      <c r="AZ45" s="83">
        <f t="shared" si="122"/>
        <v>1.4721585106567743</v>
      </c>
      <c r="BA45" s="83">
        <f t="shared" si="123"/>
        <v>2.3345491220114991</v>
      </c>
      <c r="BB45" s="83">
        <f t="shared" si="124"/>
        <v>2.7918319397250912</v>
      </c>
      <c r="BC45" s="83">
        <f t="shared" si="125"/>
        <v>9.9737569661814369</v>
      </c>
      <c r="BD45" s="83">
        <f t="shared" si="126"/>
        <v>9.0160745663283723</v>
      </c>
      <c r="BE45" s="83">
        <f t="shared" si="127"/>
        <v>2.8046656210931431</v>
      </c>
      <c r="BF45" s="83">
        <f t="shared" si="128"/>
        <v>3.8909152033524985</v>
      </c>
      <c r="BG45" s="83">
        <f t="shared" si="129"/>
        <v>2.1179414715155866</v>
      </c>
      <c r="BH45" s="83">
        <f t="shared" si="130"/>
        <v>4.3132819569978746</v>
      </c>
      <c r="BI45" s="83">
        <f t="shared" si="131"/>
        <v>8.6121603160528668</v>
      </c>
      <c r="BJ45" s="83">
        <f t="shared" si="132"/>
        <v>0.605156067621757</v>
      </c>
      <c r="BK45" s="83">
        <f t="shared" si="133"/>
        <v>1.4440510033060818</v>
      </c>
      <c r="BL45" s="83">
        <f t="shared" si="134"/>
        <v>0.54553037902674206</v>
      </c>
      <c r="BM45" s="83">
        <f t="shared" si="135"/>
        <v>3.4528897556019729</v>
      </c>
      <c r="BN45" s="83">
        <f t="shared" si="136"/>
        <v>12.649308390286787</v>
      </c>
      <c r="BO45" s="83">
        <f t="shared" si="137"/>
        <v>1.5710782524795617</v>
      </c>
      <c r="BP45" s="83">
        <f t="shared" si="138"/>
        <v>2.2783915829940402</v>
      </c>
      <c r="BQ45" s="83">
        <f t="shared" si="139"/>
        <v>1.9574913600371331</v>
      </c>
      <c r="BR45" s="83">
        <f t="shared" si="140"/>
        <v>5.1510322583570423</v>
      </c>
      <c r="BS45" s="83">
        <f t="shared" si="141"/>
        <v>10.89287928701744</v>
      </c>
      <c r="BT45" s="83">
        <f t="shared" si="142"/>
        <v>1.4081516188890884</v>
      </c>
      <c r="BU45" s="83">
        <f t="shared" si="143"/>
        <v>2.2783915829940402</v>
      </c>
      <c r="BV45" s="83">
        <f t="shared" si="144"/>
        <v>1.9574913600371331</v>
      </c>
      <c r="BW45" s="83">
        <f t="shared" si="145"/>
        <v>7.1435194615896558</v>
      </c>
      <c r="BX45" s="83">
        <f t="shared" si="146"/>
        <v>8.7893669331052422</v>
      </c>
      <c r="BY45" s="83">
        <f t="shared" si="147"/>
        <v>1.7223672693850007</v>
      </c>
      <c r="BZ45" s="83">
        <f t="shared" si="148"/>
        <v>4.596305707457053</v>
      </c>
      <c r="CA45" s="83">
        <f t="shared" si="149"/>
        <v>4.9273816262359373</v>
      </c>
      <c r="CB45" s="83">
        <f t="shared" si="150"/>
        <v>9.4213397206813809</v>
      </c>
      <c r="CC45" s="83">
        <f t="shared" si="151"/>
        <v>4.9273816262359373</v>
      </c>
      <c r="CD45" s="83">
        <f t="shared" si="152"/>
        <v>4.9659185281093858</v>
      </c>
      <c r="CE45" s="83">
        <f t="shared" si="153"/>
        <v>9.6152305751445937</v>
      </c>
      <c r="CF45" s="83">
        <f t="shared" si="154"/>
        <v>4.9659185281093858</v>
      </c>
      <c r="CG45" s="83">
        <f t="shared" si="155"/>
        <v>2.8302375045917811</v>
      </c>
    </row>
    <row r="46" spans="1:85" x14ac:dyDescent="0.25">
      <c r="A46" t="str">
        <f t="shared" ref="A46:E46" si="170">A12</f>
        <v>I. Vanags</v>
      </c>
      <c r="B46">
        <f t="shared" si="170"/>
        <v>18</v>
      </c>
      <c r="C46">
        <f t="shared" ca="1" si="170"/>
        <v>73</v>
      </c>
      <c r="D46" t="str">
        <f t="shared" si="170"/>
        <v>CAB</v>
      </c>
      <c r="E46" s="273">
        <f t="shared" si="170"/>
        <v>43626</v>
      </c>
      <c r="F46" s="200">
        <f t="shared" ca="1" si="77"/>
        <v>0.15364458747949647</v>
      </c>
      <c r="G46" s="201">
        <f t="shared" ref="G46:H46" si="171">J12</f>
        <v>0.4</v>
      </c>
      <c r="H46" s="49">
        <f t="shared" si="171"/>
        <v>0</v>
      </c>
      <c r="I46" s="49">
        <f t="shared" si="79"/>
        <v>4</v>
      </c>
      <c r="J46" s="49">
        <f t="shared" si="80"/>
        <v>7.6</v>
      </c>
      <c r="K46" s="49">
        <f t="shared" si="81"/>
        <v>3</v>
      </c>
      <c r="L46" s="49">
        <f t="shared" si="82"/>
        <v>4</v>
      </c>
      <c r="M46" s="49">
        <f t="shared" si="83"/>
        <v>7</v>
      </c>
      <c r="N46" s="49">
        <f t="shared" si="84"/>
        <v>6</v>
      </c>
      <c r="O46" s="201">
        <f t="shared" si="85"/>
        <v>1.875</v>
      </c>
      <c r="P46" s="201">
        <f t="shared" ca="1" si="86"/>
        <v>6.4869579794427494</v>
      </c>
      <c r="Q46" s="201">
        <f t="shared" si="87"/>
        <v>0.53</v>
      </c>
      <c r="R46" s="201">
        <f t="shared" si="88"/>
        <v>0.33999999999999997</v>
      </c>
      <c r="S46" s="201">
        <f t="shared" ca="1" si="89"/>
        <v>5.7008683467137544</v>
      </c>
      <c r="T46" s="83">
        <f t="shared" ca="1" si="90"/>
        <v>0.77492955477534875</v>
      </c>
      <c r="U46" s="83">
        <f t="shared" ca="1" si="91"/>
        <v>1.2133677608418958</v>
      </c>
      <c r="V46" s="83">
        <f t="shared" ca="1" si="92"/>
        <v>0.77492955477534875</v>
      </c>
      <c r="W46" s="83">
        <f t="shared" ca="1" si="93"/>
        <v>1.8694978811730583</v>
      </c>
      <c r="X46" s="83">
        <f t="shared" ca="1" si="94"/>
        <v>3.6230579092501127</v>
      </c>
      <c r="Y46" s="83">
        <f t="shared" ca="1" si="95"/>
        <v>0.93474894058652913</v>
      </c>
      <c r="Z46" s="83">
        <f t="shared" ca="1" si="96"/>
        <v>1.7190877824015267</v>
      </c>
      <c r="AA46" s="83">
        <f t="shared" ca="1" si="97"/>
        <v>1.3695158896965427</v>
      </c>
      <c r="AB46" s="83">
        <f t="shared" ca="1" si="98"/>
        <v>2.6194708683878316</v>
      </c>
      <c r="AC46" s="83">
        <f t="shared" ca="1" si="99"/>
        <v>0.68475794484827135</v>
      </c>
      <c r="AD46" s="83">
        <f t="shared" ca="1" si="100"/>
        <v>2.7808772950612934</v>
      </c>
      <c r="AE46" s="337">
        <f t="shared" ca="1" si="101"/>
        <v>3.3332132765101039</v>
      </c>
      <c r="AF46" s="83">
        <f t="shared" ca="1" si="102"/>
        <v>1.4999459744295467</v>
      </c>
      <c r="AG46" s="83">
        <f t="shared" ca="1" si="103"/>
        <v>1.2062506708447689</v>
      </c>
      <c r="AH46" s="337">
        <f t="shared" ca="1" si="104"/>
        <v>1.5423580506390664</v>
      </c>
      <c r="AI46" s="83">
        <f t="shared" ca="1" si="105"/>
        <v>2.731785663574585</v>
      </c>
      <c r="AJ46" s="83">
        <f t="shared" ca="1" si="106"/>
        <v>2.5651249997490795</v>
      </c>
      <c r="AK46" s="83">
        <f t="shared" ca="1" si="107"/>
        <v>0.9390506708447689</v>
      </c>
      <c r="AL46" s="83">
        <f t="shared" ca="1" si="108"/>
        <v>0.43144067786403256</v>
      </c>
      <c r="AM46" s="83">
        <f t="shared" ca="1" si="109"/>
        <v>0.9782256354975305</v>
      </c>
      <c r="AN46" s="83">
        <f t="shared" ca="1" si="110"/>
        <v>2.1520963980945669</v>
      </c>
      <c r="AO46" s="83">
        <f t="shared" ca="1" si="111"/>
        <v>0.48911281774876525</v>
      </c>
      <c r="AP46" s="83">
        <f t="shared" ca="1" si="112"/>
        <v>6.8185666663321056</v>
      </c>
      <c r="AQ46" s="83">
        <f t="shared" ca="1" si="113"/>
        <v>0.47099752820251467</v>
      </c>
      <c r="AR46" s="83">
        <f t="shared" ca="1" si="114"/>
        <v>1.5805559674102829</v>
      </c>
      <c r="AS46" s="83">
        <f t="shared" ca="1" si="115"/>
        <v>0.23549876410125734</v>
      </c>
      <c r="AT46" s="83">
        <f t="shared" ca="1" si="116"/>
        <v>0.68475794484827135</v>
      </c>
      <c r="AU46" s="83">
        <f t="shared" ca="1" si="117"/>
        <v>1.4492231637000452</v>
      </c>
      <c r="AV46" s="83">
        <f t="shared" ca="1" si="118"/>
        <v>0.34237897242413567</v>
      </c>
      <c r="AW46" s="83">
        <f t="shared" ca="1" si="119"/>
        <v>7.2230579092501124</v>
      </c>
      <c r="AX46" s="83">
        <f t="shared" ca="1" si="120"/>
        <v>0.9166336510402785</v>
      </c>
      <c r="AY46" s="83">
        <f t="shared" ca="1" si="121"/>
        <v>2.6263049079968122</v>
      </c>
      <c r="AZ46" s="83">
        <f t="shared" ca="1" si="122"/>
        <v>0.45831682552013925</v>
      </c>
      <c r="BA46" s="83">
        <f t="shared" ca="1" si="123"/>
        <v>1.0543098515917828</v>
      </c>
      <c r="BB46" s="83">
        <f t="shared" ca="1" si="124"/>
        <v>1.2608241524190391</v>
      </c>
      <c r="BC46" s="83">
        <f t="shared" ca="1" si="125"/>
        <v>6.363514018049349</v>
      </c>
      <c r="BD46" s="83">
        <f t="shared" ca="1" si="126"/>
        <v>2.6468984813233503</v>
      </c>
      <c r="BE46" s="83">
        <f t="shared" ca="1" si="127"/>
        <v>0.87315695612927713</v>
      </c>
      <c r="BF46" s="83">
        <f t="shared" ca="1" si="128"/>
        <v>1.7571830859863047</v>
      </c>
      <c r="BG46" s="83">
        <f t="shared" ca="1" si="129"/>
        <v>0.95648728804202976</v>
      </c>
      <c r="BH46" s="83">
        <f t="shared" ca="1" si="130"/>
        <v>2.7519850634242928</v>
      </c>
      <c r="BI46" s="83">
        <f t="shared" ca="1" si="131"/>
        <v>2.4935526126845993</v>
      </c>
      <c r="BJ46" s="83">
        <f t="shared" ca="1" si="132"/>
        <v>0.18839901128100586</v>
      </c>
      <c r="BK46" s="83">
        <f t="shared" ca="1" si="133"/>
        <v>0.6521504236650203</v>
      </c>
      <c r="BL46" s="83">
        <f t="shared" ca="1" si="134"/>
        <v>0.24636793782900768</v>
      </c>
      <c r="BM46" s="83">
        <f t="shared" ca="1" si="135"/>
        <v>2.2030326623212844</v>
      </c>
      <c r="BN46" s="83">
        <f t="shared" ca="1" si="136"/>
        <v>3.6592524712956456</v>
      </c>
      <c r="BO46" s="83">
        <f t="shared" ca="1" si="137"/>
        <v>0.48911281774876525</v>
      </c>
      <c r="BP46" s="83">
        <f t="shared" ca="1" si="138"/>
        <v>1.028948446227032</v>
      </c>
      <c r="BQ46" s="83">
        <f t="shared" ca="1" si="139"/>
        <v>0.88402612985702744</v>
      </c>
      <c r="BR46" s="83">
        <f t="shared" ca="1" si="140"/>
        <v>3.2864913487088012</v>
      </c>
      <c r="BS46" s="83">
        <f t="shared" ca="1" si="141"/>
        <v>3.150348163449125</v>
      </c>
      <c r="BT46" s="83">
        <f t="shared" ca="1" si="142"/>
        <v>0.43839000701926362</v>
      </c>
      <c r="BU46" s="83">
        <f t="shared" ca="1" si="143"/>
        <v>1.028948446227032</v>
      </c>
      <c r="BV46" s="83">
        <f t="shared" ca="1" si="144"/>
        <v>0.88402612985702744</v>
      </c>
      <c r="BW46" s="83">
        <f t="shared" ca="1" si="145"/>
        <v>4.5577495407368209</v>
      </c>
      <c r="BX46" s="83">
        <f t="shared" ca="1" si="146"/>
        <v>2.540636828778851</v>
      </c>
      <c r="BY46" s="83">
        <f t="shared" ca="1" si="147"/>
        <v>0.53621257056901661</v>
      </c>
      <c r="BZ46" s="83">
        <f t="shared" ca="1" si="148"/>
        <v>2.9325615111555456</v>
      </c>
      <c r="CA46" s="83">
        <f t="shared" ca="1" si="149"/>
        <v>2.124613170719309</v>
      </c>
      <c r="CB46" s="83">
        <f t="shared" ca="1" si="150"/>
        <v>5.8285632058156267</v>
      </c>
      <c r="CC46" s="83">
        <f t="shared" ca="1" si="151"/>
        <v>2.124613170719309</v>
      </c>
      <c r="CD46" s="83">
        <f t="shared" ca="1" si="152"/>
        <v>3.0362174847181516</v>
      </c>
      <c r="CE46" s="83">
        <f t="shared" ca="1" si="153"/>
        <v>7.9599662777634048</v>
      </c>
      <c r="CF46" s="83">
        <f t="shared" ca="1" si="154"/>
        <v>3.0362174847181516</v>
      </c>
      <c r="CG46" s="83">
        <f t="shared" ca="1" si="155"/>
        <v>1.8057644773125281</v>
      </c>
    </row>
    <row r="47" spans="1:85" x14ac:dyDescent="0.25">
      <c r="A47" t="str">
        <f t="shared" ref="A47:E47" si="172">A13</f>
        <v>I. Stone</v>
      </c>
      <c r="B47">
        <f t="shared" si="172"/>
        <v>18</v>
      </c>
      <c r="C47">
        <f t="shared" ca="1" si="172"/>
        <v>16</v>
      </c>
      <c r="D47" t="str">
        <f t="shared" si="172"/>
        <v>RAP</v>
      </c>
      <c r="E47" s="273">
        <f t="shared" si="172"/>
        <v>43633</v>
      </c>
      <c r="F47" s="200">
        <f t="shared" ca="1" si="77"/>
        <v>0.11210737430592951</v>
      </c>
      <c r="G47" s="201">
        <f t="shared" ref="G47:H47" si="173">J13</f>
        <v>1.2</v>
      </c>
      <c r="H47" s="49">
        <f t="shared" si="173"/>
        <v>0</v>
      </c>
      <c r="I47" s="49">
        <f t="shared" si="79"/>
        <v>3</v>
      </c>
      <c r="J47" s="49">
        <f t="shared" si="80"/>
        <v>6</v>
      </c>
      <c r="K47" s="49">
        <f t="shared" si="81"/>
        <v>2</v>
      </c>
      <c r="L47" s="49">
        <f t="shared" si="82"/>
        <v>6</v>
      </c>
      <c r="M47" s="49">
        <f t="shared" si="83"/>
        <v>9</v>
      </c>
      <c r="N47" s="49">
        <f t="shared" si="84"/>
        <v>2</v>
      </c>
      <c r="O47" s="201">
        <f t="shared" si="85"/>
        <v>2.25</v>
      </c>
      <c r="P47" s="201">
        <f t="shared" ca="1" si="86"/>
        <v>8.9210780355697725</v>
      </c>
      <c r="Q47" s="201">
        <f t="shared" si="87"/>
        <v>0.51</v>
      </c>
      <c r="R47" s="201">
        <f t="shared" si="88"/>
        <v>0.18000000000000002</v>
      </c>
      <c r="S47" s="201">
        <f t="shared" ca="1" si="89"/>
        <v>2.2865117108441031</v>
      </c>
      <c r="T47" s="83">
        <f t="shared" ca="1" si="90"/>
        <v>1.0180367081685118</v>
      </c>
      <c r="U47" s="83">
        <f t="shared" ca="1" si="91"/>
        <v>1.5560279384255999</v>
      </c>
      <c r="V47" s="83">
        <f t="shared" ca="1" si="92"/>
        <v>1.0180367081685118</v>
      </c>
      <c r="W47" s="83">
        <f t="shared" ca="1" si="93"/>
        <v>1.6603241024226254</v>
      </c>
      <c r="X47" s="83">
        <f t="shared" ca="1" si="94"/>
        <v>3.2176823690360958</v>
      </c>
      <c r="Y47" s="83">
        <f t="shared" ca="1" si="95"/>
        <v>0.8301620512113127</v>
      </c>
      <c r="Z47" s="83">
        <f t="shared" ca="1" si="96"/>
        <v>1.4798084038305908</v>
      </c>
      <c r="AA47" s="83">
        <f t="shared" ca="1" si="97"/>
        <v>1.2162839354956443</v>
      </c>
      <c r="AB47" s="83">
        <f t="shared" ca="1" si="98"/>
        <v>2.3263843528130974</v>
      </c>
      <c r="AC47" s="83">
        <f t="shared" ca="1" si="99"/>
        <v>0.60814196774782214</v>
      </c>
      <c r="AD47" s="83">
        <f t="shared" ca="1" si="100"/>
        <v>2.393807712078897</v>
      </c>
      <c r="AE47" s="337">
        <f t="shared" ca="1" si="101"/>
        <v>2.9602677795132082</v>
      </c>
      <c r="AF47" s="83">
        <f t="shared" ca="1" si="102"/>
        <v>1.3321205007809436</v>
      </c>
      <c r="AG47" s="83">
        <f t="shared" ca="1" si="103"/>
        <v>1.0383529556290281</v>
      </c>
      <c r="AH47" s="337">
        <f t="shared" ca="1" si="104"/>
        <v>1.3039972329932243</v>
      </c>
      <c r="AI47" s="83">
        <f t="shared" ca="1" si="105"/>
        <v>2.4261325062532162</v>
      </c>
      <c r="AJ47" s="83">
        <f t="shared" ca="1" si="106"/>
        <v>2.2781191172775559</v>
      </c>
      <c r="AK47" s="83">
        <f t="shared" ca="1" si="107"/>
        <v>0.37035295562902804</v>
      </c>
      <c r="AL47" s="83">
        <f t="shared" ca="1" si="108"/>
        <v>0.71069252228239554</v>
      </c>
      <c r="AM47" s="83">
        <f t="shared" ca="1" si="109"/>
        <v>0.86877423963974598</v>
      </c>
      <c r="AN47" s="83">
        <f t="shared" ca="1" si="110"/>
        <v>1.9113033272074409</v>
      </c>
      <c r="AO47" s="83">
        <f t="shared" ca="1" si="111"/>
        <v>0.43438711981987299</v>
      </c>
      <c r="AP47" s="83">
        <f t="shared" ca="1" si="112"/>
        <v>5.8694921563700744</v>
      </c>
      <c r="AQ47" s="83">
        <f t="shared" ca="1" si="113"/>
        <v>0.8082987079746925</v>
      </c>
      <c r="AR47" s="83">
        <f t="shared" ca="1" si="114"/>
        <v>2.3407809341275758</v>
      </c>
      <c r="AS47" s="83">
        <f t="shared" ca="1" si="115"/>
        <v>0.40414935398734625</v>
      </c>
      <c r="AT47" s="83">
        <f t="shared" ca="1" si="116"/>
        <v>0.60814196774782214</v>
      </c>
      <c r="AU47" s="83">
        <f t="shared" ca="1" si="117"/>
        <v>1.2870729476144385</v>
      </c>
      <c r="AV47" s="83">
        <f t="shared" ca="1" si="118"/>
        <v>0.30407098387391107</v>
      </c>
      <c r="AW47" s="83">
        <f t="shared" ca="1" si="119"/>
        <v>6.2176823690360958</v>
      </c>
      <c r="AX47" s="83">
        <f t="shared" ca="1" si="120"/>
        <v>1.5730736393661322</v>
      </c>
      <c r="AY47" s="83">
        <f t="shared" ca="1" si="121"/>
        <v>4.0559429853388895</v>
      </c>
      <c r="AZ47" s="83">
        <f t="shared" ca="1" si="122"/>
        <v>0.7865368196830661</v>
      </c>
      <c r="BA47" s="83">
        <f t="shared" ca="1" si="123"/>
        <v>0.93634556938950386</v>
      </c>
      <c r="BB47" s="83">
        <f t="shared" ca="1" si="124"/>
        <v>1.1197534644245613</v>
      </c>
      <c r="BC47" s="83">
        <f t="shared" ca="1" si="125"/>
        <v>5.4777781671208006</v>
      </c>
      <c r="BD47" s="83">
        <f t="shared" ca="1" si="126"/>
        <v>3.231519626073089</v>
      </c>
      <c r="BE47" s="83">
        <f t="shared" ca="1" si="127"/>
        <v>1.498461450937699</v>
      </c>
      <c r="BF47" s="83">
        <f t="shared" ca="1" si="128"/>
        <v>1.5605759489825064</v>
      </c>
      <c r="BG47" s="83">
        <f t="shared" ca="1" si="129"/>
        <v>0.84946814542552929</v>
      </c>
      <c r="BH47" s="83">
        <f t="shared" ca="1" si="130"/>
        <v>2.3689369826027526</v>
      </c>
      <c r="BI47" s="83">
        <f t="shared" ca="1" si="131"/>
        <v>2.742254390537548</v>
      </c>
      <c r="BJ47" s="83">
        <f t="shared" ca="1" si="132"/>
        <v>0.32331948318987697</v>
      </c>
      <c r="BK47" s="83">
        <f t="shared" ca="1" si="133"/>
        <v>0.57918282642649721</v>
      </c>
      <c r="BL47" s="83">
        <f t="shared" ca="1" si="134"/>
        <v>0.21880240109445454</v>
      </c>
      <c r="BM47" s="83">
        <f t="shared" ca="1" si="135"/>
        <v>1.8963931225560091</v>
      </c>
      <c r="BN47" s="83">
        <f t="shared" ca="1" si="136"/>
        <v>3.9959395265804192</v>
      </c>
      <c r="BO47" s="83">
        <f t="shared" ca="1" si="137"/>
        <v>0.83938711981987302</v>
      </c>
      <c r="BP47" s="83">
        <f t="shared" ca="1" si="138"/>
        <v>0.91382179280625109</v>
      </c>
      <c r="BQ47" s="83">
        <f t="shared" ca="1" si="139"/>
        <v>0.78511449804480737</v>
      </c>
      <c r="BR47" s="83">
        <f t="shared" ca="1" si="140"/>
        <v>2.8290454779114236</v>
      </c>
      <c r="BS47" s="83">
        <f t="shared" ca="1" si="141"/>
        <v>3.433192064891994</v>
      </c>
      <c r="BT47" s="83">
        <f t="shared" ca="1" si="142"/>
        <v>0.75233956665336754</v>
      </c>
      <c r="BU47" s="83">
        <f t="shared" ca="1" si="143"/>
        <v>0.91382179280625109</v>
      </c>
      <c r="BV47" s="83">
        <f t="shared" ca="1" si="144"/>
        <v>0.78511449804480737</v>
      </c>
      <c r="BW47" s="83">
        <f t="shared" ca="1" si="145"/>
        <v>3.9233575748617766</v>
      </c>
      <c r="BX47" s="83">
        <f t="shared" ca="1" si="146"/>
        <v>2.7568257202873054</v>
      </c>
      <c r="BY47" s="83">
        <f t="shared" ca="1" si="147"/>
        <v>0.92021699061734219</v>
      </c>
      <c r="BZ47" s="83">
        <f t="shared" ca="1" si="148"/>
        <v>2.5243790418286549</v>
      </c>
      <c r="CA47" s="83">
        <f t="shared" ca="1" si="149"/>
        <v>3.044412514267806</v>
      </c>
      <c r="CB47" s="83">
        <f t="shared" ca="1" si="150"/>
        <v>8.750110347534644</v>
      </c>
      <c r="CC47" s="83">
        <f t="shared" ca="1" si="151"/>
        <v>3.044412514267806</v>
      </c>
      <c r="CD47" s="83">
        <f t="shared" ca="1" si="152"/>
        <v>4.000468198589946</v>
      </c>
      <c r="CE47" s="83">
        <f t="shared" ca="1" si="153"/>
        <v>11.512007163210415</v>
      </c>
      <c r="CF47" s="83">
        <f t="shared" ca="1" si="154"/>
        <v>4.000468198589946</v>
      </c>
      <c r="CG47" s="83">
        <f t="shared" ca="1" si="155"/>
        <v>1.554420592259024</v>
      </c>
    </row>
    <row r="48" spans="1:85" x14ac:dyDescent="0.25">
      <c r="A48" t="str">
        <f t="shared" ref="A48:E48" si="174">A14</f>
        <v>G. Piscaer</v>
      </c>
      <c r="B48">
        <f t="shared" si="174"/>
        <v>18</v>
      </c>
      <c r="C48">
        <f t="shared" ca="1" si="174"/>
        <v>89</v>
      </c>
      <c r="D48" t="str">
        <f t="shared" si="174"/>
        <v>IMP</v>
      </c>
      <c r="E48" s="273">
        <f t="shared" si="174"/>
        <v>43630</v>
      </c>
      <c r="F48" s="200">
        <f t="shared" ca="1" si="77"/>
        <v>0.13081718674960124</v>
      </c>
      <c r="G48" s="201">
        <f t="shared" ref="G48:H48" si="175">J14</f>
        <v>1.8</v>
      </c>
      <c r="H48" s="49">
        <f t="shared" si="175"/>
        <v>0</v>
      </c>
      <c r="I48" s="49">
        <f t="shared" si="79"/>
        <v>4</v>
      </c>
      <c r="J48" s="49">
        <f t="shared" si="80"/>
        <v>8.4</v>
      </c>
      <c r="K48" s="49">
        <f t="shared" si="81"/>
        <v>3</v>
      </c>
      <c r="L48" s="49">
        <f t="shared" si="82"/>
        <v>2</v>
      </c>
      <c r="M48" s="49">
        <f t="shared" si="83"/>
        <v>8</v>
      </c>
      <c r="N48" s="49">
        <f t="shared" si="84"/>
        <v>0</v>
      </c>
      <c r="O48" s="201">
        <f t="shared" si="85"/>
        <v>1.375</v>
      </c>
      <c r="P48" s="201">
        <f t="shared" ca="1" si="86"/>
        <v>6.7213089644210271</v>
      </c>
      <c r="Q48" s="201">
        <f t="shared" si="87"/>
        <v>0.4</v>
      </c>
      <c r="R48" s="201">
        <f t="shared" si="88"/>
        <v>0.16</v>
      </c>
      <c r="S48" s="201">
        <f t="shared" ca="1" si="89"/>
        <v>0.54448748536967295</v>
      </c>
      <c r="T48" s="83">
        <f t="shared" ca="1" si="90"/>
        <v>1.5153405999726501</v>
      </c>
      <c r="U48" s="83">
        <f t="shared" ca="1" si="91"/>
        <v>2.3082940602115594</v>
      </c>
      <c r="V48" s="83">
        <f t="shared" ca="1" si="92"/>
        <v>1.5153405999726501</v>
      </c>
      <c r="W48" s="83">
        <f t="shared" ca="1" si="93"/>
        <v>2.3071291518738688</v>
      </c>
      <c r="X48" s="83">
        <f t="shared" ca="1" si="94"/>
        <v>4.4711805268873421</v>
      </c>
      <c r="Y48" s="83">
        <f t="shared" ca="1" si="95"/>
        <v>1.1535645759369344</v>
      </c>
      <c r="Z48" s="83">
        <f t="shared" ca="1" si="96"/>
        <v>2.1113409653991875</v>
      </c>
      <c r="AA48" s="83">
        <f t="shared" ca="1" si="97"/>
        <v>1.6901062391634154</v>
      </c>
      <c r="AB48" s="83">
        <f t="shared" ca="1" si="98"/>
        <v>3.2326635209395485</v>
      </c>
      <c r="AC48" s="83">
        <f t="shared" ca="1" si="99"/>
        <v>0.8450531195817077</v>
      </c>
      <c r="AD48" s="83">
        <f t="shared" ca="1" si="100"/>
        <v>3.4154045028516271</v>
      </c>
      <c r="AE48" s="337">
        <f t="shared" ca="1" si="101"/>
        <v>4.1134860847363548</v>
      </c>
      <c r="AF48" s="83">
        <f t="shared" ca="1" si="102"/>
        <v>1.8510687381313595</v>
      </c>
      <c r="AG48" s="83">
        <f t="shared" ca="1" si="103"/>
        <v>1.4814871479901863</v>
      </c>
      <c r="AH48" s="337">
        <f t="shared" ca="1" si="104"/>
        <v>2.0410541498097574</v>
      </c>
      <c r="AI48" s="83">
        <f t="shared" ca="1" si="105"/>
        <v>3.3712701172730561</v>
      </c>
      <c r="AJ48" s="83">
        <f t="shared" ca="1" si="106"/>
        <v>3.165595813036238</v>
      </c>
      <c r="AK48" s="83">
        <f t="shared" ca="1" si="107"/>
        <v>7.8687147990186238E-2</v>
      </c>
      <c r="AL48" s="83">
        <f t="shared" ca="1" si="108"/>
        <v>0.53169999174355465</v>
      </c>
      <c r="AM48" s="83">
        <f t="shared" ca="1" si="109"/>
        <v>1.2072187422595824</v>
      </c>
      <c r="AN48" s="83">
        <f t="shared" ca="1" si="110"/>
        <v>2.655881232971081</v>
      </c>
      <c r="AO48" s="83">
        <f t="shared" ca="1" si="111"/>
        <v>0.60360937112979118</v>
      </c>
      <c r="AP48" s="83">
        <f t="shared" ca="1" si="112"/>
        <v>8.3743944173816516</v>
      </c>
      <c r="AQ48" s="83">
        <f t="shared" ca="1" si="113"/>
        <v>0.32125346849535452</v>
      </c>
      <c r="AR48" s="83">
        <f t="shared" ca="1" si="114"/>
        <v>1.7620558943779914</v>
      </c>
      <c r="AS48" s="83">
        <f t="shared" ca="1" si="115"/>
        <v>0.16062673424767726</v>
      </c>
      <c r="AT48" s="83">
        <f t="shared" ca="1" si="116"/>
        <v>0.8450531195817077</v>
      </c>
      <c r="AU48" s="83">
        <f t="shared" ca="1" si="117"/>
        <v>1.7884722107549369</v>
      </c>
      <c r="AV48" s="83">
        <f t="shared" ca="1" si="118"/>
        <v>0.42252655979085385</v>
      </c>
      <c r="AW48" s="83">
        <f t="shared" ca="1" si="119"/>
        <v>8.8711805268873434</v>
      </c>
      <c r="AX48" s="83">
        <f t="shared" ca="1" si="120"/>
        <v>0.62520867330249763</v>
      </c>
      <c r="AY48" s="83">
        <f t="shared" ca="1" si="121"/>
        <v>2.6216204703149257</v>
      </c>
      <c r="AZ48" s="83">
        <f t="shared" ca="1" si="122"/>
        <v>0.31260433665124882</v>
      </c>
      <c r="BA48" s="83">
        <f t="shared" ca="1" si="123"/>
        <v>1.3011135333242165</v>
      </c>
      <c r="BB48" s="83">
        <f t="shared" ca="1" si="124"/>
        <v>1.555970823356795</v>
      </c>
      <c r="BC48" s="83">
        <f t="shared" ca="1" si="125"/>
        <v>7.8155100441877492</v>
      </c>
      <c r="BD48" s="83">
        <f t="shared" ca="1" si="126"/>
        <v>2.7708794884028474</v>
      </c>
      <c r="BE48" s="83">
        <f t="shared" ca="1" si="127"/>
        <v>0.59555450697984957</v>
      </c>
      <c r="BF48" s="83">
        <f t="shared" ca="1" si="128"/>
        <v>2.1685225555403607</v>
      </c>
      <c r="BG48" s="83">
        <f t="shared" ca="1" si="129"/>
        <v>1.1803916590982584</v>
      </c>
      <c r="BH48" s="83">
        <f t="shared" ca="1" si="130"/>
        <v>3.379919780744078</v>
      </c>
      <c r="BI48" s="83">
        <f t="shared" ca="1" si="131"/>
        <v>2.8328117804995379</v>
      </c>
      <c r="BJ48" s="83">
        <f t="shared" ca="1" si="132"/>
        <v>0.12850138739814182</v>
      </c>
      <c r="BK48" s="83">
        <f t="shared" ca="1" si="133"/>
        <v>0.8048124948397215</v>
      </c>
      <c r="BL48" s="83">
        <f t="shared" ca="1" si="134"/>
        <v>0.30404027582833931</v>
      </c>
      <c r="BM48" s="83">
        <f t="shared" ca="1" si="135"/>
        <v>2.7057100607006395</v>
      </c>
      <c r="BN48" s="83">
        <f t="shared" ca="1" si="136"/>
        <v>4.1779381575771222</v>
      </c>
      <c r="BO48" s="83">
        <f t="shared" ca="1" si="137"/>
        <v>0.33360937112979128</v>
      </c>
      <c r="BP48" s="83">
        <f t="shared" ca="1" si="138"/>
        <v>1.269815269636005</v>
      </c>
      <c r="BQ48" s="83">
        <f t="shared" ca="1" si="139"/>
        <v>1.0909680485605115</v>
      </c>
      <c r="BR48" s="83">
        <f t="shared" ca="1" si="140"/>
        <v>4.0363871397337414</v>
      </c>
      <c r="BS48" s="83">
        <f t="shared" ca="1" si="141"/>
        <v>3.6020680237911753</v>
      </c>
      <c r="BT48" s="83">
        <f t="shared" ca="1" si="142"/>
        <v>0.29901284375336845</v>
      </c>
      <c r="BU48" s="83">
        <f t="shared" ca="1" si="143"/>
        <v>1.269815269636005</v>
      </c>
      <c r="BV48" s="83">
        <f t="shared" ca="1" si="144"/>
        <v>1.0909680485605115</v>
      </c>
      <c r="BW48" s="83">
        <f t="shared" ca="1" si="145"/>
        <v>5.5977149124659134</v>
      </c>
      <c r="BX48" s="83">
        <f t="shared" ca="1" si="146"/>
        <v>2.9137065715641715</v>
      </c>
      <c r="BY48" s="83">
        <f t="shared" ca="1" si="147"/>
        <v>0.36573471797932666</v>
      </c>
      <c r="BZ48" s="83">
        <f t="shared" ca="1" si="148"/>
        <v>3.6016992939162615</v>
      </c>
      <c r="CA48" s="83">
        <f t="shared" ca="1" si="149"/>
        <v>2.1934850545083053</v>
      </c>
      <c r="CB48" s="83">
        <f t="shared" ca="1" si="150"/>
        <v>6.280549273275148</v>
      </c>
      <c r="CC48" s="83">
        <f t="shared" ca="1" si="151"/>
        <v>2.1934850545083053</v>
      </c>
      <c r="CD48" s="83">
        <f t="shared" ca="1" si="152"/>
        <v>3.5465329996959181</v>
      </c>
      <c r="CE48" s="83">
        <f t="shared" ca="1" si="153"/>
        <v>9.3830461413087729</v>
      </c>
      <c r="CF48" s="83">
        <f t="shared" ca="1" si="154"/>
        <v>3.5465329996959181</v>
      </c>
      <c r="CG48" s="83">
        <f t="shared" ca="1" si="155"/>
        <v>2.2177951317218358</v>
      </c>
    </row>
    <row r="49" spans="1:85" x14ac:dyDescent="0.25">
      <c r="A49" t="str">
        <f t="shared" ref="A49:E49" si="176">A15</f>
        <v>M. Bondarewski</v>
      </c>
      <c r="B49">
        <f t="shared" si="176"/>
        <v>18</v>
      </c>
      <c r="C49">
        <f t="shared" ca="1" si="176"/>
        <v>89</v>
      </c>
      <c r="D49" t="str">
        <f t="shared" si="176"/>
        <v>RAP</v>
      </c>
      <c r="E49" s="273">
        <f t="shared" si="176"/>
        <v>43627</v>
      </c>
      <c r="F49" s="200">
        <f t="shared" ca="1" si="77"/>
        <v>0.14812561692891457</v>
      </c>
      <c r="G49" s="201">
        <f t="shared" ref="G49:H49" si="177">J15</f>
        <v>1.6</v>
      </c>
      <c r="H49" s="49">
        <f t="shared" si="177"/>
        <v>0</v>
      </c>
      <c r="I49" s="49">
        <f t="shared" si="79"/>
        <v>2</v>
      </c>
      <c r="J49" s="49">
        <f t="shared" si="80"/>
        <v>8.6</v>
      </c>
      <c r="K49" s="49">
        <f t="shared" si="81"/>
        <v>5</v>
      </c>
      <c r="L49" s="49">
        <f t="shared" si="82"/>
        <v>4</v>
      </c>
      <c r="M49" s="49">
        <f t="shared" si="83"/>
        <v>8</v>
      </c>
      <c r="N49" s="49">
        <f t="shared" si="84"/>
        <v>6</v>
      </c>
      <c r="O49" s="201">
        <f t="shared" si="85"/>
        <v>1.625</v>
      </c>
      <c r="P49" s="201">
        <f t="shared" ca="1" si="86"/>
        <v>9.9088311623056935</v>
      </c>
      <c r="Q49" s="201">
        <f t="shared" si="87"/>
        <v>0.57999999999999996</v>
      </c>
      <c r="R49" s="201">
        <f t="shared" si="88"/>
        <v>0.25999999999999995</v>
      </c>
      <c r="S49" s="201">
        <f t="shared" ca="1" si="89"/>
        <v>6.4970938295851761</v>
      </c>
      <c r="T49" s="83">
        <f t="shared" ca="1" si="90"/>
        <v>0.91890932339043885</v>
      </c>
      <c r="U49" s="83">
        <f t="shared" ca="1" si="91"/>
        <v>1.3925887016002938</v>
      </c>
      <c r="V49" s="83">
        <f t="shared" ca="1" si="92"/>
        <v>0.91890932339043885</v>
      </c>
      <c r="W49" s="83">
        <f t="shared" ca="1" si="93"/>
        <v>1.2488673664025962</v>
      </c>
      <c r="X49" s="83">
        <f t="shared" ca="1" si="94"/>
        <v>2.4202855938034809</v>
      </c>
      <c r="Y49" s="83">
        <f t="shared" ca="1" si="95"/>
        <v>0.62443368320129811</v>
      </c>
      <c r="Z49" s="83">
        <f t="shared" ca="1" si="96"/>
        <v>2.1468279713252287</v>
      </c>
      <c r="AA49" s="83">
        <f t="shared" ca="1" si="97"/>
        <v>0.91486795445771574</v>
      </c>
      <c r="AB49" s="83">
        <f t="shared" ca="1" si="98"/>
        <v>1.7498664843199165</v>
      </c>
      <c r="AC49" s="83">
        <f t="shared" ca="1" si="99"/>
        <v>0.45743397722885787</v>
      </c>
      <c r="AD49" s="83">
        <f t="shared" ca="1" si="100"/>
        <v>3.4728099536143406</v>
      </c>
      <c r="AE49" s="337">
        <f t="shared" ca="1" si="101"/>
        <v>2.2266627462992026</v>
      </c>
      <c r="AF49" s="83">
        <f t="shared" ca="1" si="102"/>
        <v>1.0019982358346411</v>
      </c>
      <c r="AG49" s="83">
        <f t="shared" ca="1" si="103"/>
        <v>1.5063876941651817</v>
      </c>
      <c r="AH49" s="337">
        <f t="shared" ca="1" si="104"/>
        <v>3.1871279291564467</v>
      </c>
      <c r="AI49" s="83">
        <f t="shared" ca="1" si="105"/>
        <v>1.8248953377278245</v>
      </c>
      <c r="AJ49" s="83">
        <f t="shared" ca="1" si="106"/>
        <v>1.7135622004128643</v>
      </c>
      <c r="AK49" s="83">
        <f t="shared" ca="1" si="107"/>
        <v>1.0721876941651813</v>
      </c>
      <c r="AL49" s="83">
        <f t="shared" ca="1" si="108"/>
        <v>0.58904225101540242</v>
      </c>
      <c r="AM49" s="83">
        <f t="shared" ca="1" si="109"/>
        <v>0.65347711032693989</v>
      </c>
      <c r="AN49" s="83">
        <f t="shared" ca="1" si="110"/>
        <v>1.4376496427192675</v>
      </c>
      <c r="AO49" s="83">
        <f t="shared" ca="1" si="111"/>
        <v>0.32673855516346995</v>
      </c>
      <c r="AP49" s="83">
        <f t="shared" ca="1" si="112"/>
        <v>8.5151496005504868</v>
      </c>
      <c r="AQ49" s="83">
        <f t="shared" ca="1" si="113"/>
        <v>0.57463712719445248</v>
      </c>
      <c r="AR49" s="83">
        <f t="shared" ca="1" si="114"/>
        <v>1.9871436789844199</v>
      </c>
      <c r="AS49" s="83">
        <f t="shared" ca="1" si="115"/>
        <v>0.28731856359722624</v>
      </c>
      <c r="AT49" s="83">
        <f t="shared" ca="1" si="116"/>
        <v>0.45743397722885787</v>
      </c>
      <c r="AU49" s="83">
        <f t="shared" ca="1" si="117"/>
        <v>0.96811423752139236</v>
      </c>
      <c r="AV49" s="83">
        <f t="shared" ca="1" si="118"/>
        <v>0.22871698861442893</v>
      </c>
      <c r="AW49" s="83">
        <f t="shared" ca="1" si="119"/>
        <v>9.0202855938034823</v>
      </c>
      <c r="AX49" s="83">
        <f t="shared" ca="1" si="120"/>
        <v>1.1183322552322807</v>
      </c>
      <c r="AY49" s="83">
        <f t="shared" ca="1" si="121"/>
        <v>3.275577362185718</v>
      </c>
      <c r="AZ49" s="83">
        <f t="shared" ca="1" si="122"/>
        <v>0.55916612761614037</v>
      </c>
      <c r="BA49" s="83">
        <f t="shared" ca="1" si="123"/>
        <v>0.70430310779681293</v>
      </c>
      <c r="BB49" s="83">
        <f t="shared" ca="1" si="124"/>
        <v>0.84225938664361133</v>
      </c>
      <c r="BC49" s="83">
        <f t="shared" ca="1" si="125"/>
        <v>7.9468716081408681</v>
      </c>
      <c r="BD49" s="83">
        <f t="shared" ca="1" si="126"/>
        <v>4.503633892891294</v>
      </c>
      <c r="BE49" s="83">
        <f t="shared" ca="1" si="127"/>
        <v>1.0652888281066388</v>
      </c>
      <c r="BF49" s="83">
        <f t="shared" ca="1" si="128"/>
        <v>1.1738385129946882</v>
      </c>
      <c r="BG49" s="83">
        <f t="shared" ca="1" si="129"/>
        <v>0.63895539676411894</v>
      </c>
      <c r="BH49" s="83">
        <f t="shared" ca="1" si="130"/>
        <v>3.436728811239127</v>
      </c>
      <c r="BI49" s="83">
        <f t="shared" ca="1" si="131"/>
        <v>4.5363296089842429</v>
      </c>
      <c r="BJ49" s="83">
        <f t="shared" ca="1" si="132"/>
        <v>0.22985485087778099</v>
      </c>
      <c r="BK49" s="83">
        <f t="shared" ca="1" si="133"/>
        <v>0.43565140688462656</v>
      </c>
      <c r="BL49" s="83">
        <f t="shared" ca="1" si="134"/>
        <v>0.16457942037863671</v>
      </c>
      <c r="BM49" s="83">
        <f t="shared" ca="1" si="135"/>
        <v>2.7511871061100619</v>
      </c>
      <c r="BN49" s="83">
        <f t="shared" ca="1" si="136"/>
        <v>6.6844872736312766</v>
      </c>
      <c r="BO49" s="83">
        <f t="shared" ca="1" si="137"/>
        <v>0.59673855516346996</v>
      </c>
      <c r="BP49" s="83">
        <f t="shared" ca="1" si="138"/>
        <v>0.68736110864018851</v>
      </c>
      <c r="BQ49" s="83">
        <f t="shared" ca="1" si="139"/>
        <v>0.59054968488804926</v>
      </c>
      <c r="BR49" s="83">
        <f t="shared" ca="1" si="140"/>
        <v>4.1042299451805846</v>
      </c>
      <c r="BS49" s="83">
        <f t="shared" ca="1" si="141"/>
        <v>5.7616764379342564</v>
      </c>
      <c r="BT49" s="83">
        <f t="shared" ca="1" si="142"/>
        <v>0.53485455685022121</v>
      </c>
      <c r="BU49" s="83">
        <f t="shared" ca="1" si="143"/>
        <v>0.68736110864018851</v>
      </c>
      <c r="BV49" s="83">
        <f t="shared" ca="1" si="144"/>
        <v>0.59054968488804926</v>
      </c>
      <c r="BW49" s="83">
        <f t="shared" ca="1" si="145"/>
        <v>5.6918002096899976</v>
      </c>
      <c r="BX49" s="83">
        <f t="shared" ca="1" si="146"/>
        <v>4.6581556064541152</v>
      </c>
      <c r="BY49" s="83">
        <f t="shared" ca="1" si="147"/>
        <v>0.65420226788291513</v>
      </c>
      <c r="BZ49" s="83">
        <f t="shared" ca="1" si="148"/>
        <v>3.662235951084214</v>
      </c>
      <c r="CA49" s="83">
        <f t="shared" ca="1" si="149"/>
        <v>2.9549687943716134</v>
      </c>
      <c r="CB49" s="83">
        <f t="shared" ca="1" si="150"/>
        <v>7.3092415786227196</v>
      </c>
      <c r="CC49" s="83">
        <f t="shared" ca="1" si="151"/>
        <v>2.9549687943716134</v>
      </c>
      <c r="CD49" s="83">
        <f t="shared" ca="1" si="152"/>
        <v>4.2363252645380509</v>
      </c>
      <c r="CE49" s="83">
        <f t="shared" ca="1" si="153"/>
        <v>10.051370977916966</v>
      </c>
      <c r="CF49" s="83">
        <f t="shared" ca="1" si="154"/>
        <v>4.2363252645380509</v>
      </c>
      <c r="CG49" s="83">
        <f t="shared" ca="1" si="155"/>
        <v>2.2550713984508706</v>
      </c>
    </row>
    <row r="50" spans="1:85" x14ac:dyDescent="0.25">
      <c r="A50" t="str">
        <f t="shared" ref="A50:E50" si="178">A16</f>
        <v>J. Vartiainen</v>
      </c>
      <c r="B50">
        <f t="shared" si="178"/>
        <v>19</v>
      </c>
      <c r="C50">
        <f t="shared" ca="1" si="178"/>
        <v>23</v>
      </c>
      <c r="D50" t="str">
        <f t="shared" si="178"/>
        <v>CAB</v>
      </c>
      <c r="E50" s="273">
        <f t="shared" si="178"/>
        <v>43628</v>
      </c>
      <c r="F50" s="200">
        <f t="shared" ca="1" si="77"/>
        <v>0.14248844644448036</v>
      </c>
      <c r="G50" s="201">
        <f t="shared" ref="G50:H50" si="179">J16</f>
        <v>0.3</v>
      </c>
      <c r="H50" s="49">
        <f t="shared" si="179"/>
        <v>0</v>
      </c>
      <c r="I50" s="49">
        <f t="shared" si="79"/>
        <v>7</v>
      </c>
      <c r="J50" s="49">
        <f t="shared" si="80"/>
        <v>7.5111111111111111</v>
      </c>
      <c r="K50" s="49">
        <f t="shared" si="81"/>
        <v>1</v>
      </c>
      <c r="L50" s="49">
        <f t="shared" si="82"/>
        <v>1</v>
      </c>
      <c r="M50" s="49">
        <f t="shared" si="83"/>
        <v>6</v>
      </c>
      <c r="N50" s="49">
        <f t="shared" si="84"/>
        <v>1</v>
      </c>
      <c r="O50" s="201">
        <f t="shared" si="85"/>
        <v>1.5</v>
      </c>
      <c r="P50" s="201">
        <f t="shared" ca="1" si="86"/>
        <v>1.6841500972162411</v>
      </c>
      <c r="Q50" s="201">
        <f t="shared" si="87"/>
        <v>0.32999999999999996</v>
      </c>
      <c r="R50" s="201">
        <f t="shared" si="88"/>
        <v>0.31</v>
      </c>
      <c r="S50" s="201">
        <f t="shared" ca="1" si="89"/>
        <v>0.52104622986220883</v>
      </c>
      <c r="T50" s="83">
        <f t="shared" ca="1" si="90"/>
        <v>1.4477615542397186</v>
      </c>
      <c r="U50" s="83">
        <f t="shared" ca="1" si="91"/>
        <v>2.2589039708172698</v>
      </c>
      <c r="V50" s="83">
        <f t="shared" ca="1" si="92"/>
        <v>1.4477615542397186</v>
      </c>
      <c r="W50" s="83">
        <f t="shared" ca="1" si="93"/>
        <v>3.3257834616124802</v>
      </c>
      <c r="X50" s="83">
        <f t="shared" ca="1" si="94"/>
        <v>6.4453167860706975</v>
      </c>
      <c r="Y50" s="83">
        <f t="shared" ca="1" si="95"/>
        <v>1.6628917308062401</v>
      </c>
      <c r="Z50" s="83">
        <f t="shared" ca="1" si="96"/>
        <v>1.6556298395292703</v>
      </c>
      <c r="AA50" s="83">
        <f t="shared" ca="1" si="97"/>
        <v>2.4363297451347234</v>
      </c>
      <c r="AB50" s="83">
        <f t="shared" ca="1" si="98"/>
        <v>4.6599640363291144</v>
      </c>
      <c r="AC50" s="83">
        <f t="shared" ca="1" si="99"/>
        <v>1.2181648725673617</v>
      </c>
      <c r="AD50" s="83">
        <f t="shared" ca="1" si="100"/>
        <v>2.6782247404149961</v>
      </c>
      <c r="AE50" s="337">
        <f t="shared" ca="1" si="101"/>
        <v>5.9296914431850416</v>
      </c>
      <c r="AF50" s="83">
        <f t="shared" ca="1" si="102"/>
        <v>2.6683611494332684</v>
      </c>
      <c r="AG50" s="83">
        <f t="shared" ca="1" si="103"/>
        <v>1.1617234588293621</v>
      </c>
      <c r="AH50" s="337">
        <f t="shared" ca="1" si="104"/>
        <v>0.26184627020956974</v>
      </c>
      <c r="AI50" s="83">
        <f t="shared" ca="1" si="105"/>
        <v>4.8597688566973058</v>
      </c>
      <c r="AJ50" s="83">
        <f t="shared" ca="1" si="106"/>
        <v>4.5632842845380539</v>
      </c>
      <c r="AK50" s="83">
        <f t="shared" ca="1" si="107"/>
        <v>7.4367903273806393E-2</v>
      </c>
      <c r="AL50" s="83">
        <f t="shared" ca="1" si="108"/>
        <v>0.27225123438836069</v>
      </c>
      <c r="AM50" s="83">
        <f t="shared" ca="1" si="109"/>
        <v>1.7402355322390883</v>
      </c>
      <c r="AN50" s="83">
        <f t="shared" ca="1" si="110"/>
        <v>3.8285181709259941</v>
      </c>
      <c r="AO50" s="83">
        <f t="shared" ca="1" si="111"/>
        <v>0.87011776611954417</v>
      </c>
      <c r="AP50" s="83">
        <f t="shared" ca="1" si="112"/>
        <v>6.5668679349396273</v>
      </c>
      <c r="AQ50" s="83">
        <f t="shared" ca="1" si="113"/>
        <v>5.78911821891906E-2</v>
      </c>
      <c r="AR50" s="83">
        <f t="shared" ca="1" si="114"/>
        <v>0.99547781831871418</v>
      </c>
      <c r="AS50" s="83">
        <f t="shared" ca="1" si="115"/>
        <v>2.89455910945953E-2</v>
      </c>
      <c r="AT50" s="83">
        <f t="shared" ca="1" si="116"/>
        <v>1.2181648725673617</v>
      </c>
      <c r="AU50" s="83">
        <f t="shared" ca="1" si="117"/>
        <v>2.5781267144282793</v>
      </c>
      <c r="AV50" s="83">
        <f t="shared" ca="1" si="118"/>
        <v>0.60908243628368086</v>
      </c>
      <c r="AW50" s="83">
        <f t="shared" ca="1" si="119"/>
        <v>6.9564278971818085</v>
      </c>
      <c r="AX50" s="83">
        <f t="shared" ca="1" si="120"/>
        <v>0.11266514687588632</v>
      </c>
      <c r="AY50" s="83">
        <f t="shared" ca="1" si="121"/>
        <v>1.2953695491249542</v>
      </c>
      <c r="AZ50" s="83">
        <f t="shared" ca="1" si="122"/>
        <v>5.6332573437943158E-2</v>
      </c>
      <c r="BA50" s="83">
        <f t="shared" ca="1" si="123"/>
        <v>1.8755871847465728</v>
      </c>
      <c r="BB50" s="83">
        <f t="shared" ca="1" si="124"/>
        <v>2.2429702415526025</v>
      </c>
      <c r="BC50" s="83">
        <f t="shared" ca="1" si="125"/>
        <v>6.1286129774171734</v>
      </c>
      <c r="BD50" s="83">
        <f t="shared" ca="1" si="126"/>
        <v>0.39588662281684955</v>
      </c>
      <c r="BE50" s="83">
        <f t="shared" ca="1" si="127"/>
        <v>0.10732134544303795</v>
      </c>
      <c r="BF50" s="83">
        <f t="shared" ca="1" si="128"/>
        <v>3.1259786412442883</v>
      </c>
      <c r="BG50" s="83">
        <f t="shared" ca="1" si="129"/>
        <v>1.7015636315226643</v>
      </c>
      <c r="BH50" s="83">
        <f t="shared" ca="1" si="130"/>
        <v>2.6503990288262691</v>
      </c>
      <c r="BI50" s="83">
        <f t="shared" ca="1" si="131"/>
        <v>0.3892068710257891</v>
      </c>
      <c r="BJ50" s="83">
        <f t="shared" ca="1" si="132"/>
        <v>2.3156472875676237E-2</v>
      </c>
      <c r="BK50" s="83">
        <f t="shared" ca="1" si="133"/>
        <v>1.1601570214927255</v>
      </c>
      <c r="BL50" s="83">
        <f t="shared" ca="1" si="134"/>
        <v>0.43828154145280745</v>
      </c>
      <c r="BM50" s="83">
        <f t="shared" ca="1" si="135"/>
        <v>2.1217105086404517</v>
      </c>
      <c r="BN50" s="83">
        <f t="shared" ca="1" si="136"/>
        <v>0.57267738688691616</v>
      </c>
      <c r="BO50" s="83">
        <f t="shared" ca="1" si="137"/>
        <v>6.0117766119544086E-2</v>
      </c>
      <c r="BP50" s="83">
        <f t="shared" ca="1" si="138"/>
        <v>1.8304699672440778</v>
      </c>
      <c r="BQ50" s="83">
        <f t="shared" ca="1" si="139"/>
        <v>1.5726572958012501</v>
      </c>
      <c r="BR50" s="83">
        <f t="shared" ca="1" si="140"/>
        <v>3.1651746932177232</v>
      </c>
      <c r="BS50" s="83">
        <f t="shared" ca="1" si="141"/>
        <v>0.49341099896633217</v>
      </c>
      <c r="BT50" s="83">
        <f t="shared" ca="1" si="142"/>
        <v>5.3883331114554324E-2</v>
      </c>
      <c r="BU50" s="83">
        <f t="shared" ca="1" si="143"/>
        <v>1.8304699672440778</v>
      </c>
      <c r="BV50" s="83">
        <f t="shared" ca="1" si="144"/>
        <v>1.5726572958012501</v>
      </c>
      <c r="BW50" s="83">
        <f t="shared" ca="1" si="145"/>
        <v>4.3895060031217215</v>
      </c>
      <c r="BX50" s="83">
        <f t="shared" ca="1" si="146"/>
        <v>0.3985585235332737</v>
      </c>
      <c r="BY50" s="83">
        <f t="shared" ca="1" si="147"/>
        <v>6.5906884338463145E-2</v>
      </c>
      <c r="BZ50" s="83">
        <f t="shared" ca="1" si="148"/>
        <v>2.8243097262558146</v>
      </c>
      <c r="CA50" s="83">
        <f t="shared" ca="1" si="149"/>
        <v>0.86701004554283312</v>
      </c>
      <c r="CB50" s="83">
        <f t="shared" ca="1" si="150"/>
        <v>3.4164267011156051</v>
      </c>
      <c r="CC50" s="83">
        <f t="shared" ca="1" si="151"/>
        <v>0.86701004554283312</v>
      </c>
      <c r="CD50" s="83">
        <f t="shared" ca="1" si="152"/>
        <v>1.8003853616464796</v>
      </c>
      <c r="CE50" s="83">
        <f t="shared" ca="1" si="153"/>
        <v>5.6096386801307849</v>
      </c>
      <c r="CF50" s="83">
        <f t="shared" ca="1" si="154"/>
        <v>1.8003853616464796</v>
      </c>
      <c r="CG50" s="83">
        <f t="shared" ca="1" si="155"/>
        <v>1.7391069742954521</v>
      </c>
    </row>
    <row r="51" spans="1:85" x14ac:dyDescent="0.25">
      <c r="A51" t="str">
        <f t="shared" ref="A51:E51" si="180">A17</f>
        <v>R. Forsyth</v>
      </c>
      <c r="B51">
        <f t="shared" si="180"/>
        <v>19</v>
      </c>
      <c r="C51">
        <f t="shared" ca="1" si="180"/>
        <v>18</v>
      </c>
      <c r="D51" t="str">
        <f t="shared" si="180"/>
        <v>POT</v>
      </c>
      <c r="E51" s="273">
        <f t="shared" si="180"/>
        <v>43626</v>
      </c>
      <c r="F51" s="200">
        <f t="shared" ca="1" si="77"/>
        <v>0.15364458747949647</v>
      </c>
      <c r="G51" s="201">
        <f t="shared" ref="G51:H51" si="181">J17</f>
        <v>1.8</v>
      </c>
      <c r="H51" s="49">
        <f t="shared" si="181"/>
        <v>0</v>
      </c>
      <c r="I51" s="49">
        <f t="shared" si="79"/>
        <v>7</v>
      </c>
      <c r="J51" s="49">
        <f t="shared" si="80"/>
        <v>7.6</v>
      </c>
      <c r="K51" s="49">
        <f t="shared" si="81"/>
        <v>2</v>
      </c>
      <c r="L51" s="49">
        <f t="shared" si="82"/>
        <v>4</v>
      </c>
      <c r="M51" s="49">
        <f t="shared" si="83"/>
        <v>6</v>
      </c>
      <c r="N51" s="49">
        <f t="shared" si="84"/>
        <v>2</v>
      </c>
      <c r="O51" s="201">
        <f t="shared" si="85"/>
        <v>2.25</v>
      </c>
      <c r="P51" s="201">
        <f t="shared" ca="1" si="86"/>
        <v>4.5517575200340943</v>
      </c>
      <c r="Q51" s="201">
        <f t="shared" si="87"/>
        <v>0.36</v>
      </c>
      <c r="R51" s="201">
        <f t="shared" si="88"/>
        <v>0.34</v>
      </c>
      <c r="S51" s="201">
        <f t="shared" ca="1" si="89"/>
        <v>2.5718183650808792</v>
      </c>
      <c r="T51" s="83">
        <f t="shared" ca="1" si="90"/>
        <v>2.3632689208098485</v>
      </c>
      <c r="U51" s="83">
        <f t="shared" ca="1" si="91"/>
        <v>3.612764234553854</v>
      </c>
      <c r="V51" s="83">
        <f t="shared" ca="1" si="92"/>
        <v>2.3632689208098485</v>
      </c>
      <c r="W51" s="83">
        <f t="shared" ca="1" si="93"/>
        <v>3.8669080906504942</v>
      </c>
      <c r="X51" s="83">
        <f t="shared" ca="1" si="94"/>
        <v>7.4940079276172371</v>
      </c>
      <c r="Y51" s="83">
        <f t="shared" ca="1" si="95"/>
        <v>1.9334540453252471</v>
      </c>
      <c r="Z51" s="83">
        <f t="shared" ca="1" si="96"/>
        <v>1.9263738867729026</v>
      </c>
      <c r="AA51" s="83">
        <f t="shared" ca="1" si="97"/>
        <v>2.8327349966393158</v>
      </c>
      <c r="AB51" s="83">
        <f t="shared" ca="1" si="98"/>
        <v>5.4181677316672623</v>
      </c>
      <c r="AC51" s="83">
        <f t="shared" ca="1" si="99"/>
        <v>1.4163674983196579</v>
      </c>
      <c r="AD51" s="83">
        <f t="shared" ca="1" si="100"/>
        <v>3.1161930521326364</v>
      </c>
      <c r="AE51" s="337">
        <f t="shared" ca="1" si="101"/>
        <v>6.8944872934078587</v>
      </c>
      <c r="AF51" s="83">
        <f t="shared" ca="1" si="102"/>
        <v>3.1025192820335361</v>
      </c>
      <c r="AG51" s="83">
        <f t="shared" ca="1" si="103"/>
        <v>1.3516993239120787</v>
      </c>
      <c r="AH51" s="337">
        <f t="shared" ca="1" si="104"/>
        <v>1.466476661438936</v>
      </c>
      <c r="AI51" s="83">
        <f t="shared" ca="1" si="105"/>
        <v>5.6504819774233965</v>
      </c>
      <c r="AJ51" s="83">
        <f t="shared" ca="1" si="106"/>
        <v>5.3057576127530037</v>
      </c>
      <c r="AK51" s="83">
        <f t="shared" ca="1" si="107"/>
        <v>0.41649932391207878</v>
      </c>
      <c r="AL51" s="83">
        <f t="shared" ca="1" si="108"/>
        <v>0.79027428315376447</v>
      </c>
      <c r="AM51" s="83">
        <f t="shared" ca="1" si="109"/>
        <v>2.0233821404566541</v>
      </c>
      <c r="AN51" s="83">
        <f t="shared" ca="1" si="110"/>
        <v>4.4514407090046388</v>
      </c>
      <c r="AO51" s="83">
        <f t="shared" ca="1" si="111"/>
        <v>1.011691070228327</v>
      </c>
      <c r="AP51" s="83">
        <f t="shared" ca="1" si="112"/>
        <v>7.640743483670672</v>
      </c>
      <c r="AQ51" s="83">
        <f t="shared" ca="1" si="113"/>
        <v>0.58422103059024089</v>
      </c>
      <c r="AR51" s="83">
        <f t="shared" ca="1" si="114"/>
        <v>1.6627443227918504</v>
      </c>
      <c r="AS51" s="83">
        <f t="shared" ca="1" si="115"/>
        <v>0.29211051529512044</v>
      </c>
      <c r="AT51" s="83">
        <f t="shared" ca="1" si="116"/>
        <v>1.4163674983196579</v>
      </c>
      <c r="AU51" s="83">
        <f t="shared" ca="1" si="117"/>
        <v>2.9976031710468951</v>
      </c>
      <c r="AV51" s="83">
        <f t="shared" ca="1" si="118"/>
        <v>0.70818374915982896</v>
      </c>
      <c r="AW51" s="83">
        <f t="shared" ca="1" si="119"/>
        <v>8.0940079276172376</v>
      </c>
      <c r="AX51" s="83">
        <f t="shared" ca="1" si="120"/>
        <v>1.136984005687161</v>
      </c>
      <c r="AY51" s="83">
        <f t="shared" ca="1" si="121"/>
        <v>2.8961983681170977</v>
      </c>
      <c r="AZ51" s="83">
        <f t="shared" ca="1" si="122"/>
        <v>0.56849200284358048</v>
      </c>
      <c r="BA51" s="83">
        <f t="shared" ca="1" si="123"/>
        <v>2.1807563069366158</v>
      </c>
      <c r="BB51" s="83">
        <f t="shared" ca="1" si="124"/>
        <v>2.6079147588107983</v>
      </c>
      <c r="BC51" s="83">
        <f t="shared" ca="1" si="125"/>
        <v>7.1308209842307866</v>
      </c>
      <c r="BD51" s="83">
        <f t="shared" ca="1" si="126"/>
        <v>2.8471730476517241</v>
      </c>
      <c r="BE51" s="83">
        <f t="shared" ca="1" si="127"/>
        <v>1.083055910555754</v>
      </c>
      <c r="BF51" s="83">
        <f t="shared" ca="1" si="128"/>
        <v>3.63459384489436</v>
      </c>
      <c r="BG51" s="83">
        <f t="shared" ca="1" si="129"/>
        <v>1.9784180928909507</v>
      </c>
      <c r="BH51" s="83">
        <f t="shared" ca="1" si="130"/>
        <v>3.0838170204221678</v>
      </c>
      <c r="BI51" s="83">
        <f t="shared" ca="1" si="131"/>
        <v>2.5817629287374659</v>
      </c>
      <c r="BJ51" s="83">
        <f t="shared" ca="1" si="132"/>
        <v>0.23368841223609632</v>
      </c>
      <c r="BK51" s="83">
        <f t="shared" ca="1" si="133"/>
        <v>1.3489214269711027</v>
      </c>
      <c r="BL51" s="83">
        <f t="shared" ca="1" si="134"/>
        <v>0.5095925390779722</v>
      </c>
      <c r="BM51" s="83">
        <f t="shared" ca="1" si="135"/>
        <v>2.4686724179232575</v>
      </c>
      <c r="BN51" s="83">
        <f t="shared" ca="1" si="136"/>
        <v>3.7792941949157677</v>
      </c>
      <c r="BO51" s="83">
        <f t="shared" ca="1" si="137"/>
        <v>0.60669107022832702</v>
      </c>
      <c r="BP51" s="83">
        <f t="shared" ca="1" si="138"/>
        <v>2.1282982514432951</v>
      </c>
      <c r="BQ51" s="83">
        <f t="shared" ca="1" si="139"/>
        <v>1.8285379343386059</v>
      </c>
      <c r="BR51" s="83">
        <f t="shared" ca="1" si="140"/>
        <v>3.6827736070658434</v>
      </c>
      <c r="BS51" s="83">
        <f t="shared" ca="1" si="141"/>
        <v>3.2513607837998997</v>
      </c>
      <c r="BT51" s="83">
        <f t="shared" ca="1" si="142"/>
        <v>0.54377495924168573</v>
      </c>
      <c r="BU51" s="83">
        <f t="shared" ca="1" si="143"/>
        <v>2.1282982514432951</v>
      </c>
      <c r="BV51" s="83">
        <f t="shared" ca="1" si="144"/>
        <v>1.8285379343386059</v>
      </c>
      <c r="BW51" s="83">
        <f t="shared" ca="1" si="145"/>
        <v>5.1073190023264772</v>
      </c>
      <c r="BX51" s="83">
        <f t="shared" ca="1" si="146"/>
        <v>2.6181370952174277</v>
      </c>
      <c r="BY51" s="83">
        <f t="shared" ca="1" si="147"/>
        <v>0.66511317328735109</v>
      </c>
      <c r="BZ51" s="83">
        <f t="shared" ca="1" si="148"/>
        <v>3.2861672186125985</v>
      </c>
      <c r="CA51" s="83">
        <f t="shared" ca="1" si="149"/>
        <v>2.3073781302885807</v>
      </c>
      <c r="CB51" s="83">
        <f t="shared" ca="1" si="150"/>
        <v>6.2262529264970095</v>
      </c>
      <c r="CC51" s="83">
        <f t="shared" ca="1" si="151"/>
        <v>2.3073781302885807</v>
      </c>
      <c r="CD51" s="83">
        <f t="shared" ca="1" si="152"/>
        <v>3.0978193461608701</v>
      </c>
      <c r="CE51" s="83">
        <f t="shared" ca="1" si="153"/>
        <v>8.1522968529079982</v>
      </c>
      <c r="CF51" s="83">
        <f t="shared" ca="1" si="154"/>
        <v>3.0978193461608701</v>
      </c>
      <c r="CG51" s="83">
        <f t="shared" ca="1" si="155"/>
        <v>2.0235019819043094</v>
      </c>
    </row>
    <row r="52" spans="1:85" x14ac:dyDescent="0.25">
      <c r="A52">
        <f t="shared" ref="A52:E52" si="182">A18</f>
        <v>0</v>
      </c>
      <c r="B52">
        <f t="shared" si="182"/>
        <v>19</v>
      </c>
      <c r="C52">
        <f t="shared" ca="1" si="182"/>
        <v>10</v>
      </c>
      <c r="D52">
        <f t="shared" si="182"/>
        <v>0</v>
      </c>
      <c r="E52" s="273">
        <f t="shared" si="182"/>
        <v>43624</v>
      </c>
      <c r="F52" s="200">
        <f t="shared" ca="1" si="77"/>
        <v>0.16436224314553138</v>
      </c>
      <c r="G52" s="201">
        <f t="shared" ref="G52:H52" si="183">J18</f>
        <v>1.8</v>
      </c>
      <c r="H52" s="49">
        <f t="shared" si="183"/>
        <v>0</v>
      </c>
      <c r="I52" s="49">
        <f t="shared" si="79"/>
        <v>5</v>
      </c>
      <c r="J52" s="49">
        <f t="shared" si="80"/>
        <v>6.1583333333333332</v>
      </c>
      <c r="K52" s="49">
        <f t="shared" si="81"/>
        <v>2</v>
      </c>
      <c r="L52" s="49">
        <f t="shared" si="82"/>
        <v>3</v>
      </c>
      <c r="M52" s="49">
        <f t="shared" si="83"/>
        <v>9</v>
      </c>
      <c r="N52" s="49">
        <f t="shared" si="84"/>
        <v>1</v>
      </c>
      <c r="O52" s="201">
        <f t="shared" si="85"/>
        <v>1.75</v>
      </c>
      <c r="P52" s="201">
        <f t="shared" ca="1" si="86"/>
        <v>9.0054435390560332</v>
      </c>
      <c r="Q52" s="201">
        <f t="shared" si="87"/>
        <v>0.48</v>
      </c>
      <c r="R52" s="201">
        <f t="shared" si="88"/>
        <v>0.22999999999999998</v>
      </c>
      <c r="S52" s="201">
        <f t="shared" ca="1" si="89"/>
        <v>1.5843383583748749</v>
      </c>
      <c r="T52" s="83">
        <f t="shared" ca="1" si="90"/>
        <v>1.8206254342062971</v>
      </c>
      <c r="U52" s="83">
        <f t="shared" ca="1" si="91"/>
        <v>2.7766007280187046</v>
      </c>
      <c r="V52" s="83">
        <f t="shared" ca="1" si="92"/>
        <v>1.8206254342062971</v>
      </c>
      <c r="W52" s="83">
        <f t="shared" ca="1" si="93"/>
        <v>2.8404384009741683</v>
      </c>
      <c r="X52" s="83">
        <f t="shared" ca="1" si="94"/>
        <v>5.504725583283272</v>
      </c>
      <c r="Y52" s="83">
        <f t="shared" ca="1" si="95"/>
        <v>1.4202192004870842</v>
      </c>
      <c r="Z52" s="83">
        <f t="shared" ca="1" si="96"/>
        <v>1.5858080221547519</v>
      </c>
      <c r="AA52" s="83">
        <f t="shared" ca="1" si="97"/>
        <v>2.0807862704810769</v>
      </c>
      <c r="AB52" s="83">
        <f t="shared" ca="1" si="98"/>
        <v>3.9799165967138057</v>
      </c>
      <c r="AC52" s="83">
        <f t="shared" ca="1" si="99"/>
        <v>1.0403931352405384</v>
      </c>
      <c r="AD52" s="83">
        <f t="shared" ca="1" si="100"/>
        <v>2.5652776828973929</v>
      </c>
      <c r="AE52" s="337">
        <f t="shared" ca="1" si="101"/>
        <v>5.0643475366206108</v>
      </c>
      <c r="AF52" s="83">
        <f t="shared" ca="1" si="102"/>
        <v>2.2789563914792743</v>
      </c>
      <c r="AG52" s="83">
        <f t="shared" ca="1" si="103"/>
        <v>1.1127308390749731</v>
      </c>
      <c r="AH52" s="337">
        <f t="shared" ca="1" si="104"/>
        <v>1.4727786429705643</v>
      </c>
      <c r="AI52" s="83">
        <f t="shared" ca="1" si="105"/>
        <v>4.150563089795587</v>
      </c>
      <c r="AJ52" s="83">
        <f t="shared" ca="1" si="106"/>
        <v>3.8973457129645563</v>
      </c>
      <c r="AK52" s="83">
        <f t="shared" ca="1" si="107"/>
        <v>0.25128917240830656</v>
      </c>
      <c r="AL52" s="83">
        <f t="shared" ca="1" si="108"/>
        <v>0.64936096798558252</v>
      </c>
      <c r="AM52" s="83">
        <f t="shared" ca="1" si="109"/>
        <v>1.4862759074864835</v>
      </c>
      <c r="AN52" s="83">
        <f t="shared" ca="1" si="110"/>
        <v>3.2698069964702636</v>
      </c>
      <c r="AO52" s="83">
        <f t="shared" ca="1" si="111"/>
        <v>0.74313795374324176</v>
      </c>
      <c r="AP52" s="83">
        <f t="shared" ca="1" si="112"/>
        <v>6.2899276172860752</v>
      </c>
      <c r="AQ52" s="83">
        <f t="shared" ca="1" si="113"/>
        <v>0.45561432582682548</v>
      </c>
      <c r="AR52" s="83">
        <f t="shared" ca="1" si="114"/>
        <v>2.064884595901999</v>
      </c>
      <c r="AS52" s="83">
        <f t="shared" ca="1" si="115"/>
        <v>0.22780716291341274</v>
      </c>
      <c r="AT52" s="83">
        <f t="shared" ca="1" si="116"/>
        <v>1.0403931352405384</v>
      </c>
      <c r="AU52" s="83">
        <f t="shared" ca="1" si="117"/>
        <v>2.2018902333133088</v>
      </c>
      <c r="AV52" s="83">
        <f t="shared" ca="1" si="118"/>
        <v>0.52019656762026922</v>
      </c>
      <c r="AW52" s="83">
        <f t="shared" ca="1" si="119"/>
        <v>6.6630589166166052</v>
      </c>
      <c r="AX52" s="83">
        <f t="shared" ca="1" si="120"/>
        <v>0.886695572570668</v>
      </c>
      <c r="AY52" s="83">
        <f t="shared" ca="1" si="121"/>
        <v>3.1911037963890836</v>
      </c>
      <c r="AZ52" s="83">
        <f t="shared" ca="1" si="122"/>
        <v>0.443347786285334</v>
      </c>
      <c r="BA52" s="83">
        <f t="shared" ca="1" si="123"/>
        <v>1.601875144735432</v>
      </c>
      <c r="BB52" s="83">
        <f t="shared" ca="1" si="124"/>
        <v>1.9156445029825786</v>
      </c>
      <c r="BC52" s="83">
        <f t="shared" ca="1" si="125"/>
        <v>5.8701549055392288</v>
      </c>
      <c r="BD52" s="83">
        <f t="shared" ca="1" si="126"/>
        <v>2.5417010435388296</v>
      </c>
      <c r="BE52" s="83">
        <f t="shared" ca="1" si="127"/>
        <v>0.84463886557126877</v>
      </c>
      <c r="BF52" s="83">
        <f t="shared" ca="1" si="128"/>
        <v>2.6697919078923866</v>
      </c>
      <c r="BG52" s="83">
        <f t="shared" ca="1" si="129"/>
        <v>1.453247553986784</v>
      </c>
      <c r="BH52" s="83">
        <f t="shared" ca="1" si="130"/>
        <v>2.5386254472309266</v>
      </c>
      <c r="BI52" s="83">
        <f t="shared" ca="1" si="131"/>
        <v>2.3901301597895808</v>
      </c>
      <c r="BJ52" s="83">
        <f t="shared" ca="1" si="132"/>
        <v>0.18224573033073019</v>
      </c>
      <c r="BK52" s="83">
        <f t="shared" ca="1" si="133"/>
        <v>0.99085060499098887</v>
      </c>
      <c r="BL52" s="83">
        <f t="shared" ca="1" si="134"/>
        <v>0.37432133966326253</v>
      </c>
      <c r="BM52" s="83">
        <f t="shared" ca="1" si="135"/>
        <v>2.0322329695680645</v>
      </c>
      <c r="BN52" s="83">
        <f t="shared" ca="1" si="136"/>
        <v>3.5070771001022889</v>
      </c>
      <c r="BO52" s="83">
        <f t="shared" ca="1" si="137"/>
        <v>0.47313795374324186</v>
      </c>
      <c r="BP52" s="83">
        <f t="shared" ca="1" si="138"/>
        <v>1.563342065652449</v>
      </c>
      <c r="BQ52" s="83">
        <f t="shared" ca="1" si="139"/>
        <v>1.3431530423211184</v>
      </c>
      <c r="BR52" s="83">
        <f t="shared" ca="1" si="140"/>
        <v>3.0316918070605556</v>
      </c>
      <c r="BS52" s="83">
        <f t="shared" ca="1" si="141"/>
        <v>3.0192359462778664</v>
      </c>
      <c r="BT52" s="83">
        <f t="shared" ca="1" si="142"/>
        <v>0.42407179557727603</v>
      </c>
      <c r="BU52" s="83">
        <f t="shared" ca="1" si="143"/>
        <v>1.563342065652449</v>
      </c>
      <c r="BV52" s="83">
        <f t="shared" ca="1" si="144"/>
        <v>1.3431530423211184</v>
      </c>
      <c r="BW52" s="83">
        <f t="shared" ca="1" si="145"/>
        <v>4.2043901763850782</v>
      </c>
      <c r="BX52" s="83">
        <f t="shared" ca="1" si="146"/>
        <v>2.4347293970385291</v>
      </c>
      <c r="BY52" s="83">
        <f t="shared" ca="1" si="147"/>
        <v>0.51869938632592438</v>
      </c>
      <c r="BZ52" s="83">
        <f t="shared" ca="1" si="148"/>
        <v>2.705201920146342</v>
      </c>
      <c r="CA52" s="83">
        <f t="shared" ca="1" si="149"/>
        <v>2.443962028890585</v>
      </c>
      <c r="CB52" s="83">
        <f t="shared" ca="1" si="150"/>
        <v>7.4443210067769652</v>
      </c>
      <c r="CC52" s="83">
        <f t="shared" ca="1" si="151"/>
        <v>2.443962028890585</v>
      </c>
      <c r="CD52" s="83">
        <f t="shared" ca="1" si="152"/>
        <v>3.7397098551676411</v>
      </c>
      <c r="CE52" s="83">
        <f t="shared" ca="1" si="153"/>
        <v>10.797969323514801</v>
      </c>
      <c r="CF52" s="83">
        <f t="shared" ca="1" si="154"/>
        <v>3.7397098551676411</v>
      </c>
      <c r="CG52" s="83">
        <f t="shared" ca="1" si="155"/>
        <v>1.6657647291541513</v>
      </c>
    </row>
    <row r="53" spans="1:85" x14ac:dyDescent="0.25">
      <c r="A53" t="str">
        <f t="shared" ref="A53:E53" si="184">A19</f>
        <v>V. Godoi</v>
      </c>
      <c r="B53">
        <f t="shared" si="184"/>
        <v>25</v>
      </c>
      <c r="C53">
        <f t="shared" ca="1" si="184"/>
        <v>94</v>
      </c>
      <c r="D53">
        <f t="shared" si="184"/>
        <v>0</v>
      </c>
      <c r="E53" s="273">
        <f t="shared" si="184"/>
        <v>43639</v>
      </c>
      <c r="F53" s="200">
        <f t="shared" ca="1" si="77"/>
        <v>6.7683633516304187E-2</v>
      </c>
      <c r="G53" s="201">
        <f t="shared" ref="G53:H53" si="185">J19</f>
        <v>4.5</v>
      </c>
      <c r="H53" s="49">
        <f t="shared" si="185"/>
        <v>0</v>
      </c>
      <c r="I53" s="49">
        <f t="shared" si="79"/>
        <v>3</v>
      </c>
      <c r="J53" s="49">
        <f t="shared" si="80"/>
        <v>9.0769230769230766</v>
      </c>
      <c r="K53" s="49">
        <f t="shared" si="81"/>
        <v>9</v>
      </c>
      <c r="L53" s="49">
        <f t="shared" si="82"/>
        <v>5</v>
      </c>
      <c r="M53" s="49">
        <f t="shared" si="83"/>
        <v>5</v>
      </c>
      <c r="N53" s="49">
        <f t="shared" si="84"/>
        <v>1</v>
      </c>
      <c r="O53" s="201">
        <f t="shared" si="85"/>
        <v>2</v>
      </c>
      <c r="P53" s="201">
        <f t="shared" ca="1" si="86"/>
        <v>3.3243803706623769</v>
      </c>
      <c r="Q53" s="201">
        <f t="shared" si="87"/>
        <v>0.27999999999999997</v>
      </c>
      <c r="R53" s="201">
        <f t="shared" si="88"/>
        <v>0.15000000000000002</v>
      </c>
      <c r="S53" s="201">
        <f t="shared" ca="1" si="89"/>
        <v>1.9929375274856915</v>
      </c>
      <c r="T53" s="83">
        <f t="shared" ca="1" si="90"/>
        <v>1.6474271780942336</v>
      </c>
      <c r="U53" s="83">
        <f t="shared" ca="1" si="91"/>
        <v>2.4867760445815068</v>
      </c>
      <c r="V53" s="83">
        <f t="shared" ca="1" si="92"/>
        <v>1.6474271780942336</v>
      </c>
      <c r="W53" s="83">
        <f t="shared" ca="1" si="93"/>
        <v>2.0323349643718491</v>
      </c>
      <c r="X53" s="83">
        <f t="shared" ca="1" si="94"/>
        <v>3.9386336518834288</v>
      </c>
      <c r="Y53" s="83">
        <f t="shared" ca="1" si="95"/>
        <v>1.0161674821859246</v>
      </c>
      <c r="Z53" s="83">
        <f t="shared" ca="1" si="96"/>
        <v>2.3837025014559483</v>
      </c>
      <c r="AA53" s="83">
        <f t="shared" ca="1" si="97"/>
        <v>1.4888035204119361</v>
      </c>
      <c r="AB53" s="83">
        <f t="shared" ca="1" si="98"/>
        <v>2.8476321303117191</v>
      </c>
      <c r="AC53" s="83">
        <f t="shared" ca="1" si="99"/>
        <v>0.74440176020596804</v>
      </c>
      <c r="AD53" s="83">
        <f t="shared" ca="1" si="100"/>
        <v>3.8559893405905052</v>
      </c>
      <c r="AE53" s="337">
        <f t="shared" ca="1" si="101"/>
        <v>3.6235429597327546</v>
      </c>
      <c r="AF53" s="83">
        <f t="shared" ca="1" si="102"/>
        <v>1.6305943318797396</v>
      </c>
      <c r="AG53" s="83">
        <f t="shared" ca="1" si="103"/>
        <v>1.6725979737106866</v>
      </c>
      <c r="AH53" s="337">
        <f t="shared" ca="1" si="104"/>
        <v>5.843916587307457</v>
      </c>
      <c r="AI53" s="83">
        <f t="shared" ca="1" si="105"/>
        <v>2.9697297735201054</v>
      </c>
      <c r="AJ53" s="83">
        <f t="shared" ca="1" si="106"/>
        <v>2.7885526255334674</v>
      </c>
      <c r="AK53" s="83">
        <f t="shared" ca="1" si="107"/>
        <v>0.32375181986453272</v>
      </c>
      <c r="AL53" s="83">
        <f t="shared" ca="1" si="108"/>
        <v>0.84632649174242747</v>
      </c>
      <c r="AM53" s="83">
        <f t="shared" ca="1" si="109"/>
        <v>1.0634310860085259</v>
      </c>
      <c r="AN53" s="83">
        <f t="shared" ca="1" si="110"/>
        <v>2.3395483892187565</v>
      </c>
      <c r="AO53" s="83">
        <f t="shared" ca="1" si="111"/>
        <v>0.53171554300426294</v>
      </c>
      <c r="AP53" s="83">
        <f t="shared" ca="1" si="112"/>
        <v>9.4546855519933413</v>
      </c>
      <c r="AQ53" s="83">
        <f t="shared" ca="1" si="113"/>
        <v>0.77202237474484581</v>
      </c>
      <c r="AR53" s="83">
        <f t="shared" ca="1" si="114"/>
        <v>1.7400196600018447</v>
      </c>
      <c r="AS53" s="83">
        <f t="shared" ca="1" si="115"/>
        <v>0.3860111873724229</v>
      </c>
      <c r="AT53" s="83">
        <f t="shared" ca="1" si="116"/>
        <v>0.74440176020596804</v>
      </c>
      <c r="AU53" s="83">
        <f t="shared" ca="1" si="117"/>
        <v>1.5754534607533717</v>
      </c>
      <c r="AV53" s="83">
        <f t="shared" ca="1" si="118"/>
        <v>0.37220088010298402</v>
      </c>
      <c r="AW53" s="83">
        <f t="shared" ca="1" si="119"/>
        <v>10.015556728806507</v>
      </c>
      <c r="AX53" s="83">
        <f t="shared" ca="1" si="120"/>
        <v>1.5024743139265075</v>
      </c>
      <c r="AY53" s="83">
        <f t="shared" ca="1" si="121"/>
        <v>3.2721871421877697</v>
      </c>
      <c r="AZ53" s="83">
        <f t="shared" ca="1" si="122"/>
        <v>0.75123715696325377</v>
      </c>
      <c r="BA53" s="83">
        <f t="shared" ca="1" si="123"/>
        <v>1.1461423926980778</v>
      </c>
      <c r="BB53" s="83">
        <f t="shared" ca="1" si="124"/>
        <v>1.370644510855433</v>
      </c>
      <c r="BC53" s="83">
        <f t="shared" ca="1" si="125"/>
        <v>8.8237054780785318</v>
      </c>
      <c r="BD53" s="83">
        <f t="shared" ca="1" si="126"/>
        <v>7.5754453165243687</v>
      </c>
      <c r="BE53" s="83">
        <f t="shared" ca="1" si="127"/>
        <v>1.4312107101039064</v>
      </c>
      <c r="BF53" s="83">
        <f t="shared" ca="1" si="128"/>
        <v>1.9102373211634629</v>
      </c>
      <c r="BG53" s="83">
        <f t="shared" ca="1" si="129"/>
        <v>1.0397992840972252</v>
      </c>
      <c r="BH53" s="83">
        <f t="shared" ca="1" si="130"/>
        <v>3.8159271136752793</v>
      </c>
      <c r="BI53" s="83">
        <f t="shared" ca="1" si="131"/>
        <v>7.8823658117461184</v>
      </c>
      <c r="BJ53" s="83">
        <f t="shared" ca="1" si="132"/>
        <v>0.30880894989793833</v>
      </c>
      <c r="BK53" s="83">
        <f t="shared" ca="1" si="133"/>
        <v>0.70895405733901717</v>
      </c>
      <c r="BL53" s="83">
        <f t="shared" ca="1" si="134"/>
        <v>0.26782708832807317</v>
      </c>
      <c r="BM53" s="83">
        <f t="shared" ca="1" si="135"/>
        <v>3.0547448022859847</v>
      </c>
      <c r="BN53" s="83">
        <f t="shared" ca="1" si="136"/>
        <v>11.63708287632209</v>
      </c>
      <c r="BO53" s="83">
        <f t="shared" ca="1" si="137"/>
        <v>0.80171554300426295</v>
      </c>
      <c r="BP53" s="83">
        <f t="shared" ca="1" si="138"/>
        <v>1.1185719571348938</v>
      </c>
      <c r="BQ53" s="83">
        <f t="shared" ca="1" si="139"/>
        <v>0.96102661105955667</v>
      </c>
      <c r="BR53" s="83">
        <f t="shared" ca="1" si="140"/>
        <v>4.5570783116069604</v>
      </c>
      <c r="BS53" s="83">
        <f t="shared" ca="1" si="141"/>
        <v>10.036006086286839</v>
      </c>
      <c r="BT53" s="83">
        <f t="shared" ca="1" si="142"/>
        <v>0.71857467187789492</v>
      </c>
      <c r="BU53" s="83">
        <f t="shared" ca="1" si="143"/>
        <v>1.1185719571348938</v>
      </c>
      <c r="BV53" s="83">
        <f t="shared" ca="1" si="144"/>
        <v>0.96102661105955667</v>
      </c>
      <c r="BW53" s="83">
        <f t="shared" ca="1" si="145"/>
        <v>6.3198162958769055</v>
      </c>
      <c r="BX53" s="83">
        <f t="shared" ca="1" si="146"/>
        <v>8.1230771184356687</v>
      </c>
      <c r="BY53" s="83">
        <f t="shared" ca="1" si="147"/>
        <v>0.87891778047874747</v>
      </c>
      <c r="BZ53" s="83">
        <f t="shared" ca="1" si="148"/>
        <v>4.0663160318954423</v>
      </c>
      <c r="CA53" s="83">
        <f t="shared" ca="1" si="149"/>
        <v>3.6700281326312663</v>
      </c>
      <c r="CB53" s="83">
        <f t="shared" ca="1" si="150"/>
        <v>6.6869014920207412</v>
      </c>
      <c r="CC53" s="83">
        <f t="shared" ca="1" si="151"/>
        <v>3.6700281326312663</v>
      </c>
      <c r="CD53" s="83">
        <f t="shared" ca="1" si="152"/>
        <v>4.8261710204091379</v>
      </c>
      <c r="CE53" s="83">
        <f t="shared" ca="1" si="153"/>
        <v>8.1299894694284145</v>
      </c>
      <c r="CF53" s="83">
        <f t="shared" ca="1" si="154"/>
        <v>4.8261710204091379</v>
      </c>
      <c r="CG53" s="83">
        <f t="shared" ca="1" si="155"/>
        <v>2.5038891822016267</v>
      </c>
    </row>
    <row r="54" spans="1:85" x14ac:dyDescent="0.25">
      <c r="A54" t="str">
        <f t="shared" ref="A54:E54" si="186">A20</f>
        <v>P. Tuderek</v>
      </c>
      <c r="B54">
        <f t="shared" si="186"/>
        <v>18</v>
      </c>
      <c r="C54">
        <f t="shared" ca="1" si="186"/>
        <v>75</v>
      </c>
      <c r="D54" t="str">
        <f t="shared" si="186"/>
        <v>CAB</v>
      </c>
      <c r="E54" s="273">
        <f t="shared" si="186"/>
        <v>43626</v>
      </c>
      <c r="F54" s="200">
        <f t="shared" ca="1" si="77"/>
        <v>0.15364458747949647</v>
      </c>
      <c r="G54" s="201">
        <f t="shared" ref="G54:H54" si="187">J20</f>
        <v>0.6</v>
      </c>
      <c r="H54" s="49">
        <f t="shared" si="187"/>
        <v>0</v>
      </c>
      <c r="I54" s="49">
        <f t="shared" si="79"/>
        <v>6</v>
      </c>
      <c r="J54" s="49">
        <f t="shared" si="80"/>
        <v>6.2833333333333332</v>
      </c>
      <c r="K54" s="49">
        <f t="shared" si="81"/>
        <v>2</v>
      </c>
      <c r="L54" s="49">
        <f t="shared" si="82"/>
        <v>3</v>
      </c>
      <c r="M54" s="49">
        <f t="shared" si="83"/>
        <v>6</v>
      </c>
      <c r="N54" s="49">
        <f t="shared" si="84"/>
        <v>8</v>
      </c>
      <c r="O54" s="201">
        <f t="shared" si="85"/>
        <v>1.875</v>
      </c>
      <c r="P54" s="201">
        <f t="shared" ca="1" si="86"/>
        <v>6.445840222793489</v>
      </c>
      <c r="Q54" s="201">
        <f t="shared" si="87"/>
        <v>0.54</v>
      </c>
      <c r="R54" s="201">
        <f t="shared" si="88"/>
        <v>0.48000000000000009</v>
      </c>
      <c r="S54" s="201">
        <f t="shared" ca="1" si="89"/>
        <v>7.935656692121329</v>
      </c>
      <c r="T54" s="83">
        <f t="shared" ca="1" si="90"/>
        <v>1.5318997803161616</v>
      </c>
      <c r="U54" s="83">
        <f t="shared" ca="1" si="91"/>
        <v>2.3664795147630748</v>
      </c>
      <c r="V54" s="83">
        <f t="shared" ca="1" si="92"/>
        <v>1.5318997803161616</v>
      </c>
      <c r="W54" s="83">
        <f t="shared" ca="1" si="93"/>
        <v>3.0226486674033666</v>
      </c>
      <c r="X54" s="83">
        <f t="shared" ca="1" si="94"/>
        <v>5.8578462546576873</v>
      </c>
      <c r="Y54" s="83">
        <f t="shared" ca="1" si="95"/>
        <v>1.5113243337016833</v>
      </c>
      <c r="Z54" s="83">
        <f t="shared" ca="1" si="96"/>
        <v>1.4616007419418628</v>
      </c>
      <c r="AA54" s="83">
        <f t="shared" ca="1" si="97"/>
        <v>2.2142658842606058</v>
      </c>
      <c r="AB54" s="83">
        <f t="shared" ca="1" si="98"/>
        <v>4.2352228421175075</v>
      </c>
      <c r="AC54" s="83">
        <f t="shared" ca="1" si="99"/>
        <v>1.1071329421303029</v>
      </c>
      <c r="AD54" s="83">
        <f t="shared" ca="1" si="100"/>
        <v>2.364354141376543</v>
      </c>
      <c r="AE54" s="337">
        <f t="shared" ca="1" si="101"/>
        <v>5.3892185542850726</v>
      </c>
      <c r="AF54" s="83">
        <f t="shared" ca="1" si="102"/>
        <v>2.4251483494282824</v>
      </c>
      <c r="AG54" s="83">
        <f t="shared" ca="1" si="103"/>
        <v>1.0255769911945005</v>
      </c>
      <c r="AH54" s="337">
        <f t="shared" ca="1" si="104"/>
        <v>1.0924135977387204</v>
      </c>
      <c r="AI54" s="83">
        <f t="shared" ca="1" si="105"/>
        <v>4.4168160760118962</v>
      </c>
      <c r="AJ54" s="83">
        <f t="shared" ca="1" si="106"/>
        <v>4.1473551482976427</v>
      </c>
      <c r="AK54" s="83">
        <f t="shared" ca="1" si="107"/>
        <v>1.3122603245278339</v>
      </c>
      <c r="AL54" s="83">
        <f t="shared" ca="1" si="108"/>
        <v>0.49905972134141408</v>
      </c>
      <c r="AM54" s="83">
        <f t="shared" ca="1" si="109"/>
        <v>1.5816184887575757</v>
      </c>
      <c r="AN54" s="83">
        <f t="shared" ca="1" si="110"/>
        <v>3.4795606752666659</v>
      </c>
      <c r="AO54" s="83">
        <f t="shared" ca="1" si="111"/>
        <v>0.79080924437878786</v>
      </c>
      <c r="AP54" s="83">
        <f t="shared" ca="1" si="112"/>
        <v>5.7972735310635226</v>
      </c>
      <c r="AQ54" s="83">
        <f t="shared" ca="1" si="113"/>
        <v>0.37152001310549948</v>
      </c>
      <c r="AR54" s="83">
        <f t="shared" ca="1" si="114"/>
        <v>1.3563489526147023</v>
      </c>
      <c r="AS54" s="83">
        <f t="shared" ca="1" si="115"/>
        <v>0.18576000655274974</v>
      </c>
      <c r="AT54" s="83">
        <f t="shared" ca="1" si="116"/>
        <v>1.1071329421303029</v>
      </c>
      <c r="AU54" s="83">
        <f t="shared" ca="1" si="117"/>
        <v>2.3431385018630748</v>
      </c>
      <c r="AV54" s="83">
        <f t="shared" ca="1" si="118"/>
        <v>0.55356647106515144</v>
      </c>
      <c r="AW54" s="83">
        <f t="shared" ca="1" si="119"/>
        <v>6.1411795879910205</v>
      </c>
      <c r="AX54" s="83">
        <f t="shared" ca="1" si="120"/>
        <v>0.72303510242839508</v>
      </c>
      <c r="AY54" s="83">
        <f t="shared" ca="1" si="121"/>
        <v>2.2046732863163858</v>
      </c>
      <c r="AZ54" s="83">
        <f t="shared" ca="1" si="122"/>
        <v>0.36151755121419754</v>
      </c>
      <c r="BA54" s="83">
        <f t="shared" ca="1" si="123"/>
        <v>1.7046332601053868</v>
      </c>
      <c r="BB54" s="83">
        <f t="shared" ca="1" si="124"/>
        <v>2.0385304966208748</v>
      </c>
      <c r="BC54" s="83">
        <f t="shared" ca="1" si="125"/>
        <v>5.4103792170200888</v>
      </c>
      <c r="BD54" s="83">
        <f t="shared" ca="1" si="126"/>
        <v>1.9666253203906847</v>
      </c>
      <c r="BE54" s="83">
        <f t="shared" ca="1" si="127"/>
        <v>0.6887409473725028</v>
      </c>
      <c r="BF54" s="83">
        <f t="shared" ca="1" si="128"/>
        <v>2.8410554335089784</v>
      </c>
      <c r="BG54" s="83">
        <f t="shared" ca="1" si="129"/>
        <v>1.5464714112296296</v>
      </c>
      <c r="BH54" s="83">
        <f t="shared" ca="1" si="130"/>
        <v>2.339789423024579</v>
      </c>
      <c r="BI54" s="83">
        <f t="shared" ca="1" si="131"/>
        <v>1.8247576265708194</v>
      </c>
      <c r="BJ54" s="83">
        <f t="shared" ca="1" si="132"/>
        <v>0.14860800524219978</v>
      </c>
      <c r="BK54" s="83">
        <f t="shared" ca="1" si="133"/>
        <v>1.0544123258383837</v>
      </c>
      <c r="BL54" s="83">
        <f t="shared" ca="1" si="134"/>
        <v>0.39833354531672277</v>
      </c>
      <c r="BM54" s="83">
        <f t="shared" ca="1" si="135"/>
        <v>1.8730597743372612</v>
      </c>
      <c r="BN54" s="83">
        <f t="shared" ca="1" si="136"/>
        <v>2.6751902834897869</v>
      </c>
      <c r="BO54" s="83">
        <f t="shared" ca="1" si="137"/>
        <v>0.38580924437878794</v>
      </c>
      <c r="BP54" s="83">
        <f t="shared" ca="1" si="138"/>
        <v>1.6636283363227831</v>
      </c>
      <c r="BQ54" s="83">
        <f t="shared" ca="1" si="139"/>
        <v>1.4293144861364757</v>
      </c>
      <c r="BR54" s="83">
        <f t="shared" ca="1" si="140"/>
        <v>2.7942367125359144</v>
      </c>
      <c r="BS54" s="83">
        <f t="shared" ca="1" si="141"/>
        <v>2.3024936501607183</v>
      </c>
      <c r="BT54" s="83">
        <f t="shared" ca="1" si="142"/>
        <v>0.34579939681358024</v>
      </c>
      <c r="BU54" s="83">
        <f t="shared" ca="1" si="143"/>
        <v>1.6636283363227831</v>
      </c>
      <c r="BV54" s="83">
        <f t="shared" ca="1" si="144"/>
        <v>1.4293144861364757</v>
      </c>
      <c r="BW54" s="83">
        <f t="shared" ca="1" si="145"/>
        <v>3.8750843200223342</v>
      </c>
      <c r="BX54" s="83">
        <f t="shared" ca="1" si="146"/>
        <v>1.8557723979186305</v>
      </c>
      <c r="BY54" s="83">
        <f t="shared" ca="1" si="147"/>
        <v>0.42296124568933785</v>
      </c>
      <c r="BZ54" s="83">
        <f t="shared" ca="1" si="148"/>
        <v>2.4933189127243547</v>
      </c>
      <c r="CA54" s="83">
        <f t="shared" ca="1" si="149"/>
        <v>1.7259378986766554</v>
      </c>
      <c r="CB54" s="83">
        <f t="shared" ca="1" si="150"/>
        <v>4.9669348827445559</v>
      </c>
      <c r="CC54" s="83">
        <f t="shared" ca="1" si="151"/>
        <v>1.7259378986766554</v>
      </c>
      <c r="CD54" s="83">
        <f t="shared" ca="1" si="152"/>
        <v>2.5594906239070707</v>
      </c>
      <c r="CE54" s="83">
        <f t="shared" ca="1" si="153"/>
        <v>6.9123915226263737</v>
      </c>
      <c r="CF54" s="83">
        <f t="shared" ca="1" si="154"/>
        <v>2.5594906239070707</v>
      </c>
      <c r="CG54" s="83">
        <f t="shared" ca="1" si="155"/>
        <v>1.5352948969977551</v>
      </c>
    </row>
    <row r="55" spans="1:85" x14ac:dyDescent="0.25">
      <c r="A55">
        <f t="shared" ref="A55:E55" si="188">A21</f>
        <v>0</v>
      </c>
      <c r="B55">
        <f t="shared" si="188"/>
        <v>18</v>
      </c>
      <c r="C55">
        <f t="shared" ca="1" si="188"/>
        <v>107</v>
      </c>
      <c r="D55" t="str">
        <f t="shared" si="188"/>
        <v>RAP</v>
      </c>
      <c r="E55" s="273">
        <f t="shared" si="188"/>
        <v>43626</v>
      </c>
      <c r="F55" s="200">
        <f t="shared" ca="1" si="77"/>
        <v>0.15364458747949647</v>
      </c>
      <c r="G55" s="201">
        <f t="shared" ref="G55:H55" si="189">J21</f>
        <v>0.5</v>
      </c>
      <c r="H55" s="49">
        <f t="shared" si="189"/>
        <v>0</v>
      </c>
      <c r="I55" s="49">
        <f t="shared" si="79"/>
        <v>4</v>
      </c>
      <c r="J55" s="49">
        <f t="shared" si="80"/>
        <v>5.2857142857142856</v>
      </c>
      <c r="K55" s="49">
        <f t="shared" si="81"/>
        <v>3</v>
      </c>
      <c r="L55" s="49">
        <f t="shared" si="82"/>
        <v>4</v>
      </c>
      <c r="M55" s="49">
        <f t="shared" si="83"/>
        <v>9</v>
      </c>
      <c r="N55" s="49">
        <f t="shared" si="84"/>
        <v>8</v>
      </c>
      <c r="O55" s="201">
        <f t="shared" si="85"/>
        <v>1.875</v>
      </c>
      <c r="P55" s="201">
        <f t="shared" ca="1" si="86"/>
        <v>11.192519484439822</v>
      </c>
      <c r="Q55" s="201">
        <f t="shared" si="87"/>
        <v>0.69000000000000006</v>
      </c>
      <c r="R55" s="201">
        <f t="shared" si="88"/>
        <v>0.4</v>
      </c>
      <c r="S55" s="201">
        <f t="shared" ca="1" si="89"/>
        <v>7.8300816973911624</v>
      </c>
      <c r="T55" s="83">
        <f t="shared" ca="1" si="90"/>
        <v>0.88773280991672643</v>
      </c>
      <c r="U55" s="83">
        <f t="shared" ca="1" si="91"/>
        <v>1.38018219656643</v>
      </c>
      <c r="V55" s="83">
        <f t="shared" ca="1" si="92"/>
        <v>0.88773280991672643</v>
      </c>
      <c r="W55" s="83">
        <f t="shared" ca="1" si="93"/>
        <v>1.936171970122601</v>
      </c>
      <c r="X55" s="83">
        <f t="shared" ca="1" si="94"/>
        <v>3.7522712599275212</v>
      </c>
      <c r="Y55" s="83">
        <f t="shared" ca="1" si="95"/>
        <v>0.9680859850613005</v>
      </c>
      <c r="Z55" s="83">
        <f t="shared" ca="1" si="96"/>
        <v>1.1990405598627498</v>
      </c>
      <c r="AA55" s="83">
        <f t="shared" ca="1" si="97"/>
        <v>1.418358536252603</v>
      </c>
      <c r="AB55" s="83">
        <f t="shared" ca="1" si="98"/>
        <v>2.7128921209275978</v>
      </c>
      <c r="AC55" s="83">
        <f t="shared" ca="1" si="99"/>
        <v>0.7091792681263015</v>
      </c>
      <c r="AD55" s="83">
        <f t="shared" ca="1" si="100"/>
        <v>1.9396244350720955</v>
      </c>
      <c r="AE55" s="337">
        <f t="shared" ca="1" si="101"/>
        <v>3.4520895591333196</v>
      </c>
      <c r="AF55" s="83">
        <f t="shared" ca="1" si="102"/>
        <v>1.5534403016099938</v>
      </c>
      <c r="AG55" s="83">
        <f t="shared" ca="1" si="103"/>
        <v>0.84134358612218174</v>
      </c>
      <c r="AH55" s="337">
        <f t="shared" ca="1" si="104"/>
        <v>1.6183355008373825</v>
      </c>
      <c r="AI55" s="83">
        <f t="shared" ca="1" si="105"/>
        <v>2.8292125299853508</v>
      </c>
      <c r="AJ55" s="83">
        <f t="shared" ca="1" si="106"/>
        <v>2.6566080520286848</v>
      </c>
      <c r="AK55" s="83">
        <f t="shared" ca="1" si="107"/>
        <v>1.2946293004078961</v>
      </c>
      <c r="AL55" s="83">
        <f t="shared" ca="1" si="108"/>
        <v>0.46865412285912622</v>
      </c>
      <c r="AM55" s="83">
        <f t="shared" ca="1" si="109"/>
        <v>1.0131132401804308</v>
      </c>
      <c r="AN55" s="83">
        <f t="shared" ca="1" si="110"/>
        <v>2.2288491283969476</v>
      </c>
      <c r="AO55" s="83">
        <f t="shared" ca="1" si="111"/>
        <v>0.5065566200902154</v>
      </c>
      <c r="AP55" s="83">
        <f t="shared" ca="1" si="112"/>
        <v>4.7558583550858646</v>
      </c>
      <c r="AQ55" s="83">
        <f t="shared" ca="1" si="113"/>
        <v>0.48779526379057775</v>
      </c>
      <c r="AR55" s="83">
        <f t="shared" ca="1" si="114"/>
        <v>1.9644154791587638</v>
      </c>
      <c r="AS55" s="83">
        <f t="shared" ca="1" si="115"/>
        <v>0.24389763189528887</v>
      </c>
      <c r="AT55" s="83">
        <f t="shared" ca="1" si="116"/>
        <v>0.7091792681263015</v>
      </c>
      <c r="AU55" s="83">
        <f t="shared" ca="1" si="117"/>
        <v>1.5009085039710086</v>
      </c>
      <c r="AV55" s="83">
        <f t="shared" ca="1" si="118"/>
        <v>0.35458963406315075</v>
      </c>
      <c r="AW55" s="83">
        <f t="shared" ca="1" si="119"/>
        <v>5.0379855456418063</v>
      </c>
      <c r="AX55" s="83">
        <f t="shared" ca="1" si="120"/>
        <v>0.9493246287616629</v>
      </c>
      <c r="AY55" s="83">
        <f t="shared" ca="1" si="121"/>
        <v>3.117501464220064</v>
      </c>
      <c r="AZ55" s="83">
        <f t="shared" ca="1" si="122"/>
        <v>0.47466231438083145</v>
      </c>
      <c r="BA55" s="83">
        <f t="shared" ca="1" si="123"/>
        <v>1.0919109366389086</v>
      </c>
      <c r="BB55" s="83">
        <f t="shared" ca="1" si="124"/>
        <v>1.3057903984547772</v>
      </c>
      <c r="BC55" s="83">
        <f t="shared" ca="1" si="125"/>
        <v>4.4384652657104313</v>
      </c>
      <c r="BD55" s="83">
        <f t="shared" ca="1" si="126"/>
        <v>2.7617691500755663</v>
      </c>
      <c r="BE55" s="83">
        <f t="shared" ca="1" si="127"/>
        <v>0.9042973736425326</v>
      </c>
      <c r="BF55" s="83">
        <f t="shared" ca="1" si="128"/>
        <v>1.8198515610648478</v>
      </c>
      <c r="BG55" s="83">
        <f t="shared" ca="1" si="129"/>
        <v>0.9905996126208656</v>
      </c>
      <c r="BH55" s="83">
        <f t="shared" ca="1" si="130"/>
        <v>1.9194724928895281</v>
      </c>
      <c r="BI55" s="83">
        <f t="shared" ca="1" si="131"/>
        <v>2.606485081176654</v>
      </c>
      <c r="BJ55" s="83">
        <f t="shared" ca="1" si="132"/>
        <v>0.1951181055162311</v>
      </c>
      <c r="BK55" s="83">
        <f t="shared" ca="1" si="133"/>
        <v>0.6754088267869538</v>
      </c>
      <c r="BL55" s="83">
        <f t="shared" ca="1" si="134"/>
        <v>0.25515444567507145</v>
      </c>
      <c r="BM55" s="83">
        <f t="shared" ca="1" si="135"/>
        <v>1.5365855914207509</v>
      </c>
      <c r="BN55" s="83">
        <f t="shared" ca="1" si="136"/>
        <v>3.8254208402667924</v>
      </c>
      <c r="BO55" s="83">
        <f t="shared" ca="1" si="137"/>
        <v>0.5065566200902154</v>
      </c>
      <c r="BP55" s="83">
        <f t="shared" ca="1" si="138"/>
        <v>1.065645037819416</v>
      </c>
      <c r="BQ55" s="83">
        <f t="shared" ca="1" si="139"/>
        <v>0.9155541874223152</v>
      </c>
      <c r="BR55" s="83">
        <f t="shared" ca="1" si="140"/>
        <v>2.2922834232670222</v>
      </c>
      <c r="BS55" s="83">
        <f t="shared" ca="1" si="141"/>
        <v>3.2935165559996937</v>
      </c>
      <c r="BT55" s="83">
        <f t="shared" ca="1" si="142"/>
        <v>0.45402482245123005</v>
      </c>
      <c r="BU55" s="83">
        <f t="shared" ca="1" si="143"/>
        <v>1.065645037819416</v>
      </c>
      <c r="BV55" s="83">
        <f t="shared" ca="1" si="144"/>
        <v>0.9155541874223152</v>
      </c>
      <c r="BW55" s="83">
        <f t="shared" ca="1" si="145"/>
        <v>3.1789688792999797</v>
      </c>
      <c r="BX55" s="83">
        <f t="shared" ca="1" si="146"/>
        <v>2.6562827776351314</v>
      </c>
      <c r="BY55" s="83">
        <f t="shared" ca="1" si="147"/>
        <v>0.5553361464692731</v>
      </c>
      <c r="BZ55" s="83">
        <f t="shared" ca="1" si="148"/>
        <v>2.0454221315305734</v>
      </c>
      <c r="CA55" s="83">
        <f t="shared" ca="1" si="149"/>
        <v>2.4459333264222387</v>
      </c>
      <c r="CB55" s="83">
        <f t="shared" ca="1" si="150"/>
        <v>7.1400574386783893</v>
      </c>
      <c r="CC55" s="83">
        <f t="shared" ca="1" si="151"/>
        <v>2.4459333264222387</v>
      </c>
      <c r="CD55" s="83">
        <f t="shared" ca="1" si="152"/>
        <v>3.6367174021901767</v>
      </c>
      <c r="CE55" s="83">
        <f t="shared" ca="1" si="153"/>
        <v>10.136859354840777</v>
      </c>
      <c r="CF55" s="83">
        <f t="shared" ca="1" si="154"/>
        <v>3.6367174021901767</v>
      </c>
      <c r="CG55" s="83">
        <f t="shared" ca="1" si="155"/>
        <v>1.2594963864104516</v>
      </c>
    </row>
    <row r="56" spans="1:85" x14ac:dyDescent="0.25">
      <c r="A56" t="str">
        <f t="shared" ref="A56:E56" si="190">A22</f>
        <v>K. Helms</v>
      </c>
      <c r="B56">
        <f t="shared" si="190"/>
        <v>35</v>
      </c>
      <c r="C56">
        <f t="shared" ca="1" si="190"/>
        <v>38</v>
      </c>
      <c r="D56" t="str">
        <f t="shared" si="190"/>
        <v>TEC</v>
      </c>
      <c r="E56" s="273">
        <f t="shared" si="190"/>
        <v>36526</v>
      </c>
      <c r="F56" s="200">
        <f t="shared" si="77"/>
        <v>1.5</v>
      </c>
      <c r="G56" s="201">
        <f t="shared" ref="G56:H56" si="191">J22</f>
        <v>13.5</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201">
        <f t="shared" si="85"/>
        <v>3.7687878787878786</v>
      </c>
      <c r="P56" s="201">
        <f t="shared" si="86"/>
        <v>15.502716837831953</v>
      </c>
      <c r="Q56" s="201">
        <f t="shared" si="87"/>
        <v>0.73750000000000004</v>
      </c>
      <c r="R56" s="201">
        <f t="shared" si="88"/>
        <v>0.8300121212121212</v>
      </c>
      <c r="S56" s="201">
        <f t="shared" ca="1" si="89"/>
        <v>20.507111691326674</v>
      </c>
      <c r="T56" s="83">
        <f t="shared" si="90"/>
        <v>4.626292142891824</v>
      </c>
      <c r="U56" s="83">
        <f t="shared" si="91"/>
        <v>6.9635599813815254</v>
      </c>
      <c r="V56" s="83">
        <f t="shared" si="92"/>
        <v>4.626292142891824</v>
      </c>
      <c r="W56" s="83">
        <f t="shared" si="93"/>
        <v>5.2928259963609277</v>
      </c>
      <c r="X56" s="83">
        <f t="shared" si="94"/>
        <v>10.257414721629704</v>
      </c>
      <c r="Y56" s="83">
        <f t="shared" si="95"/>
        <v>2.6464129981804638</v>
      </c>
      <c r="Z56" s="83">
        <f t="shared" si="96"/>
        <v>3.2384925825357493</v>
      </c>
      <c r="AA56" s="83">
        <f t="shared" si="97"/>
        <v>3.8773027647760281</v>
      </c>
      <c r="AB56" s="83">
        <f t="shared" si="98"/>
        <v>7.4161108437382763</v>
      </c>
      <c r="AC56" s="83">
        <f t="shared" si="99"/>
        <v>1.938651382388014</v>
      </c>
      <c r="AD56" s="83">
        <f t="shared" si="100"/>
        <v>5.2387380011607716</v>
      </c>
      <c r="AE56" s="337">
        <f t="shared" si="101"/>
        <v>9.4368215438993275</v>
      </c>
      <c r="AF56" s="83">
        <f t="shared" si="102"/>
        <v>4.2465696947546974</v>
      </c>
      <c r="AG56" s="83">
        <f t="shared" si="103"/>
        <v>2.2723876524515556</v>
      </c>
      <c r="AH56" s="337">
        <f t="shared" si="104"/>
        <v>9.3827816745000838</v>
      </c>
      <c r="AI56" s="83">
        <f t="shared" si="105"/>
        <v>7.7340907001087968</v>
      </c>
      <c r="AJ56" s="83">
        <f t="shared" si="106"/>
        <v>7.2622496229138305</v>
      </c>
      <c r="AK56" s="83">
        <f t="shared" si="107"/>
        <v>3.5081876524515549</v>
      </c>
      <c r="AL56" s="83">
        <f t="shared" si="108"/>
        <v>1.9514590761929913</v>
      </c>
      <c r="AM56" s="83">
        <f t="shared" si="109"/>
        <v>2.7695019748400203</v>
      </c>
      <c r="AN56" s="83">
        <f t="shared" si="110"/>
        <v>6.0929043446480442</v>
      </c>
      <c r="AO56" s="83">
        <f t="shared" si="111"/>
        <v>1.3847509874200101</v>
      </c>
      <c r="AP56" s="83">
        <f t="shared" si="112"/>
        <v>12.845113436612385</v>
      </c>
      <c r="AQ56" s="83">
        <f t="shared" si="113"/>
        <v>1.6844245198724677</v>
      </c>
      <c r="AR56" s="83">
        <f t="shared" si="114"/>
        <v>2.7584337255587155</v>
      </c>
      <c r="AS56" s="83">
        <f t="shared" si="115"/>
        <v>0.84221225993623383</v>
      </c>
      <c r="AT56" s="83">
        <f t="shared" si="116"/>
        <v>1.938651382388014</v>
      </c>
      <c r="AU56" s="83">
        <f t="shared" si="117"/>
        <v>4.1029658886518821</v>
      </c>
      <c r="AV56" s="83">
        <f t="shared" si="118"/>
        <v>0.96932569119400702</v>
      </c>
      <c r="AW56" s="83">
        <f t="shared" si="119"/>
        <v>13.607111691326679</v>
      </c>
      <c r="AX56" s="83">
        <f t="shared" si="120"/>
        <v>3.2781492579056484</v>
      </c>
      <c r="AY56" s="83">
        <f t="shared" si="121"/>
        <v>5.8793685419209973</v>
      </c>
      <c r="AZ56" s="83">
        <f t="shared" si="122"/>
        <v>1.6390746289528242</v>
      </c>
      <c r="BA56" s="83">
        <f t="shared" si="123"/>
        <v>2.9849076839942437</v>
      </c>
      <c r="BB56" s="83">
        <f t="shared" si="124"/>
        <v>3.5695803231271368</v>
      </c>
      <c r="BC56" s="83">
        <f t="shared" si="125"/>
        <v>11.987865400058805</v>
      </c>
      <c r="BD56" s="83">
        <f t="shared" si="126"/>
        <v>13.240872293589412</v>
      </c>
      <c r="BE56" s="83">
        <f t="shared" si="127"/>
        <v>3.1226639176097284</v>
      </c>
      <c r="BF56" s="83">
        <f t="shared" si="128"/>
        <v>4.9748461399904063</v>
      </c>
      <c r="BG56" s="83">
        <f t="shared" si="129"/>
        <v>2.7079574865102423</v>
      </c>
      <c r="BH56" s="83">
        <f t="shared" si="130"/>
        <v>5.1843095543954645</v>
      </c>
      <c r="BI56" s="83">
        <f t="shared" si="131"/>
        <v>13.343515618219515</v>
      </c>
      <c r="BJ56" s="83">
        <f t="shared" si="132"/>
        <v>0.673769807948987</v>
      </c>
      <c r="BK56" s="83">
        <f t="shared" si="133"/>
        <v>1.8463346498933466</v>
      </c>
      <c r="BL56" s="83">
        <f t="shared" si="134"/>
        <v>0.6975042010708199</v>
      </c>
      <c r="BM56" s="83">
        <f t="shared" si="135"/>
        <v>4.1501690658546373</v>
      </c>
      <c r="BN56" s="83">
        <f t="shared" si="136"/>
        <v>19.662845635046104</v>
      </c>
      <c r="BO56" s="83">
        <f t="shared" si="137"/>
        <v>1.7492100783291011</v>
      </c>
      <c r="BP56" s="83">
        <f t="shared" si="138"/>
        <v>2.9131057809428356</v>
      </c>
      <c r="BQ56" s="83">
        <f t="shared" si="139"/>
        <v>2.5028091920776476</v>
      </c>
      <c r="BR56" s="83">
        <f t="shared" si="140"/>
        <v>6.191235819553639</v>
      </c>
      <c r="BS56" s="83">
        <f t="shared" si="141"/>
        <v>16.948479753989954</v>
      </c>
      <c r="BT56" s="83">
        <f t="shared" si="142"/>
        <v>1.5678105146505275</v>
      </c>
      <c r="BU56" s="83">
        <f t="shared" si="143"/>
        <v>2.9131057809428356</v>
      </c>
      <c r="BV56" s="83">
        <f t="shared" si="144"/>
        <v>2.5028091920776476</v>
      </c>
      <c r="BW56" s="83">
        <f t="shared" si="145"/>
        <v>8.5860874772271352</v>
      </c>
      <c r="BX56" s="83">
        <f t="shared" si="146"/>
        <v>13.702614963737371</v>
      </c>
      <c r="BY56" s="83">
        <f t="shared" si="147"/>
        <v>1.9176525303163476</v>
      </c>
      <c r="BZ56" s="83">
        <f t="shared" si="148"/>
        <v>5.5244873466786322</v>
      </c>
      <c r="CA56" s="83">
        <f t="shared" si="149"/>
        <v>7.4752241264873307</v>
      </c>
      <c r="CB56" s="83">
        <f t="shared" si="150"/>
        <v>11.091707764433835</v>
      </c>
      <c r="CC56" s="83">
        <f t="shared" si="151"/>
        <v>7.4752241264873307</v>
      </c>
      <c r="CD56" s="83">
        <f t="shared" si="152"/>
        <v>7.0452805836965178</v>
      </c>
      <c r="CE56" s="83">
        <f t="shared" si="153"/>
        <v>11.738285905426217</v>
      </c>
      <c r="CF56" s="83">
        <f t="shared" si="154"/>
        <v>7.0452805836965178</v>
      </c>
      <c r="CG56" s="83">
        <f t="shared" si="155"/>
        <v>3.4017779228316698</v>
      </c>
    </row>
    <row r="57" spans="1:85" x14ac:dyDescent="0.25">
      <c r="A57" t="str">
        <f t="shared" ref="A57:E57" si="192">A23</f>
        <v>S. Zobbe</v>
      </c>
      <c r="B57">
        <f t="shared" si="192"/>
        <v>32</v>
      </c>
      <c r="C57">
        <f t="shared" ca="1" si="192"/>
        <v>53</v>
      </c>
      <c r="D57" t="str">
        <f t="shared" si="192"/>
        <v>CAB</v>
      </c>
      <c r="E57" s="273">
        <f t="shared" si="192"/>
        <v>36526</v>
      </c>
      <c r="F57" s="200">
        <f t="shared" si="77"/>
        <v>1.5</v>
      </c>
      <c r="G57" s="201">
        <f t="shared" ref="G57:H57" si="193">J23</f>
        <v>13</v>
      </c>
      <c r="H57" s="49">
        <f t="shared" si="193"/>
        <v>0</v>
      </c>
      <c r="I57" s="49">
        <f t="shared" si="79"/>
        <v>8.3599999999999977</v>
      </c>
      <c r="J57" s="49">
        <f t="shared" si="80"/>
        <v>12.253412698412699</v>
      </c>
      <c r="K57" s="49">
        <f t="shared" si="81"/>
        <v>12.95</v>
      </c>
      <c r="L57" s="49">
        <f t="shared" si="82"/>
        <v>10.24</v>
      </c>
      <c r="M57" s="49">
        <f t="shared" si="83"/>
        <v>6.95</v>
      </c>
      <c r="N57" s="49">
        <f t="shared" si="84"/>
        <v>16</v>
      </c>
      <c r="O57" s="201">
        <f t="shared" si="85"/>
        <v>3.9799999999999995</v>
      </c>
      <c r="P57" s="201">
        <f t="shared" si="86"/>
        <v>19.334419744797479</v>
      </c>
      <c r="Q57" s="201">
        <f t="shared" si="87"/>
        <v>0.82750000000000001</v>
      </c>
      <c r="R57" s="201">
        <f t="shared" si="88"/>
        <v>0.81439999999999979</v>
      </c>
      <c r="S57" s="201">
        <f t="shared" ca="1" si="89"/>
        <v>18.485257803075783</v>
      </c>
      <c r="T57" s="83">
        <f t="shared" si="90"/>
        <v>4.9134900620851578</v>
      </c>
      <c r="U57" s="83">
        <f t="shared" si="91"/>
        <v>7.4069678237708345</v>
      </c>
      <c r="V57" s="83">
        <f t="shared" si="92"/>
        <v>4.9134900620851578</v>
      </c>
      <c r="W57" s="83">
        <f t="shared" si="93"/>
        <v>5.8541530263871024</v>
      </c>
      <c r="X57" s="83">
        <f t="shared" si="94"/>
        <v>11.34525780307578</v>
      </c>
      <c r="Y57" s="83">
        <f t="shared" si="95"/>
        <v>2.9270765131935512</v>
      </c>
      <c r="Z57" s="83">
        <f t="shared" si="96"/>
        <v>3.6268035793542586</v>
      </c>
      <c r="AA57" s="83">
        <f t="shared" si="97"/>
        <v>4.288507449562645</v>
      </c>
      <c r="AB57" s="83">
        <f t="shared" si="98"/>
        <v>8.2026213916237882</v>
      </c>
      <c r="AC57" s="83">
        <f t="shared" si="99"/>
        <v>2.1442537247813225</v>
      </c>
      <c r="AD57" s="83">
        <f t="shared" si="100"/>
        <v>5.8668881430730657</v>
      </c>
      <c r="AE57" s="337">
        <f t="shared" si="101"/>
        <v>10.437637178829718</v>
      </c>
      <c r="AF57" s="83">
        <f t="shared" si="102"/>
        <v>4.6969367304733725</v>
      </c>
      <c r="AG57" s="83">
        <f t="shared" si="103"/>
        <v>2.5448579737485768</v>
      </c>
      <c r="AH57" s="337">
        <f t="shared" si="104"/>
        <v>9.3699315882085585</v>
      </c>
      <c r="AI57" s="83">
        <f t="shared" si="105"/>
        <v>8.5543243835191376</v>
      </c>
      <c r="AJ57" s="83">
        <f t="shared" si="106"/>
        <v>8.0324425245776521</v>
      </c>
      <c r="AK57" s="83">
        <f t="shared" si="107"/>
        <v>3.1705380531136558</v>
      </c>
      <c r="AL57" s="83">
        <f t="shared" si="108"/>
        <v>2.005994247285825</v>
      </c>
      <c r="AM57" s="83">
        <f t="shared" si="109"/>
        <v>3.0632196068304607</v>
      </c>
      <c r="AN57" s="83">
        <f t="shared" si="110"/>
        <v>6.7390831350270135</v>
      </c>
      <c r="AO57" s="83">
        <f t="shared" si="111"/>
        <v>1.5316098034152303</v>
      </c>
      <c r="AP57" s="83">
        <f t="shared" si="112"/>
        <v>14.385304953405127</v>
      </c>
      <c r="AQ57" s="83">
        <f t="shared" si="113"/>
        <v>1.7192835143998517</v>
      </c>
      <c r="AR57" s="83">
        <f t="shared" si="114"/>
        <v>3.3058305363012042</v>
      </c>
      <c r="AS57" s="83">
        <f t="shared" si="115"/>
        <v>0.85964175719992586</v>
      </c>
      <c r="AT57" s="83">
        <f t="shared" si="116"/>
        <v>2.1442537247813225</v>
      </c>
      <c r="AU57" s="83">
        <f t="shared" si="117"/>
        <v>4.5381031212303125</v>
      </c>
      <c r="AV57" s="83">
        <f t="shared" si="118"/>
        <v>1.0721268623906612</v>
      </c>
      <c r="AW57" s="83">
        <f t="shared" si="119"/>
        <v>15.238670501488482</v>
      </c>
      <c r="AX57" s="83">
        <f t="shared" si="120"/>
        <v>3.3459902241781729</v>
      </c>
      <c r="AY57" s="83">
        <f t="shared" si="121"/>
        <v>6.5962170494947561</v>
      </c>
      <c r="AZ57" s="83">
        <f t="shared" si="122"/>
        <v>1.6729951120890865</v>
      </c>
      <c r="BA57" s="83">
        <f t="shared" si="123"/>
        <v>3.301470020695052</v>
      </c>
      <c r="BB57" s="83">
        <f t="shared" si="124"/>
        <v>3.9481497154703713</v>
      </c>
      <c r="BC57" s="83">
        <f t="shared" si="125"/>
        <v>13.425268711811352</v>
      </c>
      <c r="BD57" s="83">
        <f t="shared" si="126"/>
        <v>13.31279418693437</v>
      </c>
      <c r="BE57" s="83">
        <f t="shared" si="127"/>
        <v>3.1872871305412636</v>
      </c>
      <c r="BF57" s="83">
        <f t="shared" si="128"/>
        <v>5.5024500344917531</v>
      </c>
      <c r="BG57" s="83">
        <f t="shared" si="129"/>
        <v>2.995148060012006</v>
      </c>
      <c r="BH57" s="83">
        <f t="shared" si="130"/>
        <v>5.8059334610671121</v>
      </c>
      <c r="BI57" s="83">
        <f t="shared" si="131"/>
        <v>13.382705319888235</v>
      </c>
      <c r="BJ57" s="83">
        <f t="shared" si="132"/>
        <v>0.68771340575994067</v>
      </c>
      <c r="BK57" s="83">
        <f t="shared" si="133"/>
        <v>2.0421464045536402</v>
      </c>
      <c r="BL57" s="83">
        <f t="shared" si="134"/>
        <v>0.77147753060915314</v>
      </c>
      <c r="BM57" s="83">
        <f t="shared" si="135"/>
        <v>4.6477945029539871</v>
      </c>
      <c r="BN57" s="83">
        <f t="shared" si="136"/>
        <v>19.717681534755457</v>
      </c>
      <c r="BO57" s="83">
        <f t="shared" si="137"/>
        <v>1.7854098034152308</v>
      </c>
      <c r="BP57" s="83">
        <f t="shared" si="138"/>
        <v>3.2220532160735211</v>
      </c>
      <c r="BQ57" s="83">
        <f t="shared" si="139"/>
        <v>2.7682429039504903</v>
      </c>
      <c r="BR57" s="83">
        <f t="shared" si="140"/>
        <v>6.9335950781772597</v>
      </c>
      <c r="BS57" s="83">
        <f t="shared" si="141"/>
        <v>16.995025645807967</v>
      </c>
      <c r="BT57" s="83">
        <f t="shared" si="142"/>
        <v>1.6002561941721696</v>
      </c>
      <c r="BU57" s="83">
        <f t="shared" si="143"/>
        <v>3.2220532160735211</v>
      </c>
      <c r="BV57" s="83">
        <f t="shared" si="144"/>
        <v>2.7682429039504903</v>
      </c>
      <c r="BW57" s="83">
        <f t="shared" si="145"/>
        <v>9.6156010864392325</v>
      </c>
      <c r="BX57" s="83">
        <f t="shared" si="146"/>
        <v>13.739025733752825</v>
      </c>
      <c r="BY57" s="83">
        <f t="shared" si="147"/>
        <v>1.9573381548552158</v>
      </c>
      <c r="BZ57" s="83">
        <f t="shared" si="148"/>
        <v>6.186900223604324</v>
      </c>
      <c r="CA57" s="83">
        <f t="shared" si="149"/>
        <v>6.8627693154024829</v>
      </c>
      <c r="CB57" s="83">
        <f t="shared" si="150"/>
        <v>12.973570286263332</v>
      </c>
      <c r="CC57" s="83">
        <f t="shared" si="151"/>
        <v>6.8627693154024829</v>
      </c>
      <c r="CD57" s="83">
        <f t="shared" si="152"/>
        <v>7.8528456113162122</v>
      </c>
      <c r="CE57" s="83">
        <f t="shared" si="153"/>
        <v>14.815377932410746</v>
      </c>
      <c r="CF57" s="83">
        <f t="shared" si="154"/>
        <v>7.8528456113162122</v>
      </c>
      <c r="CG57" s="83">
        <f t="shared" si="155"/>
        <v>3.8096676253721204</v>
      </c>
    </row>
    <row r="58" spans="1:85" x14ac:dyDescent="0.25">
      <c r="A58" t="str">
        <f t="shared" ref="A58:E58" si="194">A24</f>
        <v>L. Bauman</v>
      </c>
      <c r="B58">
        <f t="shared" si="194"/>
        <v>35</v>
      </c>
      <c r="C58">
        <f t="shared" ca="1" si="194"/>
        <v>53</v>
      </c>
      <c r="D58">
        <f t="shared" si="194"/>
        <v>0</v>
      </c>
      <c r="E58" s="273">
        <f t="shared" si="194"/>
        <v>36526</v>
      </c>
      <c r="F58" s="200">
        <f t="shared" si="77"/>
        <v>1.5</v>
      </c>
      <c r="G58" s="201">
        <f t="shared" ref="G58:H58" si="195">J24</f>
        <v>12</v>
      </c>
      <c r="H58" s="49">
        <f t="shared" si="195"/>
        <v>0</v>
      </c>
      <c r="I58" s="49">
        <f t="shared" si="79"/>
        <v>5.95</v>
      </c>
      <c r="J58" s="49">
        <f t="shared" si="80"/>
        <v>14.1</v>
      </c>
      <c r="K58" s="49">
        <f t="shared" si="81"/>
        <v>2.95</v>
      </c>
      <c r="L58" s="49">
        <f t="shared" si="82"/>
        <v>8.9499999999999993</v>
      </c>
      <c r="M58" s="49">
        <f t="shared" si="83"/>
        <v>5.95</v>
      </c>
      <c r="N58" s="49">
        <f t="shared" si="84"/>
        <v>16.95</v>
      </c>
      <c r="O58" s="201">
        <f t="shared" si="85"/>
        <v>3.3562499999999997</v>
      </c>
      <c r="P58" s="201">
        <f t="shared" si="86"/>
        <v>18.094487405020338</v>
      </c>
      <c r="Q58" s="201">
        <f t="shared" si="87"/>
        <v>0.80600000000000005</v>
      </c>
      <c r="R58" s="201">
        <f t="shared" si="88"/>
        <v>0.74649999999999994</v>
      </c>
      <c r="S58" s="201">
        <f t="shared" ca="1" si="89"/>
        <v>19.388908328063501</v>
      </c>
      <c r="T58" s="83">
        <f t="shared" si="90"/>
        <v>4.2078669703994356</v>
      </c>
      <c r="U58" s="83">
        <f t="shared" si="91"/>
        <v>6.322880651529978</v>
      </c>
      <c r="V58" s="83">
        <f t="shared" si="92"/>
        <v>4.2078669703994356</v>
      </c>
      <c r="W58" s="83">
        <f t="shared" si="93"/>
        <v>4.5866766972807662</v>
      </c>
      <c r="X58" s="83">
        <f t="shared" si="94"/>
        <v>8.8889083280635006</v>
      </c>
      <c r="Y58" s="83">
        <f t="shared" si="95"/>
        <v>2.2933383486403831</v>
      </c>
      <c r="Z58" s="83">
        <f t="shared" si="96"/>
        <v>4.0552601820791123</v>
      </c>
      <c r="AA58" s="83">
        <f t="shared" si="97"/>
        <v>3.3600073480080033</v>
      </c>
      <c r="AB58" s="83">
        <f t="shared" si="98"/>
        <v>6.4266807211899106</v>
      </c>
      <c r="AC58" s="83">
        <f t="shared" si="99"/>
        <v>1.6800036740040016</v>
      </c>
      <c r="AD58" s="83">
        <f t="shared" si="100"/>
        <v>6.5599797063044472</v>
      </c>
      <c r="AE58" s="337">
        <f t="shared" si="101"/>
        <v>8.1777956618184202</v>
      </c>
      <c r="AF58" s="83">
        <f t="shared" si="102"/>
        <v>3.6800080478182893</v>
      </c>
      <c r="AG58" s="83">
        <f t="shared" si="103"/>
        <v>2.8454976907866047</v>
      </c>
      <c r="AH58" s="337">
        <f t="shared" si="104"/>
        <v>3.4626780969013375</v>
      </c>
      <c r="AI58" s="83">
        <f t="shared" si="105"/>
        <v>6.7022368793598792</v>
      </c>
      <c r="AJ58" s="83">
        <f t="shared" si="106"/>
        <v>6.2933470962689579</v>
      </c>
      <c r="AK58" s="83">
        <f t="shared" si="107"/>
        <v>3.3214476907866048</v>
      </c>
      <c r="AL58" s="83">
        <f t="shared" si="108"/>
        <v>1.8130055984822875</v>
      </c>
      <c r="AM58" s="83">
        <f t="shared" si="109"/>
        <v>2.4000052485771453</v>
      </c>
      <c r="AN58" s="83">
        <f t="shared" si="110"/>
        <v>5.2800115468697193</v>
      </c>
      <c r="AO58" s="83">
        <f t="shared" si="111"/>
        <v>1.2000026242885726</v>
      </c>
      <c r="AP58" s="83">
        <f t="shared" si="112"/>
        <v>16.084729461691943</v>
      </c>
      <c r="AQ58" s="83">
        <f t="shared" si="113"/>
        <v>1.5455580826482549</v>
      </c>
      <c r="AR58" s="83">
        <f t="shared" si="114"/>
        <v>2.9644501401226053</v>
      </c>
      <c r="AS58" s="83">
        <f t="shared" si="115"/>
        <v>0.77277904132412745</v>
      </c>
      <c r="AT58" s="83">
        <f t="shared" si="116"/>
        <v>1.6800036740040016</v>
      </c>
      <c r="AU58" s="83">
        <f t="shared" si="117"/>
        <v>3.5555633312254002</v>
      </c>
      <c r="AV58" s="83">
        <f t="shared" si="118"/>
        <v>0.84000183700200082</v>
      </c>
      <c r="AW58" s="83">
        <f t="shared" si="119"/>
        <v>17.038908328063499</v>
      </c>
      <c r="AX58" s="83">
        <f t="shared" si="120"/>
        <v>3.0078938070000651</v>
      </c>
      <c r="AY58" s="83">
        <f t="shared" si="121"/>
        <v>5.9207884887629882</v>
      </c>
      <c r="AZ58" s="83">
        <f t="shared" si="122"/>
        <v>1.5039469035000326</v>
      </c>
      <c r="BA58" s="83">
        <f t="shared" si="123"/>
        <v>2.5866723234664786</v>
      </c>
      <c r="BB58" s="83">
        <f t="shared" si="124"/>
        <v>3.0933400981660979</v>
      </c>
      <c r="BC58" s="83">
        <f t="shared" si="125"/>
        <v>15.011278237023943</v>
      </c>
      <c r="BD58" s="83">
        <f t="shared" si="126"/>
        <v>7.1252395036484515</v>
      </c>
      <c r="BE58" s="83">
        <f t="shared" si="127"/>
        <v>2.865226907063303</v>
      </c>
      <c r="BF58" s="83">
        <f t="shared" si="128"/>
        <v>4.3111205391107976</v>
      </c>
      <c r="BG58" s="83">
        <f t="shared" si="129"/>
        <v>2.3466717986087642</v>
      </c>
      <c r="BH58" s="83">
        <f t="shared" si="130"/>
        <v>6.491824072992193</v>
      </c>
      <c r="BI58" s="83">
        <f t="shared" si="131"/>
        <v>6.3529058787274995</v>
      </c>
      <c r="BJ58" s="83">
        <f t="shared" si="132"/>
        <v>0.61822323305930194</v>
      </c>
      <c r="BK58" s="83">
        <f t="shared" si="133"/>
        <v>1.60000349905143</v>
      </c>
      <c r="BL58" s="83">
        <f t="shared" si="134"/>
        <v>0.60444576630831803</v>
      </c>
      <c r="BM58" s="83">
        <f t="shared" si="135"/>
        <v>5.1968670400593675</v>
      </c>
      <c r="BN58" s="83">
        <f t="shared" si="136"/>
        <v>9.289136109889661</v>
      </c>
      <c r="BO58" s="83">
        <f t="shared" si="137"/>
        <v>1.6050026242885724</v>
      </c>
      <c r="BP58" s="83">
        <f t="shared" si="138"/>
        <v>2.5244499651700338</v>
      </c>
      <c r="BQ58" s="83">
        <f t="shared" si="139"/>
        <v>2.1688936320474941</v>
      </c>
      <c r="BR58" s="83">
        <f t="shared" si="140"/>
        <v>7.7527032892688927</v>
      </c>
      <c r="BS58" s="83">
        <f t="shared" si="141"/>
        <v>7.988910427494357</v>
      </c>
      <c r="BT58" s="83">
        <f t="shared" si="142"/>
        <v>1.4385579076956834</v>
      </c>
      <c r="BU58" s="83">
        <f t="shared" si="143"/>
        <v>2.5244499651700338</v>
      </c>
      <c r="BV58" s="83">
        <f t="shared" si="144"/>
        <v>2.1688936320474941</v>
      </c>
      <c r="BW58" s="83">
        <f t="shared" si="145"/>
        <v>10.751551155008068</v>
      </c>
      <c r="BX58" s="83">
        <f t="shared" si="146"/>
        <v>6.4285729536168326</v>
      </c>
      <c r="BY58" s="83">
        <f t="shared" si="147"/>
        <v>1.7595584325533977</v>
      </c>
      <c r="BZ58" s="83">
        <f t="shared" si="148"/>
        <v>6.9177967811937808</v>
      </c>
      <c r="CA58" s="83">
        <f t="shared" si="149"/>
        <v>4.9491212389210837</v>
      </c>
      <c r="CB58" s="83">
        <f t="shared" si="150"/>
        <v>11.637910777399501</v>
      </c>
      <c r="CC58" s="83">
        <f t="shared" si="151"/>
        <v>4.9491212389210837</v>
      </c>
      <c r="CD58" s="83">
        <f t="shared" si="152"/>
        <v>5.1707898883835606</v>
      </c>
      <c r="CE58" s="83">
        <f t="shared" si="153"/>
        <v>13.275915501118931</v>
      </c>
      <c r="CF58" s="83">
        <f t="shared" si="154"/>
        <v>5.1707898883835606</v>
      </c>
      <c r="CG58" s="83">
        <f t="shared" si="155"/>
        <v>4.2597270820158748</v>
      </c>
    </row>
    <row r="59" spans="1:85" x14ac:dyDescent="0.25">
      <c r="A59" t="str">
        <f t="shared" ref="A59:E59" si="196">A25</f>
        <v>J. Limon</v>
      </c>
      <c r="B59">
        <f t="shared" si="196"/>
        <v>34</v>
      </c>
      <c r="C59">
        <f t="shared" ca="1" si="196"/>
        <v>90</v>
      </c>
      <c r="D59" t="str">
        <f t="shared" si="196"/>
        <v>RAP</v>
      </c>
      <c r="E59" s="273">
        <f t="shared" si="196"/>
        <v>36526</v>
      </c>
      <c r="F59" s="200">
        <f t="shared" si="77"/>
        <v>1.5</v>
      </c>
      <c r="G59" s="201">
        <f t="shared" ref="G59:H59" si="197">J25</f>
        <v>14.3</v>
      </c>
      <c r="H59" s="49">
        <f t="shared" si="197"/>
        <v>0</v>
      </c>
      <c r="I59" s="49">
        <f t="shared" si="79"/>
        <v>6.8376190476190493</v>
      </c>
      <c r="J59" s="49">
        <f t="shared" si="80"/>
        <v>8.9499999999999993</v>
      </c>
      <c r="K59" s="49">
        <f t="shared" si="81"/>
        <v>8.7399999999999967</v>
      </c>
      <c r="L59" s="49">
        <f t="shared" si="82"/>
        <v>9.9499999999999993</v>
      </c>
      <c r="M59" s="49">
        <f t="shared" si="83"/>
        <v>6.95</v>
      </c>
      <c r="N59" s="49">
        <f t="shared" si="84"/>
        <v>18.999999999999993</v>
      </c>
      <c r="O59" s="201">
        <f t="shared" si="85"/>
        <v>3.7172023809523811</v>
      </c>
      <c r="P59" s="201">
        <f t="shared" si="86"/>
        <v>21.106390190397043</v>
      </c>
      <c r="Q59" s="201">
        <f t="shared" si="87"/>
        <v>0.91749999999999976</v>
      </c>
      <c r="R59" s="201">
        <f t="shared" si="88"/>
        <v>0.84350476190476176</v>
      </c>
      <c r="S59" s="201">
        <f t="shared" ca="1" si="89"/>
        <v>21.540448049953408</v>
      </c>
      <c r="T59" s="83">
        <f t="shared" si="90"/>
        <v>4.5414940047521899</v>
      </c>
      <c r="U59" s="83">
        <f t="shared" si="91"/>
        <v>6.8312065277279563</v>
      </c>
      <c r="V59" s="83">
        <f t="shared" si="92"/>
        <v>4.5414940047521899</v>
      </c>
      <c r="W59" s="83">
        <f t="shared" si="93"/>
        <v>5.0970826223473926</v>
      </c>
      <c r="X59" s="83">
        <f t="shared" si="94"/>
        <v>9.8780670975724654</v>
      </c>
      <c r="Y59" s="83">
        <f t="shared" si="95"/>
        <v>2.5485413111736963</v>
      </c>
      <c r="Z59" s="83">
        <f t="shared" si="96"/>
        <v>2.8537266358889126</v>
      </c>
      <c r="AA59" s="83">
        <f t="shared" si="97"/>
        <v>3.7339093628823918</v>
      </c>
      <c r="AB59" s="83">
        <f t="shared" si="98"/>
        <v>7.1418425115448922</v>
      </c>
      <c r="AC59" s="83">
        <f t="shared" si="99"/>
        <v>1.8669546814411959</v>
      </c>
      <c r="AD59" s="83">
        <f t="shared" si="100"/>
        <v>4.6163224992320648</v>
      </c>
      <c r="AE59" s="337">
        <f t="shared" si="101"/>
        <v>9.0878217297666684</v>
      </c>
      <c r="AF59" s="83">
        <f t="shared" si="102"/>
        <v>4.0895197783950001</v>
      </c>
      <c r="AG59" s="83">
        <f t="shared" si="103"/>
        <v>2.0024048243422206</v>
      </c>
      <c r="AH59" s="337">
        <f t="shared" si="104"/>
        <v>6.9269034533726055</v>
      </c>
      <c r="AI59" s="83">
        <f t="shared" si="105"/>
        <v>7.4480625915696388</v>
      </c>
      <c r="AJ59" s="83">
        <f t="shared" si="106"/>
        <v>6.9936715050813048</v>
      </c>
      <c r="AK59" s="83">
        <f t="shared" si="107"/>
        <v>3.6807548243422192</v>
      </c>
      <c r="AL59" s="83">
        <f t="shared" si="108"/>
        <v>1.9462033241008694</v>
      </c>
      <c r="AM59" s="83">
        <f t="shared" si="109"/>
        <v>2.667078116344566</v>
      </c>
      <c r="AN59" s="83">
        <f t="shared" si="110"/>
        <v>5.8675718559580439</v>
      </c>
      <c r="AO59" s="83">
        <f t="shared" si="111"/>
        <v>1.333539058172283</v>
      </c>
      <c r="AP59" s="83">
        <f t="shared" si="112"/>
        <v>11.318982959156022</v>
      </c>
      <c r="AQ59" s="83">
        <f t="shared" si="113"/>
        <v>1.6887582464939439</v>
      </c>
      <c r="AR59" s="83">
        <f t="shared" si="114"/>
        <v>3.28720127863635</v>
      </c>
      <c r="AS59" s="83">
        <f t="shared" si="115"/>
        <v>0.84437912324697195</v>
      </c>
      <c r="AT59" s="83">
        <f t="shared" si="116"/>
        <v>1.8669546814411959</v>
      </c>
      <c r="AU59" s="83">
        <f t="shared" si="117"/>
        <v>3.9512268390289864</v>
      </c>
      <c r="AV59" s="83">
        <f t="shared" si="118"/>
        <v>0.93347734072059796</v>
      </c>
      <c r="AW59" s="83">
        <f t="shared" si="119"/>
        <v>11.990448049953415</v>
      </c>
      <c r="AX59" s="83">
        <f t="shared" si="120"/>
        <v>3.2865833566382139</v>
      </c>
      <c r="AY59" s="83">
        <f t="shared" si="121"/>
        <v>6.5277368755243321</v>
      </c>
      <c r="AZ59" s="83">
        <f t="shared" si="122"/>
        <v>1.6432916783191069</v>
      </c>
      <c r="BA59" s="83">
        <f t="shared" si="123"/>
        <v>2.8745175253935873</v>
      </c>
      <c r="BB59" s="83">
        <f t="shared" si="124"/>
        <v>3.4375673499552177</v>
      </c>
      <c r="BC59" s="83">
        <f t="shared" si="125"/>
        <v>10.563584732008959</v>
      </c>
      <c r="BD59" s="83">
        <f t="shared" si="126"/>
        <v>10.853968316408583</v>
      </c>
      <c r="BE59" s="83">
        <f t="shared" si="127"/>
        <v>3.1306979800387729</v>
      </c>
      <c r="BF59" s="83">
        <f t="shared" si="128"/>
        <v>4.7908625423226452</v>
      </c>
      <c r="BG59" s="83">
        <f t="shared" si="129"/>
        <v>2.607809713759131</v>
      </c>
      <c r="BH59" s="83">
        <f t="shared" si="130"/>
        <v>4.5683607070322507</v>
      </c>
      <c r="BI59" s="83">
        <f t="shared" si="131"/>
        <v>10.539321595659283</v>
      </c>
      <c r="BJ59" s="83">
        <f t="shared" si="132"/>
        <v>0.67550329859757752</v>
      </c>
      <c r="BK59" s="83">
        <f t="shared" si="133"/>
        <v>1.7780520775630437</v>
      </c>
      <c r="BL59" s="83">
        <f t="shared" si="134"/>
        <v>0.67170856263492773</v>
      </c>
      <c r="BM59" s="83">
        <f t="shared" si="135"/>
        <v>3.6570866552357915</v>
      </c>
      <c r="BN59" s="83">
        <f t="shared" si="136"/>
        <v>15.495716192240089</v>
      </c>
      <c r="BO59" s="83">
        <f t="shared" si="137"/>
        <v>1.753710486743711</v>
      </c>
      <c r="BP59" s="83">
        <f t="shared" si="138"/>
        <v>2.8053710557105798</v>
      </c>
      <c r="BQ59" s="83">
        <f t="shared" si="139"/>
        <v>2.4102483718076817</v>
      </c>
      <c r="BR59" s="83">
        <f t="shared" si="140"/>
        <v>5.4556538627288038</v>
      </c>
      <c r="BS59" s="83">
        <f t="shared" si="141"/>
        <v>13.347976439348383</v>
      </c>
      <c r="BT59" s="83">
        <f t="shared" si="142"/>
        <v>1.5718442140443631</v>
      </c>
      <c r="BU59" s="83">
        <f t="shared" si="143"/>
        <v>2.8053710557105798</v>
      </c>
      <c r="BV59" s="83">
        <f t="shared" si="144"/>
        <v>2.4102483718076817</v>
      </c>
      <c r="BW59" s="83">
        <f t="shared" si="145"/>
        <v>7.5659727195206044</v>
      </c>
      <c r="BX59" s="83">
        <f t="shared" si="146"/>
        <v>10.777031004708304</v>
      </c>
      <c r="BY59" s="83">
        <f t="shared" si="147"/>
        <v>1.9225863113931052</v>
      </c>
      <c r="BZ59" s="83">
        <f t="shared" si="148"/>
        <v>4.8681219082810863</v>
      </c>
      <c r="CA59" s="83">
        <f t="shared" si="149"/>
        <v>6.2127834340257282</v>
      </c>
      <c r="CB59" s="83">
        <f t="shared" si="150"/>
        <v>12.878244504247544</v>
      </c>
      <c r="CC59" s="83">
        <f t="shared" si="151"/>
        <v>6.2127834340257282</v>
      </c>
      <c r="CD59" s="83">
        <f t="shared" si="152"/>
        <v>6.9156391351209763</v>
      </c>
      <c r="CE59" s="83">
        <f t="shared" si="153"/>
        <v>14.783923380386224</v>
      </c>
      <c r="CF59" s="83">
        <f t="shared" si="154"/>
        <v>6.9156391351209763</v>
      </c>
      <c r="CG59" s="83">
        <f t="shared" si="155"/>
        <v>2.9976120124883536</v>
      </c>
    </row>
    <row r="60" spans="1:85" x14ac:dyDescent="0.25">
      <c r="A60" t="str">
        <f t="shared" ref="A60:E60" si="198">A26</f>
        <v>P .Trivadi</v>
      </c>
      <c r="B60">
        <f t="shared" si="198"/>
        <v>32</v>
      </c>
      <c r="C60">
        <f t="shared" ca="1" si="198"/>
        <v>9</v>
      </c>
      <c r="D60">
        <f t="shared" si="198"/>
        <v>0</v>
      </c>
      <c r="E60" s="273">
        <f t="shared" si="198"/>
        <v>36526</v>
      </c>
      <c r="F60" s="200">
        <f t="shared" si="77"/>
        <v>1.5</v>
      </c>
      <c r="G60" s="201">
        <f t="shared" ref="G60:H60" si="199">J26</f>
        <v>6.2</v>
      </c>
      <c r="H60" s="49">
        <f t="shared" si="199"/>
        <v>0</v>
      </c>
      <c r="I60" s="49">
        <f t="shared" si="79"/>
        <v>4.0199999999999996</v>
      </c>
      <c r="J60" s="49">
        <f t="shared" si="80"/>
        <v>5.95</v>
      </c>
      <c r="K60" s="49">
        <f t="shared" si="81"/>
        <v>5.5099999999999989</v>
      </c>
      <c r="L60" s="49">
        <f t="shared" si="82"/>
        <v>10.95</v>
      </c>
      <c r="M60" s="49">
        <f t="shared" si="83"/>
        <v>7.95</v>
      </c>
      <c r="N60" s="49">
        <f t="shared" si="84"/>
        <v>14</v>
      </c>
      <c r="O60" s="201">
        <f t="shared" si="85"/>
        <v>3.6149999999999998</v>
      </c>
      <c r="P60" s="201">
        <f t="shared" si="86"/>
        <v>18.946914178388191</v>
      </c>
      <c r="Q60" s="201">
        <f t="shared" si="87"/>
        <v>0.81750000000000012</v>
      </c>
      <c r="R60" s="201">
        <f t="shared" si="88"/>
        <v>0.58079999999999998</v>
      </c>
      <c r="S60" s="201">
        <f t="shared" ca="1" si="89"/>
        <v>16.056522252664337</v>
      </c>
      <c r="T60" s="83">
        <f t="shared" si="90"/>
        <v>3.3413639265759674</v>
      </c>
      <c r="U60" s="83">
        <f t="shared" si="91"/>
        <v>5.0089702281896606</v>
      </c>
      <c r="V60" s="83">
        <f t="shared" si="92"/>
        <v>3.3413639265759674</v>
      </c>
      <c r="W60" s="83">
        <f t="shared" si="93"/>
        <v>3.3934854823747984</v>
      </c>
      <c r="X60" s="83">
        <f t="shared" si="94"/>
        <v>6.5765222526643381</v>
      </c>
      <c r="Y60" s="83">
        <f t="shared" si="95"/>
        <v>1.6967427411873992</v>
      </c>
      <c r="Z60" s="83">
        <f t="shared" si="96"/>
        <v>2.0245522961341127</v>
      </c>
      <c r="AA60" s="83">
        <f t="shared" si="97"/>
        <v>2.4859254115071199</v>
      </c>
      <c r="AB60" s="83">
        <f t="shared" si="98"/>
        <v>4.754825588676316</v>
      </c>
      <c r="AC60" s="83">
        <f t="shared" si="99"/>
        <v>1.2429627057535599</v>
      </c>
      <c r="AD60" s="83">
        <f t="shared" si="100"/>
        <v>3.2750110672757708</v>
      </c>
      <c r="AE60" s="337">
        <f t="shared" si="101"/>
        <v>6.0504004724511917</v>
      </c>
      <c r="AF60" s="83">
        <f t="shared" si="102"/>
        <v>2.7226802126030361</v>
      </c>
      <c r="AG60" s="83">
        <f t="shared" si="103"/>
        <v>1.4205892161949447</v>
      </c>
      <c r="AH60" s="337">
        <f t="shared" si="104"/>
        <v>4.7431150845666306</v>
      </c>
      <c r="AI60" s="83">
        <f t="shared" si="105"/>
        <v>4.9586977785089106</v>
      </c>
      <c r="AJ60" s="83">
        <f t="shared" si="106"/>
        <v>4.6561777548863512</v>
      </c>
      <c r="AK60" s="83">
        <f t="shared" si="107"/>
        <v>2.7649392161949442</v>
      </c>
      <c r="AL60" s="83">
        <f t="shared" si="108"/>
        <v>1.7773984087673294</v>
      </c>
      <c r="AM60" s="83">
        <f t="shared" si="109"/>
        <v>1.7756610082193713</v>
      </c>
      <c r="AN60" s="83">
        <f t="shared" si="110"/>
        <v>3.9064542180826165</v>
      </c>
      <c r="AO60" s="83">
        <f t="shared" si="111"/>
        <v>0.88783050410968567</v>
      </c>
      <c r="AP60" s="83">
        <f t="shared" si="112"/>
        <v>8.030157006515136</v>
      </c>
      <c r="AQ60" s="83">
        <f t="shared" si="113"/>
        <v>1.7558478928463639</v>
      </c>
      <c r="AR60" s="83">
        <f t="shared" si="114"/>
        <v>3.4384110200306508</v>
      </c>
      <c r="AS60" s="83">
        <f t="shared" si="115"/>
        <v>0.87792394642318194</v>
      </c>
      <c r="AT60" s="83">
        <f t="shared" si="116"/>
        <v>1.2429627057535599</v>
      </c>
      <c r="AU60" s="83">
        <f t="shared" si="117"/>
        <v>2.6306089010657354</v>
      </c>
      <c r="AV60" s="83">
        <f t="shared" si="118"/>
        <v>0.62148135287677997</v>
      </c>
      <c r="AW60" s="83">
        <f t="shared" si="119"/>
        <v>8.5065222526643396</v>
      </c>
      <c r="AX60" s="83">
        <f t="shared" si="120"/>
        <v>3.4171501299240776</v>
      </c>
      <c r="AY60" s="83">
        <f t="shared" si="121"/>
        <v>6.8120937612180503</v>
      </c>
      <c r="AZ60" s="83">
        <f t="shared" si="122"/>
        <v>1.7085750649620388</v>
      </c>
      <c r="BA60" s="83">
        <f t="shared" si="123"/>
        <v>1.9137679755253223</v>
      </c>
      <c r="BB60" s="83">
        <f t="shared" si="124"/>
        <v>2.2886297439271894</v>
      </c>
      <c r="BC60" s="83">
        <f t="shared" si="125"/>
        <v>7.4942461045972832</v>
      </c>
      <c r="BD60" s="83">
        <f t="shared" si="126"/>
        <v>8.8847382826185957</v>
      </c>
      <c r="BE60" s="83">
        <f t="shared" si="127"/>
        <v>3.2550718628921054</v>
      </c>
      <c r="BF60" s="83">
        <f t="shared" si="128"/>
        <v>3.1896132925422038</v>
      </c>
      <c r="BG60" s="83">
        <f t="shared" si="129"/>
        <v>1.7362018747033854</v>
      </c>
      <c r="BH60" s="83">
        <f t="shared" si="130"/>
        <v>3.2409849782651134</v>
      </c>
      <c r="BI60" s="83">
        <f t="shared" si="131"/>
        <v>8.143580448828633</v>
      </c>
      <c r="BJ60" s="83">
        <f t="shared" si="132"/>
        <v>0.70233915713854556</v>
      </c>
      <c r="BK60" s="83">
        <f t="shared" si="133"/>
        <v>1.1837740054795809</v>
      </c>
      <c r="BL60" s="83">
        <f t="shared" si="134"/>
        <v>0.44720351318117502</v>
      </c>
      <c r="BM60" s="83">
        <f t="shared" si="135"/>
        <v>2.5944892870626237</v>
      </c>
      <c r="BN60" s="83">
        <f t="shared" si="136"/>
        <v>11.929387616926338</v>
      </c>
      <c r="BO60" s="83">
        <f t="shared" si="137"/>
        <v>1.8233805041096858</v>
      </c>
      <c r="BP60" s="83">
        <f t="shared" si="138"/>
        <v>1.8677323197566718</v>
      </c>
      <c r="BQ60" s="83">
        <f t="shared" si="139"/>
        <v>1.6046714296500986</v>
      </c>
      <c r="BR60" s="83">
        <f t="shared" si="140"/>
        <v>3.8704676249622745</v>
      </c>
      <c r="BS60" s="83">
        <f t="shared" si="141"/>
        <v>10.265066655952086</v>
      </c>
      <c r="BT60" s="83">
        <f t="shared" si="142"/>
        <v>1.6342891925723848</v>
      </c>
      <c r="BU60" s="83">
        <f t="shared" si="143"/>
        <v>1.8677323197566718</v>
      </c>
      <c r="BV60" s="83">
        <f t="shared" si="144"/>
        <v>1.6046714296500986</v>
      </c>
      <c r="BW60" s="83">
        <f t="shared" si="145"/>
        <v>5.3676155414311983</v>
      </c>
      <c r="BX60" s="83">
        <f t="shared" si="146"/>
        <v>8.269457416134582</v>
      </c>
      <c r="BY60" s="83">
        <f t="shared" si="147"/>
        <v>1.9989652933943218</v>
      </c>
      <c r="BZ60" s="83">
        <f t="shared" si="148"/>
        <v>3.4536480345817222</v>
      </c>
      <c r="CA60" s="83">
        <f t="shared" si="149"/>
        <v>5.87253809363812</v>
      </c>
      <c r="CB60" s="83">
        <f t="shared" si="150"/>
        <v>13.459344056500044</v>
      </c>
      <c r="CC60" s="83">
        <f t="shared" si="151"/>
        <v>5.87253809363812</v>
      </c>
      <c r="CD60" s="83">
        <f t="shared" si="152"/>
        <v>6.302323363409883</v>
      </c>
      <c r="CE60" s="83">
        <f t="shared" si="153"/>
        <v>15.490428963897479</v>
      </c>
      <c r="CF60" s="83">
        <f t="shared" si="154"/>
        <v>6.302323363409883</v>
      </c>
      <c r="CG60" s="83">
        <f t="shared" si="155"/>
        <v>2.1266305631660849</v>
      </c>
    </row>
  </sheetData>
  <mergeCells count="2">
    <mergeCell ref="A1:E1"/>
    <mergeCell ref="A35:E35"/>
  </mergeCells>
  <conditionalFormatting sqref="V3:W26">
    <cfRule type="cellIs" dxfId="59" priority="35" operator="greaterThan">
      <formula>15</formula>
    </cfRule>
  </conditionalFormatting>
  <conditionalFormatting sqref="R3:R26">
    <cfRule type="cellIs" dxfId="58" priority="34" operator="greaterThan">
      <formula>3.2</formula>
    </cfRule>
  </conditionalFormatting>
  <conditionalFormatting sqref="T3:U26">
    <cfRule type="cellIs" dxfId="57" priority="33" operator="greaterThan">
      <formula>0.6</formula>
    </cfRule>
  </conditionalFormatting>
  <conditionalFormatting sqref="AC3:AH26 BH3:BK26 BB3:BE26 AP3:AS26 X3:AA26 AJ3:AJ26 BM3:CK26 AU3:AZ26 AL3:AN26">
    <cfRule type="cellIs" dxfId="56" priority="32" operator="greaterThan">
      <formula>12.5</formula>
    </cfRule>
  </conditionalFormatting>
  <conditionalFormatting sqref="J3:J26">
    <cfRule type="cellIs" dxfId="55" priority="29" operator="greaterThan">
      <formula>7</formula>
    </cfRule>
  </conditionalFormatting>
  <conditionalFormatting sqref="AB3:AB26 AI3:AI26 AT3:AT26 BA3:BA26 BL3:BL26 BG3:BG26">
    <cfRule type="cellIs" dxfId="54"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53" priority="6" operator="greaterThan">
      <formula>15</formula>
    </cfRule>
  </conditionalFormatting>
  <conditionalFormatting sqref="O37:O60">
    <cfRule type="cellIs" dxfId="52" priority="5" operator="greaterThan">
      <formula>3.2</formula>
    </cfRule>
  </conditionalFormatting>
  <conditionalFormatting sqref="Q37:R60">
    <cfRule type="cellIs" dxfId="51" priority="4" operator="greaterThan">
      <formula>0.6</formula>
    </cfRule>
  </conditionalFormatting>
  <conditionalFormatting sqref="BI37:CG60 T37:W60 AF37:AF60 Y37:AD60 AH37:AJ60 BD37:BG60 AX37:BA60 AL37:AO60 AQ37:AV60">
    <cfRule type="cellIs" dxfId="50" priority="3" operator="greaterThan">
      <formula>12.5</formula>
    </cfRule>
  </conditionalFormatting>
  <conditionalFormatting sqref="G37:G60">
    <cfRule type="cellIs" dxfId="49" priority="2" operator="greaterThan">
      <formula>7</formula>
    </cfRule>
  </conditionalFormatting>
  <conditionalFormatting sqref="X37:X60 AP37:AP60 AW37:AW60 BH37:BH60 BC37:BC60 AE37:AE60">
    <cfRule type="cellIs" dxfId="48"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7" tint="0.39997558519241921"/>
  </sheetPr>
  <dimension ref="A1:AG81"/>
  <sheetViews>
    <sheetView tabSelected="1" zoomScale="80" zoomScaleNormal="80" workbookViewId="0">
      <pane xSplit="13" ySplit="3" topLeftCell="N4" activePane="bottomRight" state="frozen"/>
      <selection pane="topRight" activeCell="N1" sqref="N1"/>
      <selection pane="bottomLeft" activeCell="A4" sqref="A4"/>
      <selection pane="bottomRight" activeCell="J13" sqref="J13"/>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14"/>
      <c r="B1" s="514"/>
      <c r="C1" s="514"/>
      <c r="D1" s="648" t="s">
        <v>682</v>
      </c>
      <c r="E1" s="649"/>
      <c r="F1" s="649"/>
      <c r="G1" s="649"/>
      <c r="H1" s="649"/>
      <c r="I1" s="650"/>
      <c r="K1" s="514"/>
      <c r="L1" s="515"/>
      <c r="M1" s="515"/>
      <c r="N1" s="589">
        <v>43644</v>
      </c>
      <c r="O1" s="516">
        <f t="shared" ref="O1:AD1" si="0">N1+7</f>
        <v>43651</v>
      </c>
      <c r="P1" s="516">
        <f t="shared" si="0"/>
        <v>43658</v>
      </c>
      <c r="Q1" s="516">
        <f t="shared" si="0"/>
        <v>43665</v>
      </c>
      <c r="R1" s="516">
        <f t="shared" si="0"/>
        <v>43672</v>
      </c>
      <c r="S1" s="516">
        <f t="shared" si="0"/>
        <v>43679</v>
      </c>
      <c r="T1" s="516">
        <f t="shared" si="0"/>
        <v>43686</v>
      </c>
      <c r="U1" s="516">
        <f t="shared" si="0"/>
        <v>43693</v>
      </c>
      <c r="V1" s="516">
        <f t="shared" si="0"/>
        <v>43700</v>
      </c>
      <c r="W1" s="516">
        <f t="shared" si="0"/>
        <v>43707</v>
      </c>
      <c r="X1" s="516">
        <f t="shared" si="0"/>
        <v>43714</v>
      </c>
      <c r="Y1" s="516">
        <f t="shared" si="0"/>
        <v>43721</v>
      </c>
      <c r="Z1" s="516">
        <f t="shared" si="0"/>
        <v>43728</v>
      </c>
      <c r="AA1" s="516">
        <f t="shared" si="0"/>
        <v>43735</v>
      </c>
      <c r="AB1" s="516">
        <f t="shared" si="0"/>
        <v>43742</v>
      </c>
      <c r="AC1" s="516">
        <f t="shared" si="0"/>
        <v>43749</v>
      </c>
      <c r="AD1" s="516">
        <f t="shared" si="0"/>
        <v>43756</v>
      </c>
    </row>
    <row r="2" spans="1:33" x14ac:dyDescent="0.25">
      <c r="A2" s="519"/>
      <c r="B2" s="519"/>
      <c r="C2" s="519"/>
      <c r="D2" s="651" t="s">
        <v>620</v>
      </c>
      <c r="E2" s="652"/>
      <c r="F2" s="653"/>
      <c r="G2" s="653"/>
      <c r="H2" s="653"/>
      <c r="I2" s="654"/>
      <c r="K2" s="517"/>
      <c r="L2" s="517"/>
      <c r="M2" s="517" t="s">
        <v>619</v>
      </c>
      <c r="N2" s="605" t="s">
        <v>43</v>
      </c>
      <c r="O2" s="518" t="s">
        <v>28</v>
      </c>
      <c r="P2" s="518" t="s">
        <v>29</v>
      </c>
      <c r="Q2" s="518" t="s">
        <v>30</v>
      </c>
      <c r="R2" s="518" t="s">
        <v>31</v>
      </c>
      <c r="S2" s="518" t="s">
        <v>32</v>
      </c>
      <c r="T2" s="518" t="s">
        <v>33</v>
      </c>
      <c r="U2" s="518" t="s">
        <v>34</v>
      </c>
      <c r="V2" s="518" t="s">
        <v>35</v>
      </c>
      <c r="W2" s="518" t="s">
        <v>36</v>
      </c>
      <c r="X2" s="518" t="s">
        <v>37</v>
      </c>
      <c r="Y2" s="518" t="s">
        <v>38</v>
      </c>
      <c r="Z2" s="518" t="s">
        <v>39</v>
      </c>
      <c r="AA2" s="518" t="s">
        <v>40</v>
      </c>
      <c r="AB2" s="518" t="s">
        <v>41</v>
      </c>
      <c r="AC2" s="518" t="s">
        <v>42</v>
      </c>
      <c r="AD2" s="518" t="s">
        <v>43</v>
      </c>
    </row>
    <row r="3" spans="1:33" ht="18.75" x14ac:dyDescent="0.3">
      <c r="A3" s="522"/>
      <c r="B3" s="522"/>
      <c r="C3" s="522"/>
      <c r="D3" s="655" t="s">
        <v>622</v>
      </c>
      <c r="E3" s="656"/>
      <c r="F3" s="638"/>
      <c r="G3" s="657" t="s">
        <v>623</v>
      </c>
      <c r="H3" s="658"/>
      <c r="I3" s="523"/>
      <c r="K3" s="511"/>
      <c r="L3" s="520"/>
      <c r="M3" s="520" t="s">
        <v>621</v>
      </c>
      <c r="N3" s="590">
        <f>3345+6</f>
        <v>3351</v>
      </c>
      <c r="O3" s="521">
        <v>3345</v>
      </c>
      <c r="P3" s="521">
        <f>O3+O11</f>
        <v>3345</v>
      </c>
      <c r="Q3" s="521">
        <f t="shared" ref="Q3:AD3" si="1">P3+P11</f>
        <v>3345</v>
      </c>
      <c r="R3" s="521">
        <f t="shared" si="1"/>
        <v>3345</v>
      </c>
      <c r="S3" s="521">
        <f t="shared" si="1"/>
        <v>3345</v>
      </c>
      <c r="T3" s="521">
        <f t="shared" si="1"/>
        <v>3345</v>
      </c>
      <c r="U3" s="521">
        <f t="shared" si="1"/>
        <v>3345</v>
      </c>
      <c r="V3" s="521">
        <f t="shared" si="1"/>
        <v>3345</v>
      </c>
      <c r="W3" s="521">
        <f t="shared" si="1"/>
        <v>3345</v>
      </c>
      <c r="X3" s="521">
        <f t="shared" si="1"/>
        <v>3345</v>
      </c>
      <c r="Y3" s="521">
        <f t="shared" si="1"/>
        <v>3345</v>
      </c>
      <c r="Z3" s="521">
        <f t="shared" si="1"/>
        <v>3345</v>
      </c>
      <c r="AA3" s="521">
        <f t="shared" si="1"/>
        <v>3345</v>
      </c>
      <c r="AB3" s="521">
        <f t="shared" si="1"/>
        <v>3345</v>
      </c>
      <c r="AC3" s="521">
        <f t="shared" si="1"/>
        <v>3345</v>
      </c>
      <c r="AD3" s="521">
        <f t="shared" si="1"/>
        <v>3345</v>
      </c>
    </row>
    <row r="4" spans="1:33" ht="18.75" x14ac:dyDescent="0.3">
      <c r="A4" s="522"/>
      <c r="B4" s="522"/>
      <c r="C4" s="522"/>
      <c r="D4" s="532"/>
      <c r="E4" s="542"/>
      <c r="F4" s="574"/>
      <c r="G4" s="528"/>
      <c r="H4" s="574"/>
      <c r="I4" s="529"/>
      <c r="K4" s="606" t="s">
        <v>677</v>
      </c>
      <c r="L4" s="606"/>
      <c r="M4" s="607">
        <f>10164100+500000</f>
        <v>10664100</v>
      </c>
      <c r="N4" s="608">
        <f>M4</f>
        <v>10664100</v>
      </c>
      <c r="O4" s="608">
        <f>N4-N13+N23</f>
        <v>10164100</v>
      </c>
      <c r="P4" s="608">
        <f t="shared" ref="P4:AD4" si="2">O4-O13+O23</f>
        <v>9664100</v>
      </c>
      <c r="Q4" s="608">
        <f t="shared" si="2"/>
        <v>9164100</v>
      </c>
      <c r="R4" s="608">
        <f t="shared" si="2"/>
        <v>8664100</v>
      </c>
      <c r="S4" s="608">
        <f t="shared" si="2"/>
        <v>8164100</v>
      </c>
      <c r="T4" s="608">
        <f t="shared" si="2"/>
        <v>7664100</v>
      </c>
      <c r="U4" s="608">
        <f t="shared" si="2"/>
        <v>7164100</v>
      </c>
      <c r="V4" s="608">
        <f t="shared" si="2"/>
        <v>6664100</v>
      </c>
      <c r="W4" s="608">
        <f t="shared" si="2"/>
        <v>6164100</v>
      </c>
      <c r="X4" s="608">
        <f t="shared" si="2"/>
        <v>5664100</v>
      </c>
      <c r="Y4" s="608">
        <f t="shared" si="2"/>
        <v>5164100</v>
      </c>
      <c r="Z4" s="608">
        <f t="shared" si="2"/>
        <v>4664100</v>
      </c>
      <c r="AA4" s="608">
        <f t="shared" si="2"/>
        <v>4164100</v>
      </c>
      <c r="AB4" s="608">
        <f t="shared" si="2"/>
        <v>3664100</v>
      </c>
      <c r="AC4" s="608">
        <f t="shared" si="2"/>
        <v>3164100</v>
      </c>
      <c r="AD4" s="608">
        <f t="shared" si="2"/>
        <v>2664100</v>
      </c>
    </row>
    <row r="5" spans="1:33" ht="18.75" x14ac:dyDescent="0.3">
      <c r="A5" s="527"/>
      <c r="B5" s="527"/>
      <c r="C5" s="527"/>
      <c r="D5" s="532" t="s">
        <v>626</v>
      </c>
      <c r="E5" s="533">
        <f>SUM(E6:E8)</f>
        <v>8627340</v>
      </c>
      <c r="F5" s="612">
        <f>E5/E35</f>
        <v>0.11901585068079294</v>
      </c>
      <c r="G5" s="532" t="s">
        <v>627</v>
      </c>
      <c r="H5" s="622">
        <f>H6+H7</f>
        <v>63454367</v>
      </c>
      <c r="I5" s="534">
        <f>H5/$H$35</f>
        <v>0.87536546234601109</v>
      </c>
      <c r="K5" s="524" t="s">
        <v>624</v>
      </c>
      <c r="L5" s="524"/>
      <c r="M5" s="525">
        <f>16859431-5919847+1711665-500000</f>
        <v>12151249</v>
      </c>
      <c r="N5" s="526">
        <f>M5</f>
        <v>12151249</v>
      </c>
      <c r="O5" s="526">
        <f t="shared" ref="O5:AD5" si="3">N26</f>
        <v>16859431</v>
      </c>
      <c r="P5" s="526">
        <f t="shared" si="3"/>
        <v>17668390</v>
      </c>
      <c r="Q5" s="526">
        <f t="shared" si="3"/>
        <v>18177349</v>
      </c>
      <c r="R5" s="526">
        <f t="shared" si="3"/>
        <v>18986308</v>
      </c>
      <c r="S5" s="526">
        <f t="shared" si="3"/>
        <v>19505267</v>
      </c>
      <c r="T5" s="526">
        <f t="shared" si="3"/>
        <v>20294226</v>
      </c>
      <c r="U5" s="526">
        <f t="shared" si="3"/>
        <v>20783185</v>
      </c>
      <c r="V5" s="526">
        <f t="shared" si="3"/>
        <v>21572144</v>
      </c>
      <c r="W5" s="526">
        <f t="shared" si="3"/>
        <v>22061103</v>
      </c>
      <c r="X5" s="526">
        <f t="shared" si="3"/>
        <v>22850062</v>
      </c>
      <c r="Y5" s="526">
        <f t="shared" si="3"/>
        <v>23339021</v>
      </c>
      <c r="Z5" s="526">
        <f t="shared" si="3"/>
        <v>24127980</v>
      </c>
      <c r="AA5" s="526">
        <f t="shared" si="3"/>
        <v>24616939</v>
      </c>
      <c r="AB5" s="526">
        <f t="shared" si="3"/>
        <v>25405898</v>
      </c>
      <c r="AC5" s="526">
        <f t="shared" si="3"/>
        <v>25894857</v>
      </c>
      <c r="AD5" s="526">
        <f t="shared" si="3"/>
        <v>26383816</v>
      </c>
    </row>
    <row r="6" spans="1:33" x14ac:dyDescent="0.25">
      <c r="A6" s="530" t="str">
        <f t="shared" ref="A6:A13" si="4">L6</f>
        <v>Taquillas</v>
      </c>
      <c r="B6" s="531">
        <f t="shared" ref="B6:B13" si="5">M6/$M$14</f>
        <v>0.13485674597950878</v>
      </c>
      <c r="D6" s="535" t="s">
        <v>629</v>
      </c>
      <c r="E6" s="536">
        <v>4158040</v>
      </c>
      <c r="F6" s="613">
        <f>E6/E35</f>
        <v>5.7360978907144533E-2</v>
      </c>
      <c r="G6" s="537" t="s">
        <v>630</v>
      </c>
      <c r="H6" s="623">
        <v>300000</v>
      </c>
      <c r="I6" s="538">
        <f>H6/$H$35</f>
        <v>4.1385589537722969E-3</v>
      </c>
      <c r="K6" s="586" t="s">
        <v>625</v>
      </c>
      <c r="L6" s="586" t="s">
        <v>625</v>
      </c>
      <c r="M6" s="603">
        <f t="shared" ref="M6:M25" si="6">SUM(N6:AD6)</f>
        <v>2697384</v>
      </c>
      <c r="N6" s="587">
        <v>27384</v>
      </c>
      <c r="O6" s="587">
        <f>300000+50000</f>
        <v>350000</v>
      </c>
      <c r="P6" s="587">
        <v>50000</v>
      </c>
      <c r="Q6" s="587">
        <v>350000</v>
      </c>
      <c r="R6" s="587">
        <v>60000</v>
      </c>
      <c r="S6" s="587">
        <v>330000</v>
      </c>
      <c r="T6" s="587">
        <v>30000</v>
      </c>
      <c r="U6" s="587">
        <v>330000</v>
      </c>
      <c r="V6" s="587">
        <v>30000</v>
      </c>
      <c r="W6" s="587">
        <v>330000</v>
      </c>
      <c r="X6" s="587">
        <v>30000</v>
      </c>
      <c r="Y6" s="587">
        <v>330000</v>
      </c>
      <c r="Z6" s="587">
        <v>30000</v>
      </c>
      <c r="AA6" s="587">
        <v>330000</v>
      </c>
      <c r="AB6" s="587">
        <v>30000</v>
      </c>
      <c r="AC6" s="587">
        <v>30000</v>
      </c>
      <c r="AD6" s="587">
        <v>30000</v>
      </c>
    </row>
    <row r="7" spans="1:33" x14ac:dyDescent="0.25">
      <c r="A7" s="530" t="str">
        <f t="shared" si="4"/>
        <v>Patrocinadores</v>
      </c>
      <c r="B7" s="531">
        <f t="shared" si="5"/>
        <v>0.15752765232130814</v>
      </c>
      <c r="D7" s="535" t="s">
        <v>633</v>
      </c>
      <c r="E7" s="536">
        <f>1916000+300+2553000</f>
        <v>4469300</v>
      </c>
      <c r="F7" s="613">
        <f>E7/E35</f>
        <v>6.1654871773648416E-2</v>
      </c>
      <c r="G7" s="537" t="s">
        <v>634</v>
      </c>
      <c r="H7" s="623">
        <f>63609618-455251</f>
        <v>63154367</v>
      </c>
      <c r="I7" s="538">
        <f>H7/$H$35</f>
        <v>0.87122690339223885</v>
      </c>
      <c r="K7" s="586" t="s">
        <v>628</v>
      </c>
      <c r="L7" s="586" t="s">
        <v>628</v>
      </c>
      <c r="M7" s="603">
        <f t="shared" si="6"/>
        <v>3150844</v>
      </c>
      <c r="N7" s="588">
        <v>270844</v>
      </c>
      <c r="O7" s="588">
        <v>180000</v>
      </c>
      <c r="P7" s="588">
        <f>O7</f>
        <v>180000</v>
      </c>
      <c r="Q7" s="588">
        <f t="shared" ref="Q7:AD7" si="7">P7</f>
        <v>180000</v>
      </c>
      <c r="R7" s="588">
        <f t="shared" si="7"/>
        <v>180000</v>
      </c>
      <c r="S7" s="588">
        <f t="shared" si="7"/>
        <v>180000</v>
      </c>
      <c r="T7" s="588">
        <f t="shared" si="7"/>
        <v>180000</v>
      </c>
      <c r="U7" s="588">
        <f t="shared" si="7"/>
        <v>180000</v>
      </c>
      <c r="V7" s="588">
        <f t="shared" si="7"/>
        <v>180000</v>
      </c>
      <c r="W7" s="588">
        <f t="shared" si="7"/>
        <v>180000</v>
      </c>
      <c r="X7" s="588">
        <f t="shared" si="7"/>
        <v>180000</v>
      </c>
      <c r="Y7" s="588">
        <f t="shared" si="7"/>
        <v>180000</v>
      </c>
      <c r="Z7" s="588">
        <f t="shared" si="7"/>
        <v>180000</v>
      </c>
      <c r="AA7" s="588">
        <f t="shared" si="7"/>
        <v>180000</v>
      </c>
      <c r="AB7" s="588">
        <f t="shared" si="7"/>
        <v>180000</v>
      </c>
      <c r="AC7" s="588">
        <f t="shared" si="7"/>
        <v>180000</v>
      </c>
      <c r="AD7" s="588">
        <f t="shared" si="7"/>
        <v>180000</v>
      </c>
    </row>
    <row r="8" spans="1:33" x14ac:dyDescent="0.25">
      <c r="A8" s="530" t="str">
        <f t="shared" si="4"/>
        <v>Ventas</v>
      </c>
      <c r="B8" s="531">
        <f t="shared" si="5"/>
        <v>0.1947439653947958</v>
      </c>
      <c r="D8" s="539" t="s">
        <v>636</v>
      </c>
      <c r="E8" s="540">
        <v>0</v>
      </c>
      <c r="F8" s="613">
        <f>E8/E35</f>
        <v>0</v>
      </c>
      <c r="G8" s="543"/>
      <c r="H8" s="621"/>
      <c r="I8" s="534"/>
      <c r="K8" s="586" t="s">
        <v>631</v>
      </c>
      <c r="L8" s="586" t="s">
        <v>632</v>
      </c>
      <c r="M8" s="603">
        <f t="shared" si="6"/>
        <v>3895239</v>
      </c>
      <c r="N8" s="587">
        <f>959086+1751596+1184557</f>
        <v>3895239</v>
      </c>
      <c r="O8" s="587">
        <v>0</v>
      </c>
      <c r="P8" s="587">
        <v>0</v>
      </c>
      <c r="Q8" s="587">
        <v>0</v>
      </c>
      <c r="R8" s="587">
        <v>0</v>
      </c>
      <c r="S8" s="587">
        <v>0</v>
      </c>
      <c r="T8" s="587">
        <v>0</v>
      </c>
      <c r="U8" s="587">
        <v>0</v>
      </c>
      <c r="V8" s="587">
        <v>0</v>
      </c>
      <c r="W8" s="587">
        <v>0</v>
      </c>
      <c r="X8" s="587">
        <v>0</v>
      </c>
      <c r="Y8" s="587">
        <v>0</v>
      </c>
      <c r="Z8" s="587">
        <v>0</v>
      </c>
      <c r="AA8" s="587">
        <v>0</v>
      </c>
      <c r="AB8" s="587">
        <v>0</v>
      </c>
      <c r="AC8" s="587">
        <v>0</v>
      </c>
      <c r="AD8" s="587">
        <v>0</v>
      </c>
      <c r="AF8" s="513"/>
      <c r="AG8" s="513"/>
    </row>
    <row r="9" spans="1:33" x14ac:dyDescent="0.25">
      <c r="A9" s="530" t="str">
        <f t="shared" si="4"/>
        <v>VentasCantera</v>
      </c>
      <c r="B9" s="531">
        <f t="shared" si="5"/>
        <v>2.5790118282576605E-2</v>
      </c>
      <c r="D9" s="541"/>
      <c r="E9" s="542"/>
      <c r="F9" s="612"/>
      <c r="G9" s="543"/>
      <c r="H9" s="621"/>
      <c r="I9" s="534"/>
      <c r="K9" s="586"/>
      <c r="L9" s="586" t="s">
        <v>635</v>
      </c>
      <c r="M9" s="603">
        <f t="shared" si="6"/>
        <v>515850</v>
      </c>
      <c r="N9" s="587">
        <f>515850</f>
        <v>515850</v>
      </c>
      <c r="O9" s="587">
        <v>0</v>
      </c>
      <c r="P9" s="587">
        <v>0</v>
      </c>
      <c r="Q9" s="587">
        <v>0</v>
      </c>
      <c r="R9" s="587">
        <v>0</v>
      </c>
      <c r="S9" s="587">
        <v>0</v>
      </c>
      <c r="T9" s="587">
        <v>0</v>
      </c>
      <c r="U9" s="587">
        <v>0</v>
      </c>
      <c r="V9" s="587">
        <v>0</v>
      </c>
      <c r="W9" s="587">
        <v>0</v>
      </c>
      <c r="X9" s="587">
        <v>0</v>
      </c>
      <c r="Y9" s="587">
        <v>0</v>
      </c>
      <c r="Z9" s="587">
        <v>0</v>
      </c>
      <c r="AA9" s="587">
        <v>0</v>
      </c>
      <c r="AB9" s="587">
        <v>0</v>
      </c>
      <c r="AC9" s="587">
        <v>0</v>
      </c>
      <c r="AD9" s="587">
        <v>0</v>
      </c>
    </row>
    <row r="10" spans="1:33" x14ac:dyDescent="0.25">
      <c r="A10" s="530" t="str">
        <f t="shared" si="4"/>
        <v>Comisiones</v>
      </c>
      <c r="B10" s="531">
        <f t="shared" si="5"/>
        <v>4.5995752292275812E-3</v>
      </c>
      <c r="D10" s="532" t="s">
        <v>679</v>
      </c>
      <c r="E10" s="533">
        <f>E11+E12+E13</f>
        <v>2164100</v>
      </c>
      <c r="F10" s="612">
        <f>E10/E35</f>
        <v>2.9854184772862089E-2</v>
      </c>
      <c r="G10" s="532" t="s">
        <v>641</v>
      </c>
      <c r="H10" s="622">
        <f>SUM(H11:H16)</f>
        <v>3754312</v>
      </c>
      <c r="I10" s="534">
        <f t="shared" ref="I10:I16" si="8">H10/$H$35</f>
        <v>5.1791471809515925E-2</v>
      </c>
      <c r="K10" s="586" t="s">
        <v>637</v>
      </c>
      <c r="L10" s="586" t="s">
        <v>637</v>
      </c>
      <c r="M10" s="603">
        <f t="shared" si="6"/>
        <v>92000</v>
      </c>
      <c r="N10" s="588">
        <v>60000</v>
      </c>
      <c r="O10" s="588">
        <v>2000</v>
      </c>
      <c r="P10" s="588">
        <f>O10</f>
        <v>2000</v>
      </c>
      <c r="Q10" s="588">
        <f t="shared" ref="Q10:AD10" si="9">P10</f>
        <v>2000</v>
      </c>
      <c r="R10" s="588">
        <f t="shared" si="9"/>
        <v>2000</v>
      </c>
      <c r="S10" s="588">
        <f t="shared" si="9"/>
        <v>2000</v>
      </c>
      <c r="T10" s="588">
        <f t="shared" si="9"/>
        <v>2000</v>
      </c>
      <c r="U10" s="588">
        <f t="shared" si="9"/>
        <v>2000</v>
      </c>
      <c r="V10" s="588">
        <f t="shared" si="9"/>
        <v>2000</v>
      </c>
      <c r="W10" s="588">
        <f t="shared" si="9"/>
        <v>2000</v>
      </c>
      <c r="X10" s="588">
        <f t="shared" si="9"/>
        <v>2000</v>
      </c>
      <c r="Y10" s="588">
        <f t="shared" si="9"/>
        <v>2000</v>
      </c>
      <c r="Z10" s="588">
        <f t="shared" si="9"/>
        <v>2000</v>
      </c>
      <c r="AA10" s="588">
        <f t="shared" si="9"/>
        <v>2000</v>
      </c>
      <c r="AB10" s="588">
        <f t="shared" si="9"/>
        <v>2000</v>
      </c>
      <c r="AC10" s="588">
        <f t="shared" si="9"/>
        <v>2000</v>
      </c>
      <c r="AD10" s="588">
        <f t="shared" si="9"/>
        <v>2000</v>
      </c>
    </row>
    <row r="11" spans="1:33" x14ac:dyDescent="0.25">
      <c r="A11" s="530" t="str">
        <f t="shared" si="4"/>
        <v>Nuevos Socios</v>
      </c>
      <c r="B11" s="531">
        <f t="shared" si="5"/>
        <v>5.0260358455896598E-3</v>
      </c>
      <c r="D11" s="544" t="s">
        <v>684</v>
      </c>
      <c r="E11" s="545">
        <f>N4</f>
        <v>10664100</v>
      </c>
      <c r="F11" s="613">
        <f>E11/E35</f>
        <v>0.14711335512974383</v>
      </c>
      <c r="G11" s="567" t="s">
        <v>644</v>
      </c>
      <c r="H11" s="635">
        <v>0</v>
      </c>
      <c r="I11" s="538">
        <f t="shared" si="8"/>
        <v>0</v>
      </c>
      <c r="K11" s="661" t="s">
        <v>638</v>
      </c>
      <c r="L11" s="586" t="s">
        <v>639</v>
      </c>
      <c r="M11" s="603">
        <f t="shared" si="6"/>
        <v>100530</v>
      </c>
      <c r="N11" s="588">
        <v>100530</v>
      </c>
      <c r="O11" s="588">
        <v>0</v>
      </c>
      <c r="P11" s="588">
        <f>O11</f>
        <v>0</v>
      </c>
      <c r="Q11" s="588">
        <f t="shared" ref="Q11:AD11" si="10">P11</f>
        <v>0</v>
      </c>
      <c r="R11" s="588">
        <f t="shared" si="10"/>
        <v>0</v>
      </c>
      <c r="S11" s="588">
        <f t="shared" si="10"/>
        <v>0</v>
      </c>
      <c r="T11" s="588">
        <f t="shared" si="10"/>
        <v>0</v>
      </c>
      <c r="U11" s="588">
        <f t="shared" si="10"/>
        <v>0</v>
      </c>
      <c r="V11" s="588">
        <f t="shared" si="10"/>
        <v>0</v>
      </c>
      <c r="W11" s="588">
        <f t="shared" si="10"/>
        <v>0</v>
      </c>
      <c r="X11" s="588">
        <f t="shared" si="10"/>
        <v>0</v>
      </c>
      <c r="Y11" s="588">
        <f t="shared" si="10"/>
        <v>0</v>
      </c>
      <c r="Z11" s="588">
        <f t="shared" si="10"/>
        <v>0</v>
      </c>
      <c r="AA11" s="588">
        <f t="shared" si="10"/>
        <v>0</v>
      </c>
      <c r="AB11" s="588">
        <f t="shared" si="10"/>
        <v>0</v>
      </c>
      <c r="AC11" s="588">
        <f t="shared" si="10"/>
        <v>0</v>
      </c>
      <c r="AD11" s="588">
        <f t="shared" si="10"/>
        <v>0</v>
      </c>
    </row>
    <row r="12" spans="1:33" x14ac:dyDescent="0.25">
      <c r="A12" s="530" t="str">
        <f t="shared" si="4"/>
        <v>Premios</v>
      </c>
      <c r="B12" s="531">
        <f t="shared" si="5"/>
        <v>5.2495152072706087E-2</v>
      </c>
      <c r="D12" s="544" t="str">
        <f>L13</f>
        <v>Ing Reservas</v>
      </c>
      <c r="E12" s="545">
        <f>M13*-1</f>
        <v>-8500000</v>
      </c>
      <c r="F12" s="613">
        <f>E12/E35</f>
        <v>-0.11725917035688173</v>
      </c>
      <c r="G12" s="636" t="s">
        <v>646</v>
      </c>
      <c r="H12" s="637">
        <v>0</v>
      </c>
      <c r="I12" s="611">
        <f t="shared" si="8"/>
        <v>0</v>
      </c>
      <c r="K12" s="662"/>
      <c r="L12" s="586" t="s">
        <v>642</v>
      </c>
      <c r="M12" s="603">
        <f t="shared" si="6"/>
        <v>1050000</v>
      </c>
      <c r="N12" s="588">
        <v>1050000</v>
      </c>
      <c r="O12" s="588">
        <v>0</v>
      </c>
      <c r="P12" s="588">
        <v>0</v>
      </c>
      <c r="Q12" s="588">
        <v>0</v>
      </c>
      <c r="R12" s="588">
        <v>0</v>
      </c>
      <c r="S12" s="588">
        <v>0</v>
      </c>
      <c r="T12" s="588">
        <v>0</v>
      </c>
      <c r="U12" s="588">
        <v>0</v>
      </c>
      <c r="V12" s="588">
        <v>0</v>
      </c>
      <c r="W12" s="588">
        <v>0</v>
      </c>
      <c r="X12" s="588">
        <v>0</v>
      </c>
      <c r="Y12" s="588">
        <v>0</v>
      </c>
      <c r="Z12" s="588">
        <v>0</v>
      </c>
      <c r="AA12" s="588">
        <v>0</v>
      </c>
      <c r="AB12" s="588">
        <v>0</v>
      </c>
      <c r="AC12" s="588">
        <v>0</v>
      </c>
      <c r="AD12" s="588">
        <v>0</v>
      </c>
    </row>
    <row r="13" spans="1:33" s="602" customFormat="1" ht="18.75" x14ac:dyDescent="0.3">
      <c r="A13" s="530" t="str">
        <f t="shared" si="4"/>
        <v>Ing Reservas</v>
      </c>
      <c r="B13" s="531">
        <f t="shared" si="5"/>
        <v>0.42496075487428736</v>
      </c>
      <c r="C13" s="600"/>
      <c r="D13" s="544" t="str">
        <f>L23</f>
        <v>Pago Reservas</v>
      </c>
      <c r="E13" s="545">
        <f>M23</f>
        <v>0</v>
      </c>
      <c r="F13" s="613">
        <f>E13/E35</f>
        <v>0</v>
      </c>
      <c r="G13" s="567" t="s">
        <v>649</v>
      </c>
      <c r="H13" s="635">
        <f>515850</f>
        <v>515850</v>
      </c>
      <c r="I13" s="538">
        <f t="shared" si="8"/>
        <v>7.1162521210114639E-3</v>
      </c>
      <c r="K13" s="663"/>
      <c r="L13" s="586" t="s">
        <v>680</v>
      </c>
      <c r="M13" s="603">
        <f t="shared" si="6"/>
        <v>8500000</v>
      </c>
      <c r="N13" s="588">
        <v>500000</v>
      </c>
      <c r="O13" s="588">
        <f>N13</f>
        <v>500000</v>
      </c>
      <c r="P13" s="588">
        <f t="shared" ref="P13:AD13" si="11">O13</f>
        <v>500000</v>
      </c>
      <c r="Q13" s="588">
        <f t="shared" si="11"/>
        <v>500000</v>
      </c>
      <c r="R13" s="588">
        <f t="shared" si="11"/>
        <v>500000</v>
      </c>
      <c r="S13" s="588">
        <f t="shared" si="11"/>
        <v>500000</v>
      </c>
      <c r="T13" s="588">
        <f t="shared" si="11"/>
        <v>500000</v>
      </c>
      <c r="U13" s="588">
        <f t="shared" si="11"/>
        <v>500000</v>
      </c>
      <c r="V13" s="588">
        <f t="shared" si="11"/>
        <v>500000</v>
      </c>
      <c r="W13" s="588">
        <f t="shared" si="11"/>
        <v>500000</v>
      </c>
      <c r="X13" s="588">
        <f t="shared" si="11"/>
        <v>500000</v>
      </c>
      <c r="Y13" s="588">
        <f t="shared" si="11"/>
        <v>500000</v>
      </c>
      <c r="Z13" s="588">
        <f t="shared" si="11"/>
        <v>500000</v>
      </c>
      <c r="AA13" s="588">
        <f t="shared" si="11"/>
        <v>500000</v>
      </c>
      <c r="AB13" s="588">
        <f t="shared" si="11"/>
        <v>500000</v>
      </c>
      <c r="AC13" s="588">
        <f t="shared" si="11"/>
        <v>500000</v>
      </c>
      <c r="AD13" s="588">
        <f t="shared" si="11"/>
        <v>500000</v>
      </c>
    </row>
    <row r="14" spans="1:33" ht="18.75" x14ac:dyDescent="0.3">
      <c r="A14" s="600"/>
      <c r="B14" s="601">
        <f>SUM(B6:B13)</f>
        <v>1</v>
      </c>
      <c r="D14" s="541"/>
      <c r="E14" s="615"/>
      <c r="G14" s="567" t="s">
        <v>652</v>
      </c>
      <c r="H14" s="635">
        <f>959086-941000-910+1751596-1140-1841100+1184557-1900-1169788</f>
        <v>-60599</v>
      </c>
      <c r="I14" s="538">
        <f t="shared" si="8"/>
        <v>-8.3597511346549132E-4</v>
      </c>
      <c r="K14" s="597" t="s">
        <v>645</v>
      </c>
      <c r="L14" s="598"/>
      <c r="M14" s="604">
        <f t="shared" si="6"/>
        <v>20001847</v>
      </c>
      <c r="N14" s="599">
        <f>SUM(N6:N13)</f>
        <v>6419847</v>
      </c>
      <c r="O14" s="599">
        <f t="shared" ref="O14:AD14" si="12">SUM(O6:O13)</f>
        <v>1032000</v>
      </c>
      <c r="P14" s="599">
        <f t="shared" si="12"/>
        <v>732000</v>
      </c>
      <c r="Q14" s="599">
        <f t="shared" si="12"/>
        <v>1032000</v>
      </c>
      <c r="R14" s="599">
        <f t="shared" si="12"/>
        <v>742000</v>
      </c>
      <c r="S14" s="599">
        <f t="shared" si="12"/>
        <v>1012000</v>
      </c>
      <c r="T14" s="599">
        <f t="shared" si="12"/>
        <v>712000</v>
      </c>
      <c r="U14" s="599">
        <f t="shared" si="12"/>
        <v>1012000</v>
      </c>
      <c r="V14" s="599">
        <f t="shared" si="12"/>
        <v>712000</v>
      </c>
      <c r="W14" s="599">
        <f t="shared" si="12"/>
        <v>1012000</v>
      </c>
      <c r="X14" s="599">
        <f t="shared" si="12"/>
        <v>712000</v>
      </c>
      <c r="Y14" s="599">
        <f t="shared" si="12"/>
        <v>1012000</v>
      </c>
      <c r="Z14" s="599">
        <f t="shared" si="12"/>
        <v>712000</v>
      </c>
      <c r="AA14" s="599">
        <f t="shared" si="12"/>
        <v>1012000</v>
      </c>
      <c r="AB14" s="599">
        <f t="shared" si="12"/>
        <v>712000</v>
      </c>
      <c r="AC14" s="599">
        <f t="shared" si="12"/>
        <v>712000</v>
      </c>
      <c r="AD14" s="599">
        <f t="shared" si="12"/>
        <v>712000</v>
      </c>
    </row>
    <row r="15" spans="1:33" ht="18.75" x14ac:dyDescent="0.3">
      <c r="A15" s="659">
        <f>M14</f>
        <v>20001847</v>
      </c>
      <c r="B15" s="659"/>
      <c r="D15" s="532" t="s">
        <v>640</v>
      </c>
      <c r="E15" s="533">
        <f>SUM(E16:E19)</f>
        <v>29544464</v>
      </c>
      <c r="F15" s="612">
        <f>E15/E35</f>
        <v>0.40757168673867761</v>
      </c>
      <c r="G15" s="567" t="s">
        <v>654</v>
      </c>
      <c r="H15" s="635">
        <v>0</v>
      </c>
      <c r="I15" s="538">
        <f t="shared" si="8"/>
        <v>0</v>
      </c>
      <c r="K15" s="593" t="s">
        <v>647</v>
      </c>
      <c r="L15" s="594" t="str">
        <f>K15</f>
        <v>Sueldos</v>
      </c>
      <c r="M15" s="546">
        <f t="shared" si="6"/>
        <v>1405288</v>
      </c>
      <c r="N15" s="591">
        <v>82664</v>
      </c>
      <c r="O15" s="591">
        <f>N15</f>
        <v>82664</v>
      </c>
      <c r="P15" s="591">
        <f t="shared" ref="P15:AD15" si="13">O15</f>
        <v>82664</v>
      </c>
      <c r="Q15" s="591">
        <f t="shared" si="13"/>
        <v>82664</v>
      </c>
      <c r="R15" s="591">
        <f t="shared" si="13"/>
        <v>82664</v>
      </c>
      <c r="S15" s="591">
        <f t="shared" si="13"/>
        <v>82664</v>
      </c>
      <c r="T15" s="591">
        <f t="shared" si="13"/>
        <v>82664</v>
      </c>
      <c r="U15" s="591">
        <f t="shared" si="13"/>
        <v>82664</v>
      </c>
      <c r="V15" s="591">
        <f t="shared" si="13"/>
        <v>82664</v>
      </c>
      <c r="W15" s="591">
        <f t="shared" si="13"/>
        <v>82664</v>
      </c>
      <c r="X15" s="591">
        <f t="shared" si="13"/>
        <v>82664</v>
      </c>
      <c r="Y15" s="591">
        <f t="shared" si="13"/>
        <v>82664</v>
      </c>
      <c r="Z15" s="591">
        <f t="shared" si="13"/>
        <v>82664</v>
      </c>
      <c r="AA15" s="591">
        <f t="shared" si="13"/>
        <v>82664</v>
      </c>
      <c r="AB15" s="591">
        <f t="shared" si="13"/>
        <v>82664</v>
      </c>
      <c r="AC15" s="591">
        <f t="shared" si="13"/>
        <v>82664</v>
      </c>
      <c r="AD15" s="591">
        <f t="shared" si="13"/>
        <v>82664</v>
      </c>
    </row>
    <row r="16" spans="1:33" x14ac:dyDescent="0.25">
      <c r="D16" s="544" t="s">
        <v>643</v>
      </c>
      <c r="E16" s="545">
        <v>0</v>
      </c>
      <c r="F16" s="613">
        <f>E16/E35</f>
        <v>0</v>
      </c>
      <c r="G16" s="630" t="s">
        <v>656</v>
      </c>
      <c r="H16" s="624">
        <f>E29-H26</f>
        <v>3299061</v>
      </c>
      <c r="I16" s="538">
        <f t="shared" si="8"/>
        <v>4.5511194801969954E-2</v>
      </c>
      <c r="K16" s="593" t="s">
        <v>650</v>
      </c>
      <c r="L16" s="594" t="str">
        <f>K16</f>
        <v xml:space="preserve">Mantenimiento </v>
      </c>
      <c r="M16" s="546">
        <f t="shared" si="6"/>
        <v>834649</v>
      </c>
      <c r="N16" s="591">
        <v>49097</v>
      </c>
      <c r="O16" s="591">
        <f>N16</f>
        <v>49097</v>
      </c>
      <c r="P16" s="591">
        <f t="shared" ref="P16:AD16" si="14">O16</f>
        <v>49097</v>
      </c>
      <c r="Q16" s="591">
        <f t="shared" si="14"/>
        <v>49097</v>
      </c>
      <c r="R16" s="591">
        <f t="shared" si="14"/>
        <v>49097</v>
      </c>
      <c r="S16" s="591">
        <f t="shared" si="14"/>
        <v>49097</v>
      </c>
      <c r="T16" s="591">
        <f t="shared" si="14"/>
        <v>49097</v>
      </c>
      <c r="U16" s="591">
        <f t="shared" si="14"/>
        <v>49097</v>
      </c>
      <c r="V16" s="591">
        <f t="shared" si="14"/>
        <v>49097</v>
      </c>
      <c r="W16" s="591">
        <f t="shared" si="14"/>
        <v>49097</v>
      </c>
      <c r="X16" s="591">
        <f t="shared" si="14"/>
        <v>49097</v>
      </c>
      <c r="Y16" s="591">
        <f t="shared" si="14"/>
        <v>49097</v>
      </c>
      <c r="Z16" s="591">
        <f t="shared" si="14"/>
        <v>49097</v>
      </c>
      <c r="AA16" s="591">
        <f t="shared" si="14"/>
        <v>49097</v>
      </c>
      <c r="AB16" s="591">
        <f t="shared" si="14"/>
        <v>49097</v>
      </c>
      <c r="AC16" s="591">
        <f t="shared" si="14"/>
        <v>49097</v>
      </c>
      <c r="AD16" s="591">
        <f t="shared" si="14"/>
        <v>49097</v>
      </c>
    </row>
    <row r="17" spans="1:30" ht="15.75" customHeight="1" x14ac:dyDescent="0.25">
      <c r="D17" s="609" t="s">
        <v>640</v>
      </c>
      <c r="E17" s="610">
        <f>11662680+35000</f>
        <v>11697680</v>
      </c>
      <c r="F17" s="614">
        <f>E17/E35</f>
        <v>0.16137179434121038</v>
      </c>
      <c r="G17" s="541"/>
      <c r="H17" s="621"/>
      <c r="I17" s="550"/>
      <c r="K17" s="593" t="s">
        <v>653</v>
      </c>
      <c r="L17" s="594" t="s">
        <v>629</v>
      </c>
      <c r="M17" s="546">
        <f t="shared" si="6"/>
        <v>0</v>
      </c>
      <c r="N17" s="591">
        <v>0</v>
      </c>
      <c r="O17" s="591">
        <v>0</v>
      </c>
      <c r="P17" s="591">
        <v>0</v>
      </c>
      <c r="Q17" s="591">
        <v>0</v>
      </c>
      <c r="R17" s="591">
        <v>0</v>
      </c>
      <c r="S17" s="591">
        <v>0</v>
      </c>
      <c r="T17" s="591">
        <v>0</v>
      </c>
      <c r="U17" s="591">
        <v>0</v>
      </c>
      <c r="V17" s="591">
        <v>0</v>
      </c>
      <c r="W17" s="591">
        <v>0</v>
      </c>
      <c r="X17" s="591">
        <v>0</v>
      </c>
      <c r="Y17" s="591">
        <v>0</v>
      </c>
      <c r="Z17" s="591">
        <v>0</v>
      </c>
      <c r="AA17" s="591">
        <v>0</v>
      </c>
      <c r="AB17" s="591">
        <v>0</v>
      </c>
      <c r="AC17" s="591">
        <v>0</v>
      </c>
      <c r="AD17" s="591">
        <v>0</v>
      </c>
    </row>
    <row r="18" spans="1:30" x14ac:dyDescent="0.25">
      <c r="D18" s="544" t="s">
        <v>648</v>
      </c>
      <c r="E18" s="545">
        <f>3852540+924+1308000+870+4689000+1490+1887000+1044+740000+948+2327000+684</f>
        <v>14809500</v>
      </c>
      <c r="F18" s="613">
        <f>E18/E35</f>
        <v>0.20429996275296941</v>
      </c>
      <c r="G18" s="532" t="s">
        <v>660</v>
      </c>
      <c r="H18" s="625">
        <f>H19</f>
        <v>1488624</v>
      </c>
      <c r="I18" s="534">
        <f>H18/$H$35</f>
        <v>2.0535860613334438E-2</v>
      </c>
      <c r="K18" s="593" t="s">
        <v>655</v>
      </c>
      <c r="L18" s="594" t="str">
        <f>K18</f>
        <v>Empleados</v>
      </c>
      <c r="M18" s="546">
        <f t="shared" si="6"/>
        <v>1109760</v>
      </c>
      <c r="N18" s="591">
        <v>65280</v>
      </c>
      <c r="O18" s="591">
        <f>N18</f>
        <v>65280</v>
      </c>
      <c r="P18" s="591">
        <f t="shared" ref="P18:AD18" si="15">O18</f>
        <v>65280</v>
      </c>
      <c r="Q18" s="591">
        <f t="shared" si="15"/>
        <v>65280</v>
      </c>
      <c r="R18" s="591">
        <f t="shared" si="15"/>
        <v>65280</v>
      </c>
      <c r="S18" s="591">
        <f t="shared" si="15"/>
        <v>65280</v>
      </c>
      <c r="T18" s="591">
        <f t="shared" si="15"/>
        <v>65280</v>
      </c>
      <c r="U18" s="591">
        <f t="shared" si="15"/>
        <v>65280</v>
      </c>
      <c r="V18" s="591">
        <f t="shared" si="15"/>
        <v>65280</v>
      </c>
      <c r="W18" s="591">
        <f t="shared" si="15"/>
        <v>65280</v>
      </c>
      <c r="X18" s="591">
        <f t="shared" si="15"/>
        <v>65280</v>
      </c>
      <c r="Y18" s="591">
        <f t="shared" si="15"/>
        <v>65280</v>
      </c>
      <c r="Z18" s="591">
        <f t="shared" si="15"/>
        <v>65280</v>
      </c>
      <c r="AA18" s="591">
        <f t="shared" si="15"/>
        <v>65280</v>
      </c>
      <c r="AB18" s="591">
        <f t="shared" si="15"/>
        <v>65280</v>
      </c>
      <c r="AC18" s="591">
        <f t="shared" si="15"/>
        <v>65280</v>
      </c>
      <c r="AD18" s="591">
        <f t="shared" si="15"/>
        <v>65280</v>
      </c>
    </row>
    <row r="19" spans="1:30" x14ac:dyDescent="0.25">
      <c r="D19" s="544" t="s">
        <v>651</v>
      </c>
      <c r="E19" s="545">
        <f>1486140+2484+1548000+660</f>
        <v>3037284</v>
      </c>
      <c r="F19" s="613">
        <f>E19/E35</f>
        <v>4.1899929644497784E-2</v>
      </c>
      <c r="G19" s="551" t="s">
        <v>659</v>
      </c>
      <c r="H19" s="626">
        <f>M20</f>
        <v>1488624</v>
      </c>
      <c r="I19" s="538">
        <f>H19/$H$35</f>
        <v>2.0535860613334438E-2</v>
      </c>
      <c r="K19" s="593" t="s">
        <v>657</v>
      </c>
      <c r="L19" s="594" t="str">
        <f>K19</f>
        <v>Juveniles</v>
      </c>
      <c r="M19" s="546">
        <f t="shared" si="6"/>
        <v>340000</v>
      </c>
      <c r="N19" s="591">
        <v>20000</v>
      </c>
      <c r="O19" s="591">
        <f>N19</f>
        <v>20000</v>
      </c>
      <c r="P19" s="591">
        <f t="shared" ref="P19:AD19" si="16">O19</f>
        <v>20000</v>
      </c>
      <c r="Q19" s="591">
        <f t="shared" si="16"/>
        <v>20000</v>
      </c>
      <c r="R19" s="591">
        <f t="shared" si="16"/>
        <v>20000</v>
      </c>
      <c r="S19" s="591">
        <f t="shared" si="16"/>
        <v>20000</v>
      </c>
      <c r="T19" s="591">
        <f t="shared" si="16"/>
        <v>20000</v>
      </c>
      <c r="U19" s="591">
        <f t="shared" si="16"/>
        <v>20000</v>
      </c>
      <c r="V19" s="591">
        <f t="shared" si="16"/>
        <v>20000</v>
      </c>
      <c r="W19" s="591">
        <f t="shared" si="16"/>
        <v>20000</v>
      </c>
      <c r="X19" s="591">
        <f t="shared" si="16"/>
        <v>20000</v>
      </c>
      <c r="Y19" s="591">
        <f t="shared" si="16"/>
        <v>20000</v>
      </c>
      <c r="Z19" s="591">
        <f t="shared" si="16"/>
        <v>20000</v>
      </c>
      <c r="AA19" s="591">
        <f t="shared" si="16"/>
        <v>20000</v>
      </c>
      <c r="AB19" s="591">
        <f t="shared" si="16"/>
        <v>20000</v>
      </c>
      <c r="AC19" s="591">
        <f t="shared" si="16"/>
        <v>20000</v>
      </c>
      <c r="AD19" s="591">
        <f t="shared" si="16"/>
        <v>20000</v>
      </c>
    </row>
    <row r="20" spans="1:30" x14ac:dyDescent="0.25">
      <c r="D20" s="541"/>
      <c r="E20" s="615"/>
      <c r="F20" s="618"/>
      <c r="G20" s="547"/>
      <c r="H20" s="627"/>
      <c r="I20" s="552"/>
      <c r="K20" s="593" t="s">
        <v>658</v>
      </c>
      <c r="L20" s="594" t="s">
        <v>659</v>
      </c>
      <c r="M20" s="546">
        <f t="shared" si="6"/>
        <v>1488624</v>
      </c>
      <c r="N20" s="591">
        <f>1486140+2484</f>
        <v>1488624</v>
      </c>
      <c r="O20" s="591">
        <v>0</v>
      </c>
      <c r="P20" s="591">
        <f t="shared" ref="P20:AD20" si="17">O20</f>
        <v>0</v>
      </c>
      <c r="Q20" s="591">
        <f t="shared" si="17"/>
        <v>0</v>
      </c>
      <c r="R20" s="591">
        <f t="shared" si="17"/>
        <v>0</v>
      </c>
      <c r="S20" s="591">
        <f t="shared" si="17"/>
        <v>0</v>
      </c>
      <c r="T20" s="591">
        <f t="shared" si="17"/>
        <v>0</v>
      </c>
      <c r="U20" s="591">
        <f t="shared" si="17"/>
        <v>0</v>
      </c>
      <c r="V20" s="591">
        <f t="shared" si="17"/>
        <v>0</v>
      </c>
      <c r="W20" s="591">
        <f t="shared" si="17"/>
        <v>0</v>
      </c>
      <c r="X20" s="591">
        <f t="shared" si="17"/>
        <v>0</v>
      </c>
      <c r="Y20" s="591">
        <f t="shared" si="17"/>
        <v>0</v>
      </c>
      <c r="Z20" s="591">
        <f t="shared" si="17"/>
        <v>0</v>
      </c>
      <c r="AA20" s="591">
        <f t="shared" si="17"/>
        <v>0</v>
      </c>
      <c r="AB20" s="591">
        <f t="shared" si="17"/>
        <v>0</v>
      </c>
      <c r="AC20" s="591">
        <f t="shared" si="17"/>
        <v>0</v>
      </c>
      <c r="AD20" s="591">
        <f t="shared" si="17"/>
        <v>0</v>
      </c>
    </row>
    <row r="21" spans="1:30" x14ac:dyDescent="0.25">
      <c r="D21" s="532" t="s">
        <v>632</v>
      </c>
      <c r="E21" s="549">
        <f>E22</f>
        <v>4411089</v>
      </c>
      <c r="F21" s="612">
        <f>E21/E35</f>
        <v>6.0851839589454955E-2</v>
      </c>
      <c r="G21" s="547"/>
      <c r="H21" s="627"/>
      <c r="I21" s="552"/>
      <c r="K21" s="664" t="s">
        <v>638</v>
      </c>
      <c r="L21" s="594" t="s">
        <v>633</v>
      </c>
      <c r="M21" s="546">
        <f t="shared" si="6"/>
        <v>0</v>
      </c>
      <c r="N21" s="591">
        <v>0</v>
      </c>
      <c r="O21" s="591">
        <f>N21</f>
        <v>0</v>
      </c>
      <c r="P21" s="591">
        <f t="shared" ref="P21:AD21" si="18">O21</f>
        <v>0</v>
      </c>
      <c r="Q21" s="591">
        <f t="shared" si="18"/>
        <v>0</v>
      </c>
      <c r="R21" s="591">
        <f t="shared" si="18"/>
        <v>0</v>
      </c>
      <c r="S21" s="591">
        <f t="shared" si="18"/>
        <v>0</v>
      </c>
      <c r="T21" s="591">
        <f t="shared" si="18"/>
        <v>0</v>
      </c>
      <c r="U21" s="591">
        <f t="shared" si="18"/>
        <v>0</v>
      </c>
      <c r="V21" s="591">
        <f t="shared" si="18"/>
        <v>0</v>
      </c>
      <c r="W21" s="591">
        <f t="shared" si="18"/>
        <v>0</v>
      </c>
      <c r="X21" s="591">
        <f t="shared" si="18"/>
        <v>0</v>
      </c>
      <c r="Y21" s="591">
        <f t="shared" si="18"/>
        <v>0</v>
      </c>
      <c r="Z21" s="591">
        <f t="shared" si="18"/>
        <v>0</v>
      </c>
      <c r="AA21" s="591">
        <f t="shared" si="18"/>
        <v>0</v>
      </c>
      <c r="AB21" s="591">
        <f t="shared" si="18"/>
        <v>0</v>
      </c>
      <c r="AC21" s="591">
        <f t="shared" si="18"/>
        <v>0</v>
      </c>
      <c r="AD21" s="591">
        <f t="shared" si="18"/>
        <v>0</v>
      </c>
    </row>
    <row r="22" spans="1:30" x14ac:dyDescent="0.25">
      <c r="D22" s="544" t="s">
        <v>632</v>
      </c>
      <c r="E22" s="545">
        <f>M8+M9</f>
        <v>4411089</v>
      </c>
      <c r="F22" s="613">
        <f>E22/E35</f>
        <v>6.0851839589454955E-2</v>
      </c>
      <c r="G22" s="532" t="s">
        <v>664</v>
      </c>
      <c r="H22" s="622">
        <f>SUM(H23:H24)</f>
        <v>0</v>
      </c>
      <c r="I22" s="534">
        <f>H22/$H$35</f>
        <v>0</v>
      </c>
      <c r="K22" s="665"/>
      <c r="L22" s="594" t="s">
        <v>661</v>
      </c>
      <c r="M22" s="546">
        <f t="shared" si="6"/>
        <v>102000</v>
      </c>
      <c r="N22" s="591">
        <v>6000</v>
      </c>
      <c r="O22" s="591">
        <f>N22</f>
        <v>6000</v>
      </c>
      <c r="P22" s="591">
        <f t="shared" ref="P22:AD22" si="19">O22</f>
        <v>6000</v>
      </c>
      <c r="Q22" s="591">
        <f t="shared" si="19"/>
        <v>6000</v>
      </c>
      <c r="R22" s="591">
        <f t="shared" si="19"/>
        <v>6000</v>
      </c>
      <c r="S22" s="591">
        <f t="shared" si="19"/>
        <v>6000</v>
      </c>
      <c r="T22" s="591">
        <f t="shared" si="19"/>
        <v>6000</v>
      </c>
      <c r="U22" s="591">
        <f t="shared" si="19"/>
        <v>6000</v>
      </c>
      <c r="V22" s="591">
        <f t="shared" si="19"/>
        <v>6000</v>
      </c>
      <c r="W22" s="591">
        <f t="shared" si="19"/>
        <v>6000</v>
      </c>
      <c r="X22" s="591">
        <f t="shared" si="19"/>
        <v>6000</v>
      </c>
      <c r="Y22" s="591">
        <f t="shared" si="19"/>
        <v>6000</v>
      </c>
      <c r="Z22" s="591">
        <f t="shared" si="19"/>
        <v>6000</v>
      </c>
      <c r="AA22" s="591">
        <f t="shared" si="19"/>
        <v>6000</v>
      </c>
      <c r="AB22" s="591">
        <f t="shared" si="19"/>
        <v>6000</v>
      </c>
      <c r="AC22" s="591">
        <f t="shared" si="19"/>
        <v>6000</v>
      </c>
      <c r="AD22" s="591">
        <f t="shared" si="19"/>
        <v>6000</v>
      </c>
    </row>
    <row r="23" spans="1:30" ht="18.75" x14ac:dyDescent="0.3">
      <c r="C23" s="554"/>
      <c r="D23" s="541"/>
      <c r="E23" s="615"/>
      <c r="F23" s="618"/>
      <c r="G23" s="551" t="s">
        <v>629</v>
      </c>
      <c r="H23" s="628">
        <f>M17</f>
        <v>0</v>
      </c>
      <c r="I23" s="538">
        <f>H23/$H$35</f>
        <v>0</v>
      </c>
      <c r="K23" s="666"/>
      <c r="L23" s="594" t="s">
        <v>678</v>
      </c>
      <c r="M23" s="546">
        <f t="shared" si="6"/>
        <v>0</v>
      </c>
      <c r="N23" s="591">
        <v>0</v>
      </c>
      <c r="O23" s="591">
        <f>N23</f>
        <v>0</v>
      </c>
      <c r="P23" s="591">
        <f t="shared" ref="P23:AD24" si="20">O23</f>
        <v>0</v>
      </c>
      <c r="Q23" s="591">
        <f t="shared" si="20"/>
        <v>0</v>
      </c>
      <c r="R23" s="591">
        <f t="shared" si="20"/>
        <v>0</v>
      </c>
      <c r="S23" s="591">
        <f t="shared" si="20"/>
        <v>0</v>
      </c>
      <c r="T23" s="591">
        <f t="shared" si="20"/>
        <v>0</v>
      </c>
      <c r="U23" s="591">
        <f t="shared" si="20"/>
        <v>0</v>
      </c>
      <c r="V23" s="591">
        <f t="shared" si="20"/>
        <v>0</v>
      </c>
      <c r="W23" s="591">
        <f t="shared" si="20"/>
        <v>0</v>
      </c>
      <c r="X23" s="591">
        <f t="shared" si="20"/>
        <v>0</v>
      </c>
      <c r="Y23" s="591">
        <f t="shared" si="20"/>
        <v>0</v>
      </c>
      <c r="Z23" s="591">
        <f t="shared" si="20"/>
        <v>0</v>
      </c>
      <c r="AA23" s="591">
        <f t="shared" si="20"/>
        <v>0</v>
      </c>
      <c r="AB23" s="591">
        <f t="shared" si="20"/>
        <v>0</v>
      </c>
      <c r="AC23" s="591">
        <f t="shared" si="20"/>
        <v>0</v>
      </c>
      <c r="AD23" s="591">
        <f t="shared" si="20"/>
        <v>0</v>
      </c>
    </row>
    <row r="24" spans="1:30" ht="18.75" x14ac:dyDescent="0.3">
      <c r="A24" s="555" t="str">
        <f t="shared" ref="A24:A31" si="21">L15</f>
        <v>Sueldos</v>
      </c>
      <c r="B24" s="556">
        <f t="shared" ref="B24:B31" si="22">M15/$M$25</f>
        <v>0.26613685039223939</v>
      </c>
      <c r="C24" s="527"/>
      <c r="D24" s="532" t="s">
        <v>683</v>
      </c>
      <c r="E24" s="533">
        <f>E25+E26-E27</f>
        <v>20651249</v>
      </c>
      <c r="F24" s="612">
        <f>E24/E35</f>
        <v>0.28488803818510394</v>
      </c>
      <c r="G24" s="551" t="s">
        <v>633</v>
      </c>
      <c r="H24" s="628">
        <f>M21</f>
        <v>0</v>
      </c>
      <c r="I24" s="538">
        <f>H24/$H$35</f>
        <v>0</v>
      </c>
      <c r="K24" s="593" t="s">
        <v>662</v>
      </c>
      <c r="L24" s="594" t="str">
        <f>K24</f>
        <v>Intereses</v>
      </c>
      <c r="M24" s="546">
        <f t="shared" si="6"/>
        <v>0</v>
      </c>
      <c r="N24" s="591">
        <v>0</v>
      </c>
      <c r="O24" s="591">
        <f t="shared" ref="O24" si="23">N24</f>
        <v>0</v>
      </c>
      <c r="P24" s="591">
        <f t="shared" si="20"/>
        <v>0</v>
      </c>
      <c r="Q24" s="591">
        <f t="shared" si="20"/>
        <v>0</v>
      </c>
      <c r="R24" s="591">
        <f t="shared" si="20"/>
        <v>0</v>
      </c>
      <c r="S24" s="591">
        <f t="shared" si="20"/>
        <v>0</v>
      </c>
      <c r="T24" s="591">
        <f t="shared" si="20"/>
        <v>0</v>
      </c>
      <c r="U24" s="591">
        <f t="shared" si="20"/>
        <v>0</v>
      </c>
      <c r="V24" s="591">
        <f t="shared" si="20"/>
        <v>0</v>
      </c>
      <c r="W24" s="591">
        <f t="shared" si="20"/>
        <v>0</v>
      </c>
      <c r="X24" s="591">
        <f t="shared" si="20"/>
        <v>0</v>
      </c>
      <c r="Y24" s="591">
        <f t="shared" si="20"/>
        <v>0</v>
      </c>
      <c r="Z24" s="591">
        <f t="shared" si="20"/>
        <v>0</v>
      </c>
      <c r="AA24" s="591">
        <f t="shared" si="20"/>
        <v>0</v>
      </c>
      <c r="AB24" s="591">
        <f t="shared" si="20"/>
        <v>0</v>
      </c>
      <c r="AC24" s="591">
        <f t="shared" si="20"/>
        <v>0</v>
      </c>
      <c r="AD24" s="591">
        <f t="shared" si="20"/>
        <v>0</v>
      </c>
    </row>
    <row r="25" spans="1:30" ht="18.75" x14ac:dyDescent="0.3">
      <c r="A25" s="555" t="str">
        <f t="shared" si="21"/>
        <v xml:space="preserve">Mantenimiento </v>
      </c>
      <c r="B25" s="556">
        <f t="shared" si="22"/>
        <v>0.15806785231428164</v>
      </c>
      <c r="C25" s="514"/>
      <c r="D25" s="567" t="s">
        <v>685</v>
      </c>
      <c r="E25" s="568">
        <f>N5</f>
        <v>12151249</v>
      </c>
      <c r="F25" s="613">
        <f>E25/E35</f>
        <v>0.1676288678282222</v>
      </c>
      <c r="G25" s="561"/>
      <c r="H25" s="629"/>
      <c r="I25" s="562"/>
      <c r="K25" s="595" t="s">
        <v>663</v>
      </c>
      <c r="L25" s="596"/>
      <c r="M25" s="553">
        <f t="shared" si="6"/>
        <v>5280321</v>
      </c>
      <c r="N25" s="592">
        <f>SUM(N15:N24)</f>
        <v>1711665</v>
      </c>
      <c r="O25" s="592">
        <f t="shared" ref="O25:AD25" si="24">SUM(O15:O24)</f>
        <v>223041</v>
      </c>
      <c r="P25" s="592">
        <f t="shared" si="24"/>
        <v>223041</v>
      </c>
      <c r="Q25" s="592">
        <f t="shared" si="24"/>
        <v>223041</v>
      </c>
      <c r="R25" s="592">
        <f t="shared" si="24"/>
        <v>223041</v>
      </c>
      <c r="S25" s="592">
        <f t="shared" si="24"/>
        <v>223041</v>
      </c>
      <c r="T25" s="592">
        <f t="shared" si="24"/>
        <v>223041</v>
      </c>
      <c r="U25" s="592">
        <f t="shared" si="24"/>
        <v>223041</v>
      </c>
      <c r="V25" s="592">
        <f t="shared" si="24"/>
        <v>223041</v>
      </c>
      <c r="W25" s="592">
        <f t="shared" si="24"/>
        <v>223041</v>
      </c>
      <c r="X25" s="592">
        <f t="shared" si="24"/>
        <v>223041</v>
      </c>
      <c r="Y25" s="592">
        <f t="shared" si="24"/>
        <v>223041</v>
      </c>
      <c r="Z25" s="592">
        <f t="shared" si="24"/>
        <v>223041</v>
      </c>
      <c r="AA25" s="592">
        <f t="shared" si="24"/>
        <v>223041</v>
      </c>
      <c r="AB25" s="592">
        <f t="shared" si="24"/>
        <v>223041</v>
      </c>
      <c r="AC25" s="592">
        <f t="shared" si="24"/>
        <v>223041</v>
      </c>
      <c r="AD25" s="592">
        <f t="shared" si="24"/>
        <v>223041</v>
      </c>
    </row>
    <row r="26" spans="1:30" ht="18.75" x14ac:dyDescent="0.3">
      <c r="A26" s="555" t="str">
        <f t="shared" si="21"/>
        <v>Estadio</v>
      </c>
      <c r="B26" s="556">
        <f t="shared" si="22"/>
        <v>0</v>
      </c>
      <c r="C26" s="522"/>
      <c r="D26" s="567" t="str">
        <f>D12</f>
        <v>Ing Reservas</v>
      </c>
      <c r="E26" s="568">
        <f>M13</f>
        <v>8500000</v>
      </c>
      <c r="F26" s="613">
        <f>E26/E35</f>
        <v>0.11725917035688173</v>
      </c>
      <c r="G26" s="532" t="s">
        <v>667</v>
      </c>
      <c r="H26" s="622">
        <f>SUM(H27:H32)</f>
        <v>3791697</v>
      </c>
      <c r="I26" s="534">
        <f t="shared" ref="I26:I32" si="25">H26/$H$35</f>
        <v>5.230720523113852E-2</v>
      </c>
      <c r="K26" s="557" t="s">
        <v>665</v>
      </c>
      <c r="L26" s="557"/>
      <c r="M26" s="526">
        <f t="shared" ref="M26:AD26" si="26">M5+M14-M25</f>
        <v>26872775</v>
      </c>
      <c r="N26" s="526">
        <f t="shared" si="26"/>
        <v>16859431</v>
      </c>
      <c r="O26" s="526">
        <f t="shared" si="26"/>
        <v>17668390</v>
      </c>
      <c r="P26" s="526">
        <f t="shared" si="26"/>
        <v>18177349</v>
      </c>
      <c r="Q26" s="526">
        <f t="shared" si="26"/>
        <v>18986308</v>
      </c>
      <c r="R26" s="526">
        <f t="shared" si="26"/>
        <v>19505267</v>
      </c>
      <c r="S26" s="526">
        <f t="shared" si="26"/>
        <v>20294226</v>
      </c>
      <c r="T26" s="526">
        <f t="shared" si="26"/>
        <v>20783185</v>
      </c>
      <c r="U26" s="526">
        <f t="shared" si="26"/>
        <v>21572144</v>
      </c>
      <c r="V26" s="526">
        <f t="shared" si="26"/>
        <v>22061103</v>
      </c>
      <c r="W26" s="526">
        <f t="shared" si="26"/>
        <v>22850062</v>
      </c>
      <c r="X26" s="526">
        <f t="shared" si="26"/>
        <v>23339021</v>
      </c>
      <c r="Y26" s="526">
        <f t="shared" si="26"/>
        <v>24127980</v>
      </c>
      <c r="Z26" s="526">
        <f t="shared" si="26"/>
        <v>24616939</v>
      </c>
      <c r="AA26" s="526">
        <f t="shared" si="26"/>
        <v>25405898</v>
      </c>
      <c r="AB26" s="526">
        <f t="shared" si="26"/>
        <v>25894857</v>
      </c>
      <c r="AC26" s="526">
        <f t="shared" si="26"/>
        <v>26383816</v>
      </c>
      <c r="AD26" s="526">
        <f t="shared" si="26"/>
        <v>26872775</v>
      </c>
    </row>
    <row r="27" spans="1:30" x14ac:dyDescent="0.25">
      <c r="A27" s="555" t="str">
        <f t="shared" si="21"/>
        <v>Empleados</v>
      </c>
      <c r="B27" s="556">
        <f t="shared" si="22"/>
        <v>0.21016904085944774</v>
      </c>
      <c r="C27" s="519"/>
      <c r="D27" s="567" t="str">
        <f>D13</f>
        <v>Pago Reservas</v>
      </c>
      <c r="E27" s="568">
        <f>M23*-1</f>
        <v>0</v>
      </c>
      <c r="F27" s="613">
        <f>E27/E35</f>
        <v>0</v>
      </c>
      <c r="G27" s="551" t="s">
        <v>669</v>
      </c>
      <c r="H27" s="628">
        <f>M15</f>
        <v>1405288</v>
      </c>
      <c r="I27" s="538">
        <f t="shared" si="25"/>
        <v>1.9386224116762545E-2</v>
      </c>
      <c r="K27" s="558"/>
      <c r="L27" s="558"/>
      <c r="M27" s="558"/>
      <c r="N27" s="559">
        <f>N1+7</f>
        <v>43651</v>
      </c>
      <c r="O27" s="559">
        <f t="shared" ref="O27:AD27" si="27">N27+7</f>
        <v>43658</v>
      </c>
      <c r="P27" s="559">
        <f t="shared" si="27"/>
        <v>43665</v>
      </c>
      <c r="Q27" s="559">
        <f t="shared" si="27"/>
        <v>43672</v>
      </c>
      <c r="R27" s="559">
        <f t="shared" si="27"/>
        <v>43679</v>
      </c>
      <c r="S27" s="559">
        <f t="shared" si="27"/>
        <v>43686</v>
      </c>
      <c r="T27" s="559">
        <f t="shared" si="27"/>
        <v>43693</v>
      </c>
      <c r="U27" s="559">
        <f t="shared" si="27"/>
        <v>43700</v>
      </c>
      <c r="V27" s="559">
        <f t="shared" si="27"/>
        <v>43707</v>
      </c>
      <c r="W27" s="559">
        <f t="shared" si="27"/>
        <v>43714</v>
      </c>
      <c r="X27" s="559">
        <f t="shared" si="27"/>
        <v>43721</v>
      </c>
      <c r="Y27" s="559">
        <f t="shared" si="27"/>
        <v>43728</v>
      </c>
      <c r="Z27" s="559">
        <f t="shared" si="27"/>
        <v>43735</v>
      </c>
      <c r="AA27" s="559">
        <f t="shared" si="27"/>
        <v>43742</v>
      </c>
      <c r="AB27" s="559">
        <f t="shared" si="27"/>
        <v>43749</v>
      </c>
      <c r="AC27" s="559">
        <f t="shared" si="27"/>
        <v>43756</v>
      </c>
      <c r="AD27" s="559">
        <f t="shared" si="27"/>
        <v>43763</v>
      </c>
    </row>
    <row r="28" spans="1:30" x14ac:dyDescent="0.25">
      <c r="A28" s="555" t="str">
        <f t="shared" si="21"/>
        <v>Juveniles</v>
      </c>
      <c r="B28" s="556">
        <f t="shared" si="22"/>
        <v>6.4390024773115118E-2</v>
      </c>
      <c r="C28" s="522"/>
      <c r="D28" s="547"/>
      <c r="E28" s="548"/>
      <c r="F28" s="613"/>
      <c r="G28" s="551" t="s">
        <v>650</v>
      </c>
      <c r="H28" s="628">
        <f>M16</f>
        <v>834649</v>
      </c>
      <c r="I28" s="538">
        <f t="shared" si="25"/>
        <v>1.1514146974023644E-2</v>
      </c>
      <c r="K28" s="560"/>
      <c r="L28" s="560"/>
      <c r="M28" s="560"/>
      <c r="N28" s="560"/>
      <c r="O28" s="560"/>
      <c r="P28" s="560"/>
      <c r="Q28" s="560"/>
      <c r="R28" s="560"/>
      <c r="S28" s="560"/>
      <c r="T28" s="560"/>
      <c r="U28" s="560"/>
      <c r="V28" s="560"/>
      <c r="W28" s="560"/>
      <c r="X28" s="560"/>
      <c r="Y28" s="560"/>
      <c r="Z28" s="560"/>
      <c r="AA28" s="560"/>
      <c r="AB28" s="560"/>
      <c r="AC28" s="560"/>
      <c r="AD28" s="560"/>
    </row>
    <row r="29" spans="1:30" x14ac:dyDescent="0.25">
      <c r="A29" s="555" t="str">
        <f t="shared" si="21"/>
        <v>Compra</v>
      </c>
      <c r="B29" s="556">
        <f t="shared" si="22"/>
        <v>0.28191922422898152</v>
      </c>
      <c r="D29" s="532" t="s">
        <v>666</v>
      </c>
      <c r="E29" s="533">
        <f>SUM(E30:E34)</f>
        <v>7090758</v>
      </c>
      <c r="F29" s="612">
        <f>E29/E35</f>
        <v>9.7818400033108474E-2</v>
      </c>
      <c r="G29" s="551" t="s">
        <v>655</v>
      </c>
      <c r="H29" s="628">
        <f>M18</f>
        <v>1109760</v>
      </c>
      <c r="I29" s="538">
        <f t="shared" si="25"/>
        <v>1.5309357281794479E-2</v>
      </c>
      <c r="K29" s="563"/>
      <c r="L29" s="563"/>
      <c r="M29" s="564" t="s">
        <v>640</v>
      </c>
      <c r="N29" s="565"/>
      <c r="O29" s="565">
        <v>22</v>
      </c>
      <c r="P29" s="565"/>
      <c r="Q29" s="565"/>
      <c r="R29" s="565"/>
      <c r="S29" s="565"/>
      <c r="T29" s="565"/>
      <c r="U29" s="565"/>
      <c r="V29" s="565"/>
      <c r="W29" s="565"/>
      <c r="X29" s="565"/>
      <c r="Y29" s="565"/>
      <c r="Z29" s="565"/>
      <c r="AA29" s="565"/>
      <c r="AB29" s="565"/>
      <c r="AC29" s="565"/>
      <c r="AD29" s="565"/>
    </row>
    <row r="30" spans="1:30" x14ac:dyDescent="0.25">
      <c r="A30" s="555" t="str">
        <f t="shared" si="21"/>
        <v>Entrenador</v>
      </c>
      <c r="B30" s="556">
        <f t="shared" si="22"/>
        <v>0</v>
      </c>
      <c r="D30" s="567" t="s">
        <v>621</v>
      </c>
      <c r="E30" s="568">
        <f>M11</f>
        <v>100530</v>
      </c>
      <c r="F30" s="613">
        <f>E30/E35</f>
        <v>1.3868311054090966E-3</v>
      </c>
      <c r="G30" s="551" t="s">
        <v>657</v>
      </c>
      <c r="H30" s="628">
        <f>M19</f>
        <v>340000</v>
      </c>
      <c r="I30" s="538">
        <f t="shared" si="25"/>
        <v>4.6903668142752692E-3</v>
      </c>
      <c r="K30" s="511"/>
      <c r="L30" s="667" t="s">
        <v>668</v>
      </c>
      <c r="M30" s="566" t="s">
        <v>73</v>
      </c>
      <c r="N30" s="565"/>
      <c r="O30" s="565">
        <v>345970</v>
      </c>
      <c r="P30" s="565"/>
      <c r="Q30" s="565"/>
      <c r="R30" s="565"/>
      <c r="S30" s="565"/>
      <c r="T30" s="565"/>
      <c r="U30" s="565"/>
      <c r="V30" s="565"/>
      <c r="W30" s="565"/>
      <c r="X30" s="565"/>
      <c r="Y30" s="565"/>
      <c r="Z30" s="565"/>
      <c r="AA30" s="565"/>
      <c r="AB30" s="565"/>
      <c r="AC30" s="565"/>
      <c r="AD30" s="565"/>
    </row>
    <row r="31" spans="1:30" x14ac:dyDescent="0.25">
      <c r="A31" s="555" t="str">
        <f t="shared" si="21"/>
        <v>Viajes+Venta</v>
      </c>
      <c r="B31" s="556">
        <f t="shared" si="22"/>
        <v>1.9317007431934537E-2</v>
      </c>
      <c r="D31" s="567" t="s">
        <v>642</v>
      </c>
      <c r="E31" s="568">
        <f>M12</f>
        <v>1050000</v>
      </c>
      <c r="F31" s="613">
        <f>E31/E35</f>
        <v>1.4484956338203037E-2</v>
      </c>
      <c r="G31" s="551" t="s">
        <v>661</v>
      </c>
      <c r="H31" s="628">
        <f>M22</f>
        <v>102000</v>
      </c>
      <c r="I31" s="538">
        <f t="shared" si="25"/>
        <v>1.4071100442825809E-3</v>
      </c>
      <c r="K31" s="511"/>
      <c r="L31" s="667"/>
      <c r="M31" s="566" t="s">
        <v>65</v>
      </c>
      <c r="N31" s="565"/>
      <c r="O31" s="565">
        <v>79566</v>
      </c>
      <c r="P31" s="565"/>
      <c r="Q31" s="565"/>
      <c r="R31" s="565"/>
      <c r="S31" s="565"/>
      <c r="T31" s="565"/>
      <c r="U31" s="565"/>
      <c r="V31" s="565"/>
      <c r="W31" s="565"/>
      <c r="X31" s="565"/>
      <c r="Y31" s="565"/>
      <c r="Z31" s="565"/>
      <c r="AA31" s="565"/>
      <c r="AB31" s="565"/>
      <c r="AC31" s="565"/>
      <c r="AD31" s="565"/>
    </row>
    <row r="32" spans="1:30" x14ac:dyDescent="0.25">
      <c r="A32" s="555" t="str">
        <f>L24</f>
        <v>Intereses</v>
      </c>
      <c r="B32" s="556">
        <f>M24/$M$25</f>
        <v>0</v>
      </c>
      <c r="D32" s="567" t="s">
        <v>625</v>
      </c>
      <c r="E32" s="568">
        <f>M6</f>
        <v>2697384</v>
      </c>
      <c r="F32" s="613">
        <f>E32/E35</f>
        <v>3.7210942349873773E-2</v>
      </c>
      <c r="G32" s="551" t="s">
        <v>662</v>
      </c>
      <c r="H32" s="628">
        <f>M24</f>
        <v>0</v>
      </c>
      <c r="I32" s="538">
        <f t="shared" si="25"/>
        <v>0</v>
      </c>
      <c r="K32" s="511"/>
      <c r="L32" s="667"/>
      <c r="M32" s="566" t="s">
        <v>670</v>
      </c>
      <c r="N32" s="565"/>
      <c r="O32" s="565">
        <v>280250</v>
      </c>
      <c r="P32" s="565"/>
      <c r="Q32" s="565"/>
      <c r="R32" s="565"/>
      <c r="S32" s="565"/>
      <c r="T32" s="565"/>
      <c r="U32" s="565"/>
      <c r="V32" s="565"/>
      <c r="W32" s="565"/>
      <c r="X32" s="565"/>
      <c r="Y32" s="565"/>
      <c r="Z32" s="565"/>
      <c r="AA32" s="565"/>
      <c r="AB32" s="565"/>
      <c r="AC32" s="565"/>
      <c r="AD32" s="565"/>
    </row>
    <row r="33" spans="1:30" ht="18.75" x14ac:dyDescent="0.3">
      <c r="A33" s="522"/>
      <c r="B33" s="570">
        <f>SUM(B24:B32)</f>
        <v>1</v>
      </c>
      <c r="D33" s="567" t="s">
        <v>628</v>
      </c>
      <c r="E33" s="568">
        <f>M7</f>
        <v>3150844</v>
      </c>
      <c r="F33" s="613">
        <f>E33/E35</f>
        <v>4.3466512160465723E-2</v>
      </c>
      <c r="G33" s="547"/>
      <c r="H33" s="627"/>
      <c r="I33" s="552"/>
      <c r="K33" s="511"/>
      <c r="L33" s="667"/>
      <c r="M33" s="566" t="s">
        <v>671</v>
      </c>
      <c r="N33" s="565"/>
      <c r="O33" s="565">
        <v>65410</v>
      </c>
      <c r="P33" s="565"/>
      <c r="Q33" s="565"/>
      <c r="R33" s="565"/>
      <c r="S33" s="565"/>
      <c r="T33" s="565"/>
      <c r="U33" s="565"/>
      <c r="V33" s="565"/>
      <c r="W33" s="565"/>
      <c r="X33" s="565"/>
      <c r="Y33" s="565"/>
      <c r="Z33" s="565"/>
      <c r="AA33" s="565"/>
      <c r="AB33" s="565"/>
      <c r="AC33" s="565"/>
      <c r="AD33" s="565"/>
    </row>
    <row r="34" spans="1:30" ht="18.75" x14ac:dyDescent="0.3">
      <c r="A34" s="519"/>
      <c r="B34" s="572"/>
      <c r="D34" s="616" t="s">
        <v>637</v>
      </c>
      <c r="E34" s="617">
        <f>M10</f>
        <v>92000</v>
      </c>
      <c r="F34" s="613">
        <f>E34/E35</f>
        <v>1.2691580791568376E-3</v>
      </c>
      <c r="G34" s="633"/>
      <c r="H34" s="634"/>
      <c r="I34" s="632"/>
      <c r="K34" s="511"/>
      <c r="L34" s="667"/>
      <c r="M34" s="566" t="s">
        <v>672</v>
      </c>
      <c r="N34" s="569"/>
      <c r="O34" s="569" t="s">
        <v>681</v>
      </c>
      <c r="P34" s="569"/>
      <c r="Q34" s="569"/>
      <c r="R34" s="569"/>
      <c r="S34" s="569"/>
      <c r="T34" s="569"/>
      <c r="U34" s="569"/>
      <c r="V34" s="569"/>
      <c r="W34" s="569"/>
      <c r="X34" s="569"/>
      <c r="Y34" s="569"/>
      <c r="Z34" s="569"/>
      <c r="AA34" s="569"/>
      <c r="AB34" s="569"/>
      <c r="AC34" s="569"/>
      <c r="AD34" s="569"/>
    </row>
    <row r="35" spans="1:30" ht="18.75" x14ac:dyDescent="0.3">
      <c r="A35" s="668">
        <f>M25</f>
        <v>5280321</v>
      </c>
      <c r="B35" s="668"/>
      <c r="D35" s="619" t="s">
        <v>27</v>
      </c>
      <c r="E35" s="620">
        <f>E29+E21+E15+E5+E10+E24</f>
        <v>72489000</v>
      </c>
      <c r="F35" s="573">
        <f>F29+F21+F15+F5+F10+F24</f>
        <v>1</v>
      </c>
      <c r="G35" s="619" t="s">
        <v>27</v>
      </c>
      <c r="H35" s="620">
        <f>H26+H18+H10+H5+H22</f>
        <v>72489000</v>
      </c>
      <c r="I35" s="631">
        <f>H35/$H$35</f>
        <v>1</v>
      </c>
      <c r="K35" s="511"/>
      <c r="L35" s="667"/>
      <c r="M35" s="566" t="s">
        <v>673</v>
      </c>
      <c r="N35" s="571"/>
      <c r="O35" s="571">
        <v>5.5</v>
      </c>
      <c r="P35" s="571"/>
      <c r="Q35" s="571"/>
      <c r="R35" s="571"/>
      <c r="S35" s="571"/>
      <c r="T35" s="571"/>
      <c r="U35" s="571"/>
      <c r="V35" s="571"/>
      <c r="W35" s="571"/>
      <c r="X35" s="571"/>
      <c r="Y35" s="571"/>
      <c r="Z35" s="571"/>
      <c r="AA35" s="571"/>
      <c r="AB35" s="571"/>
      <c r="AC35" s="571"/>
      <c r="AD35" s="571"/>
    </row>
    <row r="36" spans="1:30" x14ac:dyDescent="0.25">
      <c r="E36" s="513"/>
      <c r="F36" s="574"/>
      <c r="G36" s="575"/>
      <c r="H36" s="576">
        <f>E35-H35</f>
        <v>0</v>
      </c>
      <c r="I36" s="513"/>
      <c r="K36" s="522"/>
      <c r="L36" s="667"/>
      <c r="M36" s="566" t="s">
        <v>674</v>
      </c>
      <c r="N36" s="571"/>
      <c r="O36" s="571">
        <v>5.5</v>
      </c>
      <c r="P36" s="571"/>
      <c r="Q36" s="571"/>
      <c r="R36" s="571"/>
      <c r="S36" s="571"/>
      <c r="T36" s="571"/>
      <c r="U36" s="571"/>
      <c r="V36" s="571"/>
      <c r="W36" s="571"/>
      <c r="X36" s="571"/>
      <c r="Y36" s="571"/>
      <c r="Z36" s="571"/>
      <c r="AA36" s="571"/>
      <c r="AB36" s="571"/>
      <c r="AC36" s="571"/>
      <c r="AD36" s="571"/>
    </row>
    <row r="37" spans="1:30" x14ac:dyDescent="0.25">
      <c r="E37" s="513"/>
      <c r="F37" s="513"/>
      <c r="H37" s="513"/>
      <c r="I37" s="513"/>
      <c r="K37" s="522"/>
      <c r="L37" s="667"/>
      <c r="M37" s="566" t="s">
        <v>675</v>
      </c>
      <c r="N37" s="571"/>
      <c r="O37" s="571">
        <v>11.75</v>
      </c>
      <c r="P37" s="571"/>
      <c r="Q37" s="571"/>
      <c r="R37" s="571"/>
      <c r="S37" s="571"/>
      <c r="T37" s="571"/>
      <c r="U37" s="571"/>
      <c r="V37" s="571"/>
      <c r="W37" s="571"/>
      <c r="X37" s="571"/>
      <c r="Y37" s="571"/>
      <c r="Z37" s="571"/>
      <c r="AA37" s="571"/>
      <c r="AB37" s="571"/>
      <c r="AC37" s="571"/>
      <c r="AD37" s="571"/>
    </row>
    <row r="38" spans="1:30" ht="15.75" x14ac:dyDescent="0.25">
      <c r="D38" s="579"/>
      <c r="E38" s="580"/>
      <c r="F38" s="513"/>
      <c r="G38" s="2"/>
      <c r="H38" s="581"/>
      <c r="I38" s="581"/>
      <c r="K38" s="522"/>
      <c r="L38" s="522"/>
      <c r="M38" s="577" t="s">
        <v>676</v>
      </c>
      <c r="N38" s="578"/>
      <c r="O38" s="578">
        <f t="shared" ref="O38:AD38" si="28">O30/O31</f>
        <v>4.3482140612824569</v>
      </c>
      <c r="P38" s="578" t="e">
        <f t="shared" si="28"/>
        <v>#DIV/0!</v>
      </c>
      <c r="Q38" s="578" t="e">
        <f t="shared" si="28"/>
        <v>#DIV/0!</v>
      </c>
      <c r="R38" s="578" t="e">
        <f t="shared" si="28"/>
        <v>#DIV/0!</v>
      </c>
      <c r="S38" s="578" t="e">
        <f t="shared" si="28"/>
        <v>#DIV/0!</v>
      </c>
      <c r="T38" s="578" t="e">
        <f t="shared" si="28"/>
        <v>#DIV/0!</v>
      </c>
      <c r="U38" s="578" t="e">
        <f t="shared" si="28"/>
        <v>#DIV/0!</v>
      </c>
      <c r="V38" s="578" t="e">
        <f t="shared" si="28"/>
        <v>#DIV/0!</v>
      </c>
      <c r="W38" s="578" t="e">
        <f t="shared" si="28"/>
        <v>#DIV/0!</v>
      </c>
      <c r="X38" s="578" t="e">
        <f t="shared" si="28"/>
        <v>#DIV/0!</v>
      </c>
      <c r="Y38" s="578" t="e">
        <f t="shared" si="28"/>
        <v>#DIV/0!</v>
      </c>
      <c r="Z38" s="578" t="e">
        <f t="shared" si="28"/>
        <v>#DIV/0!</v>
      </c>
      <c r="AA38" s="578" t="e">
        <f t="shared" si="28"/>
        <v>#DIV/0!</v>
      </c>
      <c r="AB38" s="578" t="e">
        <f t="shared" si="28"/>
        <v>#DIV/0!</v>
      </c>
      <c r="AC38" s="578" t="e">
        <f t="shared" si="28"/>
        <v>#DIV/0!</v>
      </c>
      <c r="AD38" s="578" t="e">
        <f t="shared" si="28"/>
        <v>#DIV/0!</v>
      </c>
    </row>
    <row r="39" spans="1:30" x14ac:dyDescent="0.25">
      <c r="E39" s="581"/>
      <c r="F39" s="513"/>
      <c r="H39" s="513"/>
      <c r="I39" s="513"/>
      <c r="K39" s="522"/>
      <c r="L39" s="522"/>
      <c r="M39" s="522"/>
      <c r="N39" s="354"/>
      <c r="O39" s="512"/>
      <c r="P39" s="669"/>
      <c r="Q39" s="669"/>
      <c r="R39" s="669"/>
      <c r="S39" s="669"/>
    </row>
    <row r="40" spans="1:30" x14ac:dyDescent="0.25">
      <c r="E40" s="513"/>
      <c r="F40" s="513"/>
      <c r="H40" s="513"/>
      <c r="I40" s="513"/>
      <c r="K40" s="522"/>
      <c r="L40" s="522"/>
      <c r="M40" s="522"/>
      <c r="N40" s="582"/>
      <c r="O40" s="582"/>
      <c r="P40" s="582"/>
      <c r="Q40" s="582"/>
      <c r="R40" s="582"/>
      <c r="S40" s="582"/>
      <c r="T40" s="582"/>
      <c r="U40" s="582"/>
      <c r="V40" s="582"/>
      <c r="W40" s="582"/>
      <c r="X40" s="582"/>
      <c r="Y40" s="582"/>
    </row>
    <row r="41" spans="1:30" x14ac:dyDescent="0.25">
      <c r="K41" s="522"/>
      <c r="L41" s="522"/>
      <c r="M41" s="522"/>
      <c r="O41" s="512"/>
      <c r="P41" s="512"/>
      <c r="Q41" s="512"/>
      <c r="R41" s="512"/>
      <c r="S41" s="512"/>
      <c r="T41" s="512"/>
      <c r="U41" s="512"/>
      <c r="V41" s="512"/>
      <c r="W41" s="512"/>
      <c r="X41" s="512"/>
      <c r="Y41" s="512"/>
      <c r="Z41" s="512"/>
      <c r="AA41" s="512"/>
      <c r="AB41" s="512"/>
      <c r="AC41" s="512"/>
      <c r="AD41" s="512"/>
    </row>
    <row r="42" spans="1:30" x14ac:dyDescent="0.25">
      <c r="K42" s="522"/>
      <c r="L42" s="522"/>
      <c r="M42" s="522"/>
      <c r="O42" s="512"/>
      <c r="P42" s="660"/>
      <c r="Q42" s="660"/>
      <c r="R42" s="660"/>
      <c r="S42" s="660"/>
      <c r="V42" s="583"/>
    </row>
    <row r="43" spans="1:30" x14ac:dyDescent="0.25">
      <c r="K43" s="522"/>
      <c r="L43" s="522"/>
      <c r="M43" s="522"/>
      <c r="N43" s="583"/>
      <c r="O43" s="512"/>
      <c r="P43" s="584"/>
      <c r="Q43" s="584"/>
      <c r="R43" s="584"/>
      <c r="S43" s="584"/>
    </row>
    <row r="44" spans="1:30" x14ac:dyDescent="0.25">
      <c r="K44" s="522"/>
      <c r="L44" s="522"/>
      <c r="M44" s="522"/>
      <c r="O44" s="512"/>
      <c r="P44" s="660"/>
      <c r="Q44" s="660"/>
      <c r="R44" s="660"/>
      <c r="S44" s="660"/>
      <c r="Y44" s="583"/>
    </row>
    <row r="45" spans="1:30" x14ac:dyDescent="0.25">
      <c r="K45" s="522"/>
      <c r="L45" s="522"/>
      <c r="M45" s="522"/>
      <c r="O45" s="512"/>
      <c r="P45" s="660"/>
      <c r="Q45" s="660"/>
      <c r="R45" s="660"/>
      <c r="S45" s="585"/>
    </row>
    <row r="46" spans="1:30" x14ac:dyDescent="0.25">
      <c r="K46" s="522"/>
      <c r="L46" s="522"/>
      <c r="M46" s="522"/>
      <c r="O46" s="512"/>
    </row>
    <row r="47" spans="1:30" x14ac:dyDescent="0.25">
      <c r="K47" s="522"/>
      <c r="L47" s="522"/>
      <c r="M47" s="522"/>
      <c r="O47" s="512"/>
    </row>
    <row r="48" spans="1:30" x14ac:dyDescent="0.25">
      <c r="K48" s="522"/>
      <c r="L48" s="522"/>
      <c r="M48" s="522"/>
      <c r="O48" s="512"/>
    </row>
    <row r="49" spans="11:15" x14ac:dyDescent="0.25">
      <c r="K49" s="522"/>
      <c r="L49" s="522"/>
      <c r="M49" s="522"/>
      <c r="O49" s="512"/>
    </row>
    <row r="50" spans="11:15" x14ac:dyDescent="0.25">
      <c r="K50" s="522"/>
      <c r="L50" s="522"/>
      <c r="M50" s="522"/>
      <c r="O50" s="512"/>
    </row>
    <row r="51" spans="11:15" x14ac:dyDescent="0.25">
      <c r="K51" s="522"/>
      <c r="L51" s="522"/>
      <c r="M51" s="522"/>
      <c r="O51" s="512"/>
    </row>
    <row r="52" spans="11:15" x14ac:dyDescent="0.25">
      <c r="K52" s="522"/>
      <c r="L52" s="522"/>
      <c r="M52" s="522"/>
      <c r="O52" s="512"/>
    </row>
    <row r="53" spans="11:15" x14ac:dyDescent="0.25">
      <c r="K53" s="522"/>
      <c r="L53" s="522"/>
      <c r="M53" s="522"/>
      <c r="O53" s="512"/>
    </row>
    <row r="54" spans="11:15" x14ac:dyDescent="0.25">
      <c r="K54" s="522"/>
      <c r="L54" s="522"/>
      <c r="M54" s="522"/>
      <c r="O54" s="512"/>
    </row>
    <row r="55" spans="11:15" x14ac:dyDescent="0.25">
      <c r="K55" s="522"/>
      <c r="L55" s="522"/>
      <c r="M55" s="522"/>
      <c r="O55" s="512"/>
    </row>
    <row r="56" spans="11:15" x14ac:dyDescent="0.25">
      <c r="K56" s="522"/>
      <c r="L56" s="522"/>
      <c r="M56" s="522"/>
      <c r="O56" s="512"/>
    </row>
    <row r="57" spans="11:15" x14ac:dyDescent="0.25">
      <c r="K57" s="522"/>
      <c r="L57" s="522"/>
      <c r="M57" s="522"/>
      <c r="O57" s="512"/>
    </row>
    <row r="58" spans="11:15" x14ac:dyDescent="0.25">
      <c r="K58" s="522"/>
      <c r="L58" s="522"/>
      <c r="M58" s="522"/>
      <c r="O58" s="512"/>
    </row>
    <row r="59" spans="11:15" x14ac:dyDescent="0.25">
      <c r="K59" s="522"/>
      <c r="L59" s="522"/>
      <c r="M59" s="522"/>
      <c r="O59" s="512"/>
    </row>
    <row r="60" spans="11:15" x14ac:dyDescent="0.25">
      <c r="K60" s="522"/>
      <c r="L60" s="522"/>
      <c r="M60" s="522"/>
      <c r="O60" s="512"/>
    </row>
    <row r="61" spans="11:15" x14ac:dyDescent="0.25">
      <c r="K61" s="522"/>
      <c r="L61" s="522"/>
      <c r="M61" s="522"/>
      <c r="O61" s="512"/>
    </row>
    <row r="62" spans="11:15" x14ac:dyDescent="0.25">
      <c r="K62" s="522"/>
      <c r="L62" s="522"/>
      <c r="M62" s="522"/>
      <c r="O62" s="512"/>
    </row>
    <row r="63" spans="11:15" x14ac:dyDescent="0.25">
      <c r="K63" s="522"/>
      <c r="L63" s="522"/>
      <c r="M63" s="522"/>
      <c r="O63" s="512"/>
    </row>
    <row r="64" spans="11:15" x14ac:dyDescent="0.25">
      <c r="K64" s="522"/>
      <c r="L64" s="522"/>
      <c r="M64" s="522"/>
      <c r="O64" s="512"/>
    </row>
    <row r="65" spans="11:15" x14ac:dyDescent="0.25">
      <c r="K65" s="522"/>
      <c r="L65" s="522"/>
      <c r="M65" s="522"/>
      <c r="O65" s="512"/>
    </row>
    <row r="66" spans="11:15" x14ac:dyDescent="0.25">
      <c r="K66" s="522"/>
      <c r="L66" s="522"/>
      <c r="M66" s="522"/>
      <c r="O66" s="512"/>
    </row>
    <row r="67" spans="11:15" x14ac:dyDescent="0.25">
      <c r="K67" s="522"/>
      <c r="L67" s="522"/>
      <c r="M67" s="522"/>
      <c r="O67" s="512"/>
    </row>
    <row r="68" spans="11:15" x14ac:dyDescent="0.25">
      <c r="K68" s="522"/>
      <c r="L68" s="522"/>
      <c r="M68" s="522"/>
      <c r="O68" s="512"/>
    </row>
    <row r="69" spans="11:15" x14ac:dyDescent="0.25">
      <c r="K69" s="522"/>
      <c r="L69" s="522"/>
      <c r="M69" s="522"/>
      <c r="O69" s="512"/>
    </row>
    <row r="70" spans="11:15" x14ac:dyDescent="0.25">
      <c r="K70" s="522"/>
      <c r="L70" s="522"/>
      <c r="M70" s="522"/>
      <c r="O70" s="512"/>
    </row>
    <row r="71" spans="11:15" x14ac:dyDescent="0.25">
      <c r="K71" s="522"/>
      <c r="L71" s="522"/>
      <c r="M71" s="522"/>
      <c r="O71" s="512"/>
    </row>
    <row r="72" spans="11:15" x14ac:dyDescent="0.25">
      <c r="K72" s="522"/>
      <c r="L72" s="522"/>
      <c r="M72" s="522"/>
      <c r="O72" s="512"/>
    </row>
    <row r="73" spans="11:15" x14ac:dyDescent="0.25">
      <c r="K73" s="522"/>
      <c r="L73" s="522"/>
      <c r="M73" s="522"/>
      <c r="O73" s="512"/>
    </row>
    <row r="74" spans="11:15" x14ac:dyDescent="0.25">
      <c r="K74" s="522"/>
      <c r="L74" s="522"/>
      <c r="M74" s="522"/>
      <c r="O74" s="512"/>
    </row>
    <row r="75" spans="11:15" x14ac:dyDescent="0.25">
      <c r="K75" s="522"/>
      <c r="L75" s="522"/>
      <c r="M75" s="522"/>
      <c r="O75" s="512"/>
    </row>
    <row r="76" spans="11:15" x14ac:dyDescent="0.25">
      <c r="K76" s="522"/>
      <c r="L76" s="522"/>
      <c r="M76" s="522"/>
      <c r="O76" s="512"/>
    </row>
    <row r="77" spans="11:15" x14ac:dyDescent="0.25">
      <c r="K77" s="522"/>
      <c r="L77" s="522"/>
      <c r="M77" s="522"/>
      <c r="O77" s="512"/>
    </row>
    <row r="78" spans="11:15" x14ac:dyDescent="0.25">
      <c r="K78" s="522"/>
      <c r="L78" s="522"/>
      <c r="M78" s="522"/>
      <c r="O78" s="512"/>
    </row>
    <row r="79" spans="11:15" x14ac:dyDescent="0.25">
      <c r="K79" s="522"/>
      <c r="L79" s="522"/>
      <c r="M79" s="522"/>
      <c r="O79" s="512"/>
    </row>
    <row r="80" spans="11:15" x14ac:dyDescent="0.25">
      <c r="K80" s="522"/>
      <c r="L80" s="522"/>
      <c r="M80" s="522"/>
      <c r="O80" s="512"/>
    </row>
    <row r="81" spans="11:15" x14ac:dyDescent="0.25">
      <c r="K81" s="522"/>
      <c r="L81" s="522"/>
      <c r="M81" s="522"/>
      <c r="O81" s="512"/>
    </row>
  </sheetData>
  <mergeCells count="14">
    <mergeCell ref="P45:R45"/>
    <mergeCell ref="K11:K13"/>
    <mergeCell ref="K21:K23"/>
    <mergeCell ref="L30:L37"/>
    <mergeCell ref="A35:B35"/>
    <mergeCell ref="P39:Q39"/>
    <mergeCell ref="R39:S39"/>
    <mergeCell ref="P42:S42"/>
    <mergeCell ref="P44:S44"/>
    <mergeCell ref="D1:I1"/>
    <mergeCell ref="D2:I2"/>
    <mergeCell ref="D3:E3"/>
    <mergeCell ref="G3:H3"/>
    <mergeCell ref="A15:B15"/>
  </mergeCells>
  <conditionalFormatting sqref="H11:H16">
    <cfRule type="cellIs" dxfId="47" priority="4" operator="lessThan">
      <formula>0</formula>
    </cfRule>
    <cfRule type="cellIs" dxfId="46" priority="5" operator="greaterThan">
      <formula>0</formula>
    </cfRule>
  </conditionalFormatting>
  <conditionalFormatting sqref="H38">
    <cfRule type="cellIs" dxfId="45" priority="3" operator="lessThan">
      <formula>0</formula>
    </cfRule>
  </conditionalFormatting>
  <conditionalFormatting sqref="E39">
    <cfRule type="cellIs" dxfId="44" priority="1" operator="greaterThan">
      <formula>0</formula>
    </cfRule>
    <cfRule type="cellIs" dxfId="43" priority="2" operator="less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A34"/>
  <sheetViews>
    <sheetView workbookViewId="0">
      <selection activeCell="T12" sqref="T12"/>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5" t="s">
        <v>71</v>
      </c>
      <c r="B1" s="145" t="s">
        <v>2</v>
      </c>
      <c r="C1" s="145" t="s">
        <v>262</v>
      </c>
      <c r="D1" s="118" t="s">
        <v>263</v>
      </c>
      <c r="E1" s="118" t="s">
        <v>231</v>
      </c>
      <c r="F1" s="118" t="s">
        <v>232</v>
      </c>
      <c r="M1" s="245" t="str">
        <f>Plantilla!D3</f>
        <v>Jugador</v>
      </c>
      <c r="N1" s="245" t="s">
        <v>334</v>
      </c>
      <c r="O1" s="245" t="str">
        <f>Plantilla!AC3</f>
        <v>An</v>
      </c>
      <c r="P1" s="245" t="str">
        <f>Plantilla!AD3</f>
        <v>PA</v>
      </c>
      <c r="Q1" s="245" t="str">
        <f>Plantilla!AI3</f>
        <v>TL</v>
      </c>
      <c r="R1" s="245" t="str">
        <f>Plantilla!AJ3</f>
        <v>PEN</v>
      </c>
      <c r="S1" s="245" t="str">
        <f>Plantilla!AK3</f>
        <v>BPiA</v>
      </c>
      <c r="T1" s="245" t="str">
        <f>Plantilla!AL3</f>
        <v>BPiD</v>
      </c>
      <c r="W1" s="670" t="s">
        <v>455</v>
      </c>
      <c r="X1" s="670"/>
      <c r="Y1" s="670"/>
      <c r="Z1" s="670"/>
      <c r="AA1" s="670"/>
    </row>
    <row r="2" spans="1:27" x14ac:dyDescent="0.25">
      <c r="A2" t="str">
        <f>Plantilla!D4</f>
        <v>D. Gehmacher</v>
      </c>
      <c r="B2" s="83">
        <f ca="1">Plantilla!Y4++Plantilla!J4+Plantilla!P4</f>
        <v>14.806929271012887</v>
      </c>
      <c r="C2" s="83">
        <f ca="1">Plantilla!AB4+Plantilla!J4+Plantilla!P4</f>
        <v>3.8069292710128879</v>
      </c>
      <c r="D2" s="131">
        <f ca="1">(C2*2+B2)/8</f>
        <v>2.8025984766298331</v>
      </c>
      <c r="E2" s="83">
        <f ca="1">D2*Plantilla!R4</f>
        <v>2.3686280268193625</v>
      </c>
      <c r="F2" s="83">
        <f ca="1">D2*Plantilla!S4</f>
        <v>2.5925388478983598</v>
      </c>
      <c r="M2" t="str">
        <f>Plantilla!D4</f>
        <v>D. Gehmacher</v>
      </c>
      <c r="N2" s="48">
        <f>Plantilla!J4</f>
        <v>1.8569292710128877</v>
      </c>
      <c r="O2" s="83">
        <f>Plantilla!AC4</f>
        <v>0</v>
      </c>
      <c r="P2" s="83">
        <f>Plantilla!AD4</f>
        <v>18.2</v>
      </c>
      <c r="Q2" s="48">
        <f ca="1">Plantilla!AI4</f>
        <v>7.3729682566652341</v>
      </c>
      <c r="R2" s="48">
        <f ca="1">Plantilla!AJ4</f>
        <v>13.18181113409628</v>
      </c>
      <c r="S2" s="48">
        <f ca="1">Plantilla!AK4</f>
        <v>0.77455434168103099</v>
      </c>
      <c r="T2" s="48">
        <f ca="1">Plantilla!AL4</f>
        <v>1.2239850489709021</v>
      </c>
      <c r="W2" t="str">
        <f>M4</f>
        <v>E. Toney</v>
      </c>
      <c r="X2" s="146">
        <f t="shared" ref="X2:Z9" si="0">N2</f>
        <v>1.8569292710128877</v>
      </c>
      <c r="Y2" s="146">
        <f t="shared" si="0"/>
        <v>0</v>
      </c>
      <c r="Z2" s="146">
        <f t="shared" si="0"/>
        <v>18.2</v>
      </c>
      <c r="AA2" s="146"/>
    </row>
    <row r="3" spans="1:27" x14ac:dyDescent="0.25">
      <c r="A3" t="str">
        <f>Plantilla!D5</f>
        <v>T. Hammond</v>
      </c>
      <c r="B3" s="83">
        <f>Plantilla!Y5++Plantilla!J5+Plantilla!P5</f>
        <v>10.747503804799598</v>
      </c>
      <c r="C3" s="83">
        <f>Plantilla!AB5+Plantilla!J5+Plantilla!P5</f>
        <v>4.7475038047995977</v>
      </c>
      <c r="D3" s="131">
        <f t="shared" ref="D3:D25" si="1">(C3*2+B3)/8</f>
        <v>2.5303139267998489</v>
      </c>
      <c r="E3" s="83">
        <f>D3*Plantilla!R5</f>
        <v>1.9127375397816264</v>
      </c>
      <c r="F3" s="83">
        <f>D3*Plantilla!S5</f>
        <v>2.1363660051292972</v>
      </c>
      <c r="M3" t="str">
        <f>Plantilla!D5</f>
        <v>T. Hammond</v>
      </c>
      <c r="N3" s="48">
        <f>Plantilla!J5</f>
        <v>1.2975038047995981</v>
      </c>
      <c r="O3" s="83">
        <f>Plantilla!AC5</f>
        <v>0</v>
      </c>
      <c r="P3" s="83">
        <f>Plantilla!AD5</f>
        <v>14.95</v>
      </c>
      <c r="Q3" s="48">
        <f>Plantilla!AI5</f>
        <v>5.1440839357414436</v>
      </c>
      <c r="R3" s="48">
        <f>Plantilla!AJ5</f>
        <v>10.025510522727901</v>
      </c>
      <c r="S3" s="48">
        <f>Plantilla!AK5</f>
        <v>0.67230030438396782</v>
      </c>
      <c r="T3" s="48">
        <f>Plantilla!AL5</f>
        <v>0.96232526633597182</v>
      </c>
      <c r="W3" t="str">
        <f>M5</f>
        <v>B. Bartolache</v>
      </c>
      <c r="X3" s="146">
        <f t="shared" si="0"/>
        <v>1.2975038047995981</v>
      </c>
      <c r="Y3" s="146">
        <f t="shared" si="0"/>
        <v>0</v>
      </c>
      <c r="Z3" s="146">
        <f t="shared" si="0"/>
        <v>14.95</v>
      </c>
      <c r="AA3" s="146"/>
    </row>
    <row r="4" spans="1:27" x14ac:dyDescent="0.25">
      <c r="A4" t="str">
        <f>Plantilla!D6</f>
        <v>E. Toney</v>
      </c>
      <c r="B4" s="83">
        <f>Plantilla!Y6++Plantilla!J6+Plantilla!P6</f>
        <v>15.155004801270438</v>
      </c>
      <c r="C4" s="83">
        <f>Plantilla!AB6+Plantilla!J6+Plantilla!P6</f>
        <v>12.155004801270438</v>
      </c>
      <c r="D4" s="131">
        <f t="shared" si="1"/>
        <v>4.9331268004764146</v>
      </c>
      <c r="E4" s="83">
        <f>D4*Plantilla!R6</f>
        <v>4.1692531045379155</v>
      </c>
      <c r="F4" s="83">
        <f>D4*Plantilla!S6</f>
        <v>4.5633803695001642</v>
      </c>
      <c r="M4" t="str">
        <f>Plantilla!D6</f>
        <v>E. Toney</v>
      </c>
      <c r="N4" s="48">
        <f>Plantilla!J6</f>
        <v>1.7050048012704384</v>
      </c>
      <c r="O4" s="83">
        <f>Plantilla!AC6</f>
        <v>1.95</v>
      </c>
      <c r="P4" s="83">
        <f>Plantilla!AD6</f>
        <v>17.177777777777774</v>
      </c>
      <c r="Q4" s="48">
        <f>Plantilla!AI6</f>
        <v>10.283700384961968</v>
      </c>
      <c r="R4" s="48">
        <f>Plantilla!AJ6</f>
        <v>13.365649066204108</v>
      </c>
      <c r="S4" s="48">
        <f>Plantilla!AK6</f>
        <v>0.86923371743496813</v>
      </c>
      <c r="T4" s="48">
        <f>Plantilla!AL6</f>
        <v>1.2176836694222639</v>
      </c>
      <c r="W4" t="str">
        <f>M6</f>
        <v>F. Lasprilla</v>
      </c>
      <c r="X4" s="146">
        <f t="shared" si="0"/>
        <v>1.7050048012704384</v>
      </c>
      <c r="Y4" s="146">
        <f t="shared" si="0"/>
        <v>1.95</v>
      </c>
      <c r="Z4" s="146">
        <f t="shared" si="0"/>
        <v>17.177777777777774</v>
      </c>
      <c r="AA4" s="146"/>
    </row>
    <row r="5" spans="1:27" x14ac:dyDescent="0.25">
      <c r="A5" t="str">
        <f>Plantilla!D7</f>
        <v>B. Bartolache</v>
      </c>
      <c r="B5" s="83">
        <f>Plantilla!Y7++Plantilla!J7+Plantilla!P7</f>
        <v>14.92627995953049</v>
      </c>
      <c r="C5" s="83">
        <f>Plantilla!AB7+Plantilla!J7+Plantilla!P7</f>
        <v>10.926279959530492</v>
      </c>
      <c r="D5" s="131">
        <f t="shared" si="1"/>
        <v>4.5973549848239337</v>
      </c>
      <c r="E5" s="83">
        <f>D5*Plantilla!R7</f>
        <v>4.2563236507395308</v>
      </c>
      <c r="F5" s="83">
        <f>D5*Plantilla!S7</f>
        <v>4.5940699862016752</v>
      </c>
      <c r="M5" t="str">
        <f>Plantilla!D7</f>
        <v>B. Bartolache</v>
      </c>
      <c r="N5" s="48">
        <f>Plantilla!J7</f>
        <v>1.4762799595304912</v>
      </c>
      <c r="O5" s="83">
        <f>Plantilla!AC7</f>
        <v>2.95</v>
      </c>
      <c r="P5" s="83">
        <f>Plantilla!AD7</f>
        <v>16</v>
      </c>
      <c r="Q5" s="48">
        <f>Plantilla!AI7</f>
        <v>11.734379726387926</v>
      </c>
      <c r="R5" s="48">
        <f>Plantilla!AJ7</f>
        <v>13.944035714834849</v>
      </c>
      <c r="S5" s="48">
        <f>Plantilla!AK7</f>
        <v>0.86560239676243922</v>
      </c>
      <c r="T5" s="48">
        <f>Plantilla!AL7</f>
        <v>1.1663395971671342</v>
      </c>
      <c r="W5" t="str">
        <f>M13</f>
        <v>G. Piscaer</v>
      </c>
      <c r="X5" s="146">
        <f t="shared" si="0"/>
        <v>1.4762799595304912</v>
      </c>
      <c r="Y5" s="146">
        <f t="shared" si="0"/>
        <v>2.95</v>
      </c>
      <c r="Z5" s="146">
        <f t="shared" si="0"/>
        <v>16</v>
      </c>
      <c r="AA5" s="146"/>
    </row>
    <row r="6" spans="1:27" x14ac:dyDescent="0.25">
      <c r="A6" t="str">
        <f>Plantilla!D8</f>
        <v>F. Lasprilla</v>
      </c>
      <c r="B6" s="83">
        <f>Plantilla!Y8++Plantilla!J8+Plantilla!P8</f>
        <v>12.255763813493941</v>
      </c>
      <c r="C6" s="83">
        <f>Plantilla!AB8+Plantilla!J8+Plantilla!P8</f>
        <v>11.514430480160605</v>
      </c>
      <c r="D6" s="131">
        <f t="shared" si="1"/>
        <v>4.4105780967268942</v>
      </c>
      <c r="E6" s="83">
        <f>D6*Plantilla!R8</f>
        <v>3.7276188442611371</v>
      </c>
      <c r="F6" s="83">
        <f>D6*Plantilla!S8</f>
        <v>4.0799975996577134</v>
      </c>
      <c r="M6" t="str">
        <f>Plantilla!D8</f>
        <v>F. Lasprilla</v>
      </c>
      <c r="N6" s="48">
        <f>Plantilla!J8</f>
        <v>1.1510971468272746</v>
      </c>
      <c r="O6" s="83">
        <f>Plantilla!AC8</f>
        <v>2.95</v>
      </c>
      <c r="P6" s="83">
        <f>Plantilla!AD8</f>
        <v>13.33611111111111</v>
      </c>
      <c r="Q6" s="48">
        <f>Plantilla!AI8</f>
        <v>8.8663322590478515</v>
      </c>
      <c r="R6" s="48">
        <f>Plantilla!AJ8</f>
        <v>10.878297281735897</v>
      </c>
      <c r="S6" s="48">
        <f>Plantilla!AK8</f>
        <v>0.7596711050795153</v>
      </c>
      <c r="T6" s="48">
        <f>Plantilla!AL8</f>
        <v>0.96984680027790904</v>
      </c>
      <c r="W6">
        <f>M17</f>
        <v>0</v>
      </c>
      <c r="X6" s="146">
        <f t="shared" si="0"/>
        <v>1.1510971468272746</v>
      </c>
      <c r="Y6" s="146">
        <f t="shared" si="0"/>
        <v>2.95</v>
      </c>
      <c r="Z6" s="146">
        <f t="shared" si="0"/>
        <v>13.33611111111111</v>
      </c>
      <c r="AA6" s="146"/>
    </row>
    <row r="7" spans="1:27" x14ac:dyDescent="0.25">
      <c r="A7" t="str">
        <f>Plantilla!D9</f>
        <v>E. Romweber</v>
      </c>
      <c r="B7" s="83">
        <f>Plantilla!Y9++Plantilla!J9+Plantilla!P9</f>
        <v>15.126904766492245</v>
      </c>
      <c r="C7" s="83">
        <f>Plantilla!AB9+Plantilla!J9+Plantilla!P9</f>
        <v>14.126904766492245</v>
      </c>
      <c r="D7" s="131">
        <f t="shared" si="1"/>
        <v>5.422589287434592</v>
      </c>
      <c r="E7" s="83">
        <f>D7*Plantilla!R9</f>
        <v>5.0203421551182625</v>
      </c>
      <c r="F7" s="83">
        <f>D7*Plantilla!S9</f>
        <v>5.4187146250695806</v>
      </c>
      <c r="M7" t="str">
        <f>Plantilla!D9</f>
        <v>E. Romweber</v>
      </c>
      <c r="N7" s="48">
        <f>Plantilla!J9</f>
        <v>1.6769047664922461</v>
      </c>
      <c r="O7" s="83">
        <f>Plantilla!AC9</f>
        <v>5.95</v>
      </c>
      <c r="P7" s="83">
        <f>Plantilla!AD9</f>
        <v>17.529999999999998</v>
      </c>
      <c r="Q7" s="48">
        <f>Plantilla!AI9</f>
        <v>17.534532315357808</v>
      </c>
      <c r="R7" s="48">
        <f>Plantilla!AJ9</f>
        <v>15.954569610284725</v>
      </c>
      <c r="S7" s="48">
        <f>Plantilla!AK9</f>
        <v>1.0775523813193797</v>
      </c>
      <c r="T7" s="48">
        <f>Plantilla!AL9</f>
        <v>1.226283333654457</v>
      </c>
      <c r="W7" t="str">
        <f>M12</f>
        <v>I. Stone</v>
      </c>
      <c r="X7" s="146">
        <f t="shared" si="0"/>
        <v>1.6769047664922461</v>
      </c>
      <c r="Y7" s="146">
        <f t="shared" si="0"/>
        <v>5.95</v>
      </c>
      <c r="Z7" s="146">
        <f t="shared" si="0"/>
        <v>17.529999999999998</v>
      </c>
      <c r="AA7" s="146"/>
    </row>
    <row r="8" spans="1:27" x14ac:dyDescent="0.25">
      <c r="A8" t="str">
        <f>Plantilla!D10</f>
        <v>S. Buschelman</v>
      </c>
      <c r="B8" s="83">
        <f>Plantilla!Y10++Plantilla!J10+Plantilla!P10</f>
        <v>12.401876115939228</v>
      </c>
      <c r="C8" s="83">
        <f>Plantilla!AB10+Plantilla!J10+Plantilla!P10</f>
        <v>13.048209449272562</v>
      </c>
      <c r="D8" s="131">
        <f t="shared" si="1"/>
        <v>4.8122868768105445</v>
      </c>
      <c r="E8" s="83">
        <f>D8*Plantilla!R10</f>
        <v>4.0671247289106365</v>
      </c>
      <c r="F8" s="83">
        <f>D8*Plantilla!S10</f>
        <v>4.4515976082187247</v>
      </c>
      <c r="M8" t="str">
        <f>Plantilla!D10</f>
        <v>S. Buschelman</v>
      </c>
      <c r="N8" s="48">
        <f>Plantilla!J10</f>
        <v>1.5982094492725636</v>
      </c>
      <c r="O8" s="83">
        <f>Plantilla!AC10</f>
        <v>3.95</v>
      </c>
      <c r="P8" s="83">
        <f>Plantilla!AD10</f>
        <v>16</v>
      </c>
      <c r="Q8" s="48">
        <f>Plantilla!AI10</f>
        <v>12.342668978714196</v>
      </c>
      <c r="R8" s="48">
        <f>Plantilla!AJ10</f>
        <v>13.085700342905477</v>
      </c>
      <c r="S8" s="48">
        <f>Plantilla!AK10</f>
        <v>0.92535675594180522</v>
      </c>
      <c r="T8" s="48">
        <f>Plantilla!AL10</f>
        <v>1.0690213281157459</v>
      </c>
      <c r="W8" t="str">
        <f>M13</f>
        <v>G. Piscaer</v>
      </c>
      <c r="X8" s="146">
        <f t="shared" si="0"/>
        <v>1.5982094492725636</v>
      </c>
      <c r="Y8" s="146">
        <f t="shared" si="0"/>
        <v>3.95</v>
      </c>
      <c r="Z8" s="146">
        <f t="shared" si="0"/>
        <v>16</v>
      </c>
      <c r="AA8" s="146"/>
    </row>
    <row r="9" spans="1:27" x14ac:dyDescent="0.25">
      <c r="A9" t="str">
        <f>Plantilla!D11</f>
        <v>E. Gross</v>
      </c>
      <c r="B9" s="83">
        <f>Plantilla!Y11++Plantilla!J11+Plantilla!P11</f>
        <v>13.582292150207168</v>
      </c>
      <c r="C9" s="83">
        <f>Plantilla!AB11+Plantilla!J11+Plantilla!P11</f>
        <v>11.982292150207172</v>
      </c>
      <c r="D9" s="131">
        <f t="shared" si="1"/>
        <v>4.6933595563276889</v>
      </c>
      <c r="E9" s="83">
        <f>D9*Plantilla!R11</f>
        <v>4.6933595563276889</v>
      </c>
      <c r="F9" s="83">
        <f>D9*Plantilla!S11</f>
        <v>4.6933595563276889</v>
      </c>
      <c r="H9" s="48"/>
      <c r="M9" t="str">
        <f>Plantilla!D11</f>
        <v>E. Gross</v>
      </c>
      <c r="N9" s="48">
        <f>Plantilla!J11</f>
        <v>1.5322921502071731</v>
      </c>
      <c r="O9" s="83">
        <f>Plantilla!AC11</f>
        <v>0.95</v>
      </c>
      <c r="P9" s="83">
        <f>Plantilla!AD11</f>
        <v>17.3</v>
      </c>
      <c r="Q9" s="48">
        <f>Plantilla!AI11</f>
        <v>10.193365651957853</v>
      </c>
      <c r="R9" s="48">
        <f>Plantilla!AJ11</f>
        <v>15.427292150207172</v>
      </c>
      <c r="S9" s="48">
        <f>Plantilla!AK11</f>
        <v>0.80908337201657388</v>
      </c>
      <c r="T9" s="48">
        <f>Plantilla!AL11</f>
        <v>1.1532604505145021</v>
      </c>
      <c r="W9" t="str">
        <f>M14</f>
        <v>M. Bondarewski</v>
      </c>
      <c r="X9" s="146">
        <f t="shared" si="0"/>
        <v>1.5322921502071731</v>
      </c>
      <c r="Y9" s="146">
        <f t="shared" si="0"/>
        <v>0.95</v>
      </c>
      <c r="Z9" s="146">
        <f t="shared" si="0"/>
        <v>17.3</v>
      </c>
      <c r="AA9" s="146"/>
    </row>
    <row r="10" spans="1:27" x14ac:dyDescent="0.25">
      <c r="A10" t="str">
        <f>Plantilla!D12</f>
        <v>W. Gelifini</v>
      </c>
      <c r="B10" s="83">
        <f>Plantilla!Y12++Plantilla!J12+Plantilla!P12</f>
        <v>8.138705808214544</v>
      </c>
      <c r="C10" s="83">
        <f>Plantilla!AB12+Plantilla!J12+Plantilla!P12</f>
        <v>11.753816919325656</v>
      </c>
      <c r="D10" s="131">
        <f t="shared" si="1"/>
        <v>3.9557924558582318</v>
      </c>
      <c r="E10" s="83">
        <f>D10*Plantilla!R12</f>
        <v>3.6623521661621745</v>
      </c>
      <c r="F10" s="83">
        <f>D10*Plantilla!S12</f>
        <v>3.9529658799661527</v>
      </c>
      <c r="M10" t="str">
        <f>Plantilla!D12</f>
        <v>W. Gelifini</v>
      </c>
      <c r="N10" s="48">
        <f>Plantilla!J12</f>
        <v>0.98715025265899181</v>
      </c>
      <c r="O10" s="83">
        <f>Plantilla!AC12</f>
        <v>2.95</v>
      </c>
      <c r="P10" s="83">
        <f>Plantilla!AD12</f>
        <v>12.847222222222223</v>
      </c>
      <c r="Q10" s="48">
        <f>Plantilla!AI12</f>
        <v>9.1281920441786735</v>
      </c>
      <c r="R10" s="48">
        <f>Plantilla!AJ12</f>
        <v>11.447956075069325</v>
      </c>
      <c r="S10" s="48">
        <f>Plantilla!AK12</f>
        <v>0.73188868687938613</v>
      </c>
      <c r="T10" s="48">
        <f>Plantilla!AL12</f>
        <v>0.78557940657501812</v>
      </c>
      <c r="W10" t="str">
        <f>M10</f>
        <v>W. Gelifini</v>
      </c>
      <c r="X10" s="146">
        <f t="shared" ref="X10:Z11" si="2">N9</f>
        <v>1.5322921502071731</v>
      </c>
      <c r="Y10" s="146">
        <f t="shared" si="2"/>
        <v>0.95</v>
      </c>
      <c r="Z10" s="146">
        <f t="shared" si="2"/>
        <v>17.3</v>
      </c>
      <c r="AA10" s="146"/>
    </row>
    <row r="11" spans="1:27" x14ac:dyDescent="0.25">
      <c r="A11" t="str">
        <f>Plantilla!D13</f>
        <v>I. Vanags</v>
      </c>
      <c r="B11" s="83">
        <f ca="1">Plantilla!Y13++Plantilla!J13+Plantilla!P13</f>
        <v>4.3484819683838136</v>
      </c>
      <c r="C11" s="83">
        <f ca="1">Plantilla!AB13+Plantilla!J13+Plantilla!P13</f>
        <v>4.3484819683838136</v>
      </c>
      <c r="D11" s="131">
        <f t="shared" ca="1" si="1"/>
        <v>1.6306807381439301</v>
      </c>
      <c r="E11" s="83">
        <f ca="1">D11*Plantilla!R13</f>
        <v>1.3781767639461806</v>
      </c>
      <c r="F11" s="83">
        <f ca="1">D11*Plantilla!S13</f>
        <v>1.508458381537932</v>
      </c>
      <c r="M11" t="str">
        <f>Plantilla!D13</f>
        <v>I. Vanags</v>
      </c>
      <c r="N11" s="48">
        <f>Plantilla!J13</f>
        <v>0.19483738090431735</v>
      </c>
      <c r="O11" s="83">
        <f>Plantilla!AC13</f>
        <v>7</v>
      </c>
      <c r="P11" s="83">
        <f>Plantilla!AD13</f>
        <v>6</v>
      </c>
      <c r="Q11" s="48">
        <f ca="1">Plantilla!AI13</f>
        <v>6.8374205950021452</v>
      </c>
      <c r="R11" s="48">
        <f ca="1">Plantilla!AJ13</f>
        <v>5.618992823065402</v>
      </c>
      <c r="S11" s="48">
        <f ca="1">Plantilla!AK13</f>
        <v>0.55787855747070503</v>
      </c>
      <c r="T11" s="48">
        <f ca="1">Plantilla!AL13</f>
        <v>0.36439373778686696</v>
      </c>
      <c r="W11" t="str">
        <f>M11</f>
        <v>I. Vanags</v>
      </c>
      <c r="X11" s="146">
        <f t="shared" si="2"/>
        <v>0.98715025265899181</v>
      </c>
      <c r="Y11" s="146">
        <f t="shared" si="2"/>
        <v>2.95</v>
      </c>
      <c r="Z11" s="146">
        <f t="shared" si="2"/>
        <v>12.847222222222223</v>
      </c>
      <c r="AA11" s="146"/>
    </row>
    <row r="12" spans="1:27" x14ac:dyDescent="0.25">
      <c r="A12" t="str">
        <f>Plantilla!D14</f>
        <v>I. Stone</v>
      </c>
      <c r="B12" s="83">
        <f ca="1">Plantilla!Y14++Plantilla!J14+Plantilla!P14</f>
        <v>3.5686709487355377</v>
      </c>
      <c r="C12" s="83">
        <f ca="1">Plantilla!AB14+Plantilla!J14+Plantilla!P14</f>
        <v>6.5686709487355381</v>
      </c>
      <c r="D12" s="131">
        <f t="shared" ca="1" si="1"/>
        <v>2.0882516057758269</v>
      </c>
      <c r="E12" s="83">
        <f ca="1">D12*Plantilla!R14</f>
        <v>1.764894729565097</v>
      </c>
      <c r="F12" s="83">
        <f ca="1">D12*Plantilla!S14</f>
        <v>1.9317335170574368</v>
      </c>
      <c r="M12" t="str">
        <f>Plantilla!D14</f>
        <v>I. Stone</v>
      </c>
      <c r="N12" s="48">
        <f>Plantilla!J14</f>
        <v>0.45656357442960838</v>
      </c>
      <c r="O12" s="83">
        <f>Plantilla!AC14</f>
        <v>9</v>
      </c>
      <c r="P12" s="83">
        <f>Plantilla!AD14</f>
        <v>2</v>
      </c>
      <c r="Q12" s="48">
        <f ca="1">Plantilla!AI14</f>
        <v>8.1952603347288768</v>
      </c>
      <c r="R12" s="48">
        <f ca="1">Plantilla!AJ14</f>
        <v>3.9457471162512596</v>
      </c>
      <c r="S12" s="48">
        <f ca="1">Plantilla!AK14</f>
        <v>0.55549367589884313</v>
      </c>
      <c r="T12" s="48">
        <f ca="1">Plantilla!AL14</f>
        <v>0.21980696641148761</v>
      </c>
      <c r="Y12" s="246">
        <f>AVERAGE(Y2:Y11)</f>
        <v>2.2599999999999998</v>
      </c>
      <c r="Z12" s="246">
        <f>AVERAGE(Z2:Z11)</f>
        <v>16.06411111111111</v>
      </c>
      <c r="AA12" s="247">
        <f>1.66*(Y12+1.5)+0.55*(Z12+1.5)-7.6</f>
        <v>8.3018611111111102</v>
      </c>
    </row>
    <row r="13" spans="1:27" x14ac:dyDescent="0.25">
      <c r="A13" t="str">
        <f>Plantilla!D15</f>
        <v>G. Piscaer</v>
      </c>
      <c r="B13" s="83">
        <f ca="1">Plantilla!Y15++Plantilla!J15+Plantilla!P15</f>
        <v>4.7270278952058931</v>
      </c>
      <c r="C13" s="83">
        <f ca="1">Plantilla!AB15+Plantilla!J15+Plantilla!P15</f>
        <v>2.7270278952058935</v>
      </c>
      <c r="D13" s="131">
        <f t="shared" ca="1" si="1"/>
        <v>1.2726354607022099</v>
      </c>
      <c r="E13" s="83">
        <f ca="1">D13*Plantilla!R15</f>
        <v>1.0755732743308586</v>
      </c>
      <c r="F13" s="83">
        <f ca="1">D13*Plantilla!S15</f>
        <v>1.1772492201776374</v>
      </c>
      <c r="M13" t="str">
        <f>Plantilla!D15</f>
        <v>G. Piscaer</v>
      </c>
      <c r="N13" s="48">
        <f>Plantilla!J15</f>
        <v>0.59621070845629232</v>
      </c>
      <c r="O13" s="83">
        <f>Plantilla!AC15</f>
        <v>8</v>
      </c>
      <c r="P13" s="83">
        <f>Plantilla!AD15</f>
        <v>0</v>
      </c>
      <c r="Q13" s="48">
        <f ca="1">Plantilla!AI15</f>
        <v>6.1584122557144427</v>
      </c>
      <c r="R13" s="48">
        <f ca="1">Plantilla!AJ15</f>
        <v>2.6428209302880181</v>
      </c>
      <c r="S13" s="48">
        <f ca="1">Plantilla!AK15</f>
        <v>0.4581622316164714</v>
      </c>
      <c r="T13" s="48">
        <f ca="1">Plantilla!AL15</f>
        <v>0.21089195266441255</v>
      </c>
    </row>
    <row r="14" spans="1:27" x14ac:dyDescent="0.25">
      <c r="A14" t="str">
        <f>Plantilla!D16</f>
        <v>M. Bondarewski</v>
      </c>
      <c r="B14" s="83">
        <f ca="1">Plantilla!Y16++Plantilla!J16+Plantilla!P16</f>
        <v>2.7014234142233384</v>
      </c>
      <c r="C14" s="83">
        <f ca="1">Plantilla!AB16+Plantilla!J16+Plantilla!P16</f>
        <v>4.7014234142233384</v>
      </c>
      <c r="D14" s="131">
        <f t="shared" ca="1" si="1"/>
        <v>1.5130337803337519</v>
      </c>
      <c r="E14" s="83">
        <f ca="1">D14*Plantilla!R16</f>
        <v>1.2787469369970421</v>
      </c>
      <c r="F14" s="83">
        <f ca="1">D14*Plantilla!S16</f>
        <v>1.3996292677696556</v>
      </c>
      <c r="M14" t="str">
        <f>Plantilla!D16</f>
        <v>M. Bondarewski</v>
      </c>
      <c r="N14" s="48">
        <f>Plantilla!J16</f>
        <v>0.55329779729442397</v>
      </c>
      <c r="O14" s="83">
        <f>Plantilla!AC16</f>
        <v>8</v>
      </c>
      <c r="P14" s="83">
        <f>Plantilla!AD16</f>
        <v>6</v>
      </c>
      <c r="Q14" s="48">
        <f ca="1">Plantilla!AI16</f>
        <v>8.8995974796645747</v>
      </c>
      <c r="R14" s="48">
        <f ca="1">Plantilla!AJ16</f>
        <v>6.1708290641052663</v>
      </c>
      <c r="S14" s="48">
        <f ca="1">Plantilla!AK16</f>
        <v>0.63611387313786705</v>
      </c>
      <c r="T14" s="48">
        <f ca="1">Plantilla!AL16</f>
        <v>0.30909963899563364</v>
      </c>
    </row>
    <row r="15" spans="1:27" x14ac:dyDescent="0.25">
      <c r="A15" t="str">
        <f>Plantilla!D17</f>
        <v>J. Vartiainen</v>
      </c>
      <c r="B15" s="83">
        <f ca="1">Plantilla!Y17++Plantilla!J17+Plantilla!P17</f>
        <v>7.2944129161869293</v>
      </c>
      <c r="C15" s="83">
        <f ca="1">Plantilla!AB17+Plantilla!J17+Plantilla!P17</f>
        <v>1.2944129161869296</v>
      </c>
      <c r="D15" s="131">
        <f t="shared" ca="1" si="1"/>
        <v>1.2354048435700986</v>
      </c>
      <c r="E15" s="83">
        <f ca="1">D15*Plantilla!R17</f>
        <v>1.0441076598554864</v>
      </c>
      <c r="F15" s="83">
        <f ca="1">D15*Plantilla!S17</f>
        <v>1.1428091025328517</v>
      </c>
      <c r="M15" t="str">
        <f>Plantilla!D17</f>
        <v>J. Vartiainen</v>
      </c>
      <c r="N15" s="48">
        <f>Plantilla!J17</f>
        <v>0.15192446974244905</v>
      </c>
      <c r="O15" s="83">
        <f>Plantilla!AC17</f>
        <v>6</v>
      </c>
      <c r="P15" s="83">
        <f>Plantilla!AD17</f>
        <v>1</v>
      </c>
      <c r="Q15" s="48">
        <f ca="1">Plantilla!AI17</f>
        <v>3.0093006478249165</v>
      </c>
      <c r="R15" s="48">
        <f ca="1">Plantilla!AJ17</f>
        <v>2.3617099655837048</v>
      </c>
      <c r="S15" s="48">
        <f ca="1">Plantilla!AK17</f>
        <v>0.35355303329495436</v>
      </c>
      <c r="T15" s="48">
        <f ca="1">Plantilla!AL17</f>
        <v>0.33060890413308508</v>
      </c>
    </row>
    <row r="16" spans="1:27" x14ac:dyDescent="0.25">
      <c r="A16" t="str">
        <f>Plantilla!D18</f>
        <v>R. Forsyth</v>
      </c>
      <c r="B16" s="83">
        <f ca="1">Plantilla!Y18++Plantilla!J18+Plantilla!P18</f>
        <v>7.749855295935788</v>
      </c>
      <c r="C16" s="83">
        <f ca="1">Plantilla!AB18+Plantilla!J18+Plantilla!P18</f>
        <v>4.749855295935788</v>
      </c>
      <c r="D16" s="131">
        <f t="shared" ca="1" si="1"/>
        <v>2.1561957359759205</v>
      </c>
      <c r="E16" s="83">
        <f ca="1">D16*Plantilla!R18</f>
        <v>1.8223180002875343</v>
      </c>
      <c r="F16" s="83">
        <f ca="1">D16*Plantilla!S18</f>
        <v>1.9945851165638446</v>
      </c>
      <c r="M16" t="str">
        <f>Plantilla!D18</f>
        <v>R. Forsyth</v>
      </c>
      <c r="N16" s="48">
        <f>Plantilla!J18</f>
        <v>0.59621070845629232</v>
      </c>
      <c r="O16" s="83">
        <f>Plantilla!AC18</f>
        <v>6</v>
      </c>
      <c r="P16" s="83">
        <f>Plantilla!AD18</f>
        <v>2</v>
      </c>
      <c r="Q16" s="48">
        <f ca="1">Plantilla!AI18</f>
        <v>4.3248066216384276</v>
      </c>
      <c r="R16" s="48">
        <f ca="1">Plantilla!AJ18</f>
        <v>3.3382370089220954</v>
      </c>
      <c r="S16" s="48">
        <f ca="1">Plantilla!AK18</f>
        <v>0.41998842367486305</v>
      </c>
      <c r="T16" s="48">
        <f ca="1">Plantilla!AL18</f>
        <v>0.39248987071550517</v>
      </c>
    </row>
    <row r="17" spans="1:20" x14ac:dyDescent="0.25">
      <c r="A17">
        <f>Plantilla!D19</f>
        <v>0</v>
      </c>
      <c r="B17" s="83">
        <f ca="1">Plantilla!Y19++Plantilla!J19+Plantilla!P19</f>
        <v>5.7605729516018229</v>
      </c>
      <c r="C17" s="83">
        <f ca="1">Plantilla!AB19+Plantilla!J19+Plantilla!P19</f>
        <v>3.7605729516018238</v>
      </c>
      <c r="D17" s="131">
        <f t="shared" ca="1" si="1"/>
        <v>1.6602148568506838</v>
      </c>
      <c r="E17" s="83">
        <f ca="1">D17*Plantilla!R19</f>
        <v>1.4031376500308506</v>
      </c>
      <c r="F17" s="83">
        <f ca="1">D17*Plantilla!S19</f>
        <v>1.535778866696325</v>
      </c>
      <c r="M17">
        <f>Plantilla!D19</f>
        <v>0</v>
      </c>
      <c r="N17" s="48">
        <f>Plantilla!J19</f>
        <v>0.59621070845629232</v>
      </c>
      <c r="O17" s="83">
        <f>Plantilla!AC19</f>
        <v>9</v>
      </c>
      <c r="P17" s="83">
        <f>Plantilla!AD19</f>
        <v>1</v>
      </c>
      <c r="Q17" s="48">
        <f ca="1">Plantilla!AI19</f>
        <v>8.0888583098397291</v>
      </c>
      <c r="R17" s="48">
        <f ca="1">Plantilla!AJ19</f>
        <v>3.5163259321546634</v>
      </c>
      <c r="S17" s="48">
        <f ca="1">Plantilla!AK19</f>
        <v>0.54084583612814585</v>
      </c>
      <c r="T17" s="48">
        <f ca="1">Plantilla!AL19</f>
        <v>0.28324010661212762</v>
      </c>
    </row>
    <row r="18" spans="1:20" x14ac:dyDescent="0.25">
      <c r="A18" t="str">
        <f>Plantilla!D20</f>
        <v>V. Godoi</v>
      </c>
      <c r="B18" s="83">
        <f ca="1">Plantilla!Y20++Plantilla!J20+Plantilla!P20</f>
        <v>4.0548338861752962</v>
      </c>
      <c r="C18" s="83">
        <f ca="1">Plantilla!AB20+Plantilla!J20+Plantilla!P20</f>
        <v>6.0548338861752962</v>
      </c>
      <c r="D18" s="131">
        <f t="shared" ca="1" si="1"/>
        <v>2.0205627073157362</v>
      </c>
      <c r="E18" s="83">
        <f ca="1">D18*Plantilla!R20</f>
        <v>2.0205627073157362</v>
      </c>
      <c r="F18" s="83">
        <f ca="1">D18*Plantilla!S20</f>
        <v>2.0205627073157362</v>
      </c>
      <c r="M18" t="str">
        <f>Plantilla!D20</f>
        <v>V. Godoi</v>
      </c>
      <c r="N18" s="48">
        <f>Plantilla!J20</f>
        <v>0.98715025265899181</v>
      </c>
      <c r="O18" s="83">
        <f>Plantilla!AC20</f>
        <v>5</v>
      </c>
      <c r="P18" s="83">
        <f>Plantilla!AD20</f>
        <v>1</v>
      </c>
      <c r="Q18" s="48">
        <f ca="1">Plantilla!AI20</f>
        <v>3.5811828884474046</v>
      </c>
      <c r="R18" s="48">
        <f ca="1">Plantilla!AJ20</f>
        <v>3.2548338861752955</v>
      </c>
      <c r="S18" s="48">
        <f ca="1">Plantilla!AK20</f>
        <v>0.36438671089402369</v>
      </c>
      <c r="T18" s="48">
        <f ca="1">Plantilla!AL20</f>
        <v>0.22383837203227075</v>
      </c>
    </row>
    <row r="19" spans="1:20" x14ac:dyDescent="0.25">
      <c r="A19" t="str">
        <f>Plantilla!D21</f>
        <v>P. Tuderek</v>
      </c>
      <c r="B19" s="83">
        <f ca="1">Plantilla!Y21++Plantilla!J21+Plantilla!P21</f>
        <v>6.4258045643540624</v>
      </c>
      <c r="C19" s="83">
        <f ca="1">Plantilla!AB21+Plantilla!J21+Plantilla!P21</f>
        <v>3.4258045643540629</v>
      </c>
      <c r="D19" s="131">
        <f t="shared" ca="1" si="1"/>
        <v>1.6596767116327735</v>
      </c>
      <c r="E19" s="83">
        <f ca="1">D19*Plantilla!R21</f>
        <v>1.5365620587540345</v>
      </c>
      <c r="F19" s="83">
        <f ca="1">D19*Plantilla!S21</f>
        <v>1.6584908045777158</v>
      </c>
      <c r="M19" t="str">
        <f>Plantilla!D21</f>
        <v>P. Tuderek</v>
      </c>
      <c r="N19" s="48">
        <f>Plantilla!J21</f>
        <v>0.27215997687456639</v>
      </c>
      <c r="O19" s="83">
        <f>Plantilla!AC21</f>
        <v>6</v>
      </c>
      <c r="P19" s="83">
        <f>Plantilla!AD21</f>
        <v>8</v>
      </c>
      <c r="Q19" s="48">
        <f ca="1">Plantilla!AI21</f>
        <v>7.1297665920635342</v>
      </c>
      <c r="R19" s="48">
        <f ca="1">Plantilla!AJ21</f>
        <v>7.2452871625707651</v>
      </c>
      <c r="S19" s="48">
        <f ca="1">Plantilla!AK21</f>
        <v>0.57406436514832504</v>
      </c>
      <c r="T19" s="48">
        <f ca="1">Plantilla!AL21</f>
        <v>0.50980631950478439</v>
      </c>
    </row>
    <row r="20" spans="1:20" x14ac:dyDescent="0.25">
      <c r="A20">
        <f>Plantilla!D22</f>
        <v>0</v>
      </c>
      <c r="B20" s="83">
        <f ca="1">Plantilla!Y22++Plantilla!J22+Plantilla!P22</f>
        <v>4.3884329328870706</v>
      </c>
      <c r="C20" s="83">
        <f ca="1">Plantilla!AB22+Plantilla!J22+Plantilla!P22</f>
        <v>4.3884329328870706</v>
      </c>
      <c r="D20" s="131">
        <f t="shared" ca="1" si="1"/>
        <v>1.6456623498326515</v>
      </c>
      <c r="E20" s="83">
        <f ca="1">D20*Plantilla!R22</f>
        <v>1.390838536807594</v>
      </c>
      <c r="F20" s="83">
        <f ca="1">D20*Plantilla!S22</f>
        <v>1.5223170953818945</v>
      </c>
      <c r="M20">
        <f>Plantilla!D22</f>
        <v>0</v>
      </c>
      <c r="N20" s="48">
        <f>Plantilla!J22</f>
        <v>0.23478834540757498</v>
      </c>
      <c r="O20" s="83">
        <f>Plantilla!AC22</f>
        <v>9</v>
      </c>
      <c r="P20" s="83">
        <f>Plantilla!AD22</f>
        <v>8</v>
      </c>
      <c r="Q20" s="48">
        <f ca="1">Plantilla!AI22</f>
        <v>10.647622448965453</v>
      </c>
      <c r="R20" s="48">
        <f ca="1">Plantilla!AJ22</f>
        <v>7.3430660601528706</v>
      </c>
      <c r="S20" s="48">
        <f ca="1">Plantilla!AK22</f>
        <v>0.72107463463096566</v>
      </c>
      <c r="T20" s="48">
        <f ca="1">Plantilla!AL22</f>
        <v>0.42719030530209495</v>
      </c>
    </row>
    <row r="21" spans="1:20" x14ac:dyDescent="0.25">
      <c r="A21" t="str">
        <f>Plantilla!D23</f>
        <v>K. Helms</v>
      </c>
      <c r="B21" s="83">
        <f>Plantilla!Y23++Plantilla!J23+Plantilla!P23</f>
        <v>10.298793699949664</v>
      </c>
      <c r="C21" s="83">
        <f>Plantilla!AB23+Plantilla!J23+Plantilla!P23</f>
        <v>12.998490669646632</v>
      </c>
      <c r="D21" s="131">
        <f t="shared" si="1"/>
        <v>4.5369718799053658</v>
      </c>
      <c r="E21" s="83">
        <f>D21*Plantilla!R23</f>
        <v>4.5369718799053658</v>
      </c>
      <c r="F21" s="83">
        <f>D21*Plantilla!S23</f>
        <v>4.5369718799053658</v>
      </c>
      <c r="M21" t="str">
        <f>Plantilla!D23</f>
        <v>K. Helms</v>
      </c>
      <c r="N21" s="48">
        <f>Plantilla!J23</f>
        <v>1.5484906696466332</v>
      </c>
      <c r="O21" s="83">
        <f>Plantilla!AC23</f>
        <v>3.95</v>
      </c>
      <c r="P21" s="83">
        <f>Plantilla!AD23</f>
        <v>18</v>
      </c>
      <c r="Q21" s="48">
        <f>Plantilla!AI23</f>
        <v>15.594164379919059</v>
      </c>
      <c r="R21" s="48">
        <f>Plantilla!AJ23</f>
        <v>16.833490669646633</v>
      </c>
      <c r="S21" s="48">
        <f>Plantilla!AK23</f>
        <v>0.98137925357173061</v>
      </c>
      <c r="T21" s="48">
        <f>Plantilla!AL23</f>
        <v>1.0434064680873854</v>
      </c>
    </row>
    <row r="22" spans="1:20" x14ac:dyDescent="0.25">
      <c r="A22" t="str">
        <f>Plantilla!D24</f>
        <v>S. Zobbe</v>
      </c>
      <c r="B22" s="83">
        <f>Plantilla!Y24++Plantilla!J24+Plantilla!P24</f>
        <v>11.388170714237649</v>
      </c>
      <c r="C22" s="83">
        <f>Plantilla!AB24+Plantilla!J24+Plantilla!P24</f>
        <v>13.268170714237652</v>
      </c>
      <c r="D22" s="131">
        <f t="shared" si="1"/>
        <v>4.7405640178391195</v>
      </c>
      <c r="E22" s="83">
        <f>D22*Plantilla!R24</f>
        <v>4.0065078494896431</v>
      </c>
      <c r="F22" s="83">
        <f>D22*Plantilla!S24</f>
        <v>4.3852505022325126</v>
      </c>
      <c r="M22" t="str">
        <f>Plantilla!D24</f>
        <v>S. Zobbe</v>
      </c>
      <c r="N22" s="48">
        <f>Plantilla!J24</f>
        <v>1.5281707142376506</v>
      </c>
      <c r="O22" s="83">
        <f>Plantilla!AC24</f>
        <v>6.95</v>
      </c>
      <c r="P22" s="83">
        <f>Plantilla!AD24</f>
        <v>16</v>
      </c>
      <c r="Q22" s="48">
        <f>Plantilla!AI24</f>
        <v>16.420719455109868</v>
      </c>
      <c r="R22" s="48">
        <f>Plantilla!AJ24</f>
        <v>13.787145637250584</v>
      </c>
      <c r="S22" s="48">
        <f>Plantilla!AK24</f>
        <v>1.069753657139012</v>
      </c>
      <c r="T22" s="48">
        <f>Plantilla!AL24</f>
        <v>1.0263719499966355</v>
      </c>
    </row>
    <row r="23" spans="1:20" x14ac:dyDescent="0.25">
      <c r="A23" t="str">
        <f>Plantilla!D25</f>
        <v>L. Bauman</v>
      </c>
      <c r="B23" s="83">
        <f>Plantilla!Y25++Plantilla!J25+Plantilla!P25</f>
        <v>8.9352578030757819</v>
      </c>
      <c r="C23" s="83">
        <f>Plantilla!AB25+Plantilla!J25+Plantilla!P25</f>
        <v>11.935257803075782</v>
      </c>
      <c r="D23" s="131">
        <f t="shared" si="1"/>
        <v>4.1007216761534178</v>
      </c>
      <c r="E23" s="83">
        <f>D23*Plantilla!R25</f>
        <v>3.4657423720585152</v>
      </c>
      <c r="F23" s="83">
        <f>D23*Plantilla!S25</f>
        <v>3.7933654565569048</v>
      </c>
      <c r="M23" t="str">
        <f>Plantilla!D25</f>
        <v>L. Bauman</v>
      </c>
      <c r="N23" s="48">
        <f>Plantilla!J25</f>
        <v>1.4852578030757824</v>
      </c>
      <c r="O23" s="83">
        <f>Plantilla!AC25</f>
        <v>5.95</v>
      </c>
      <c r="P23" s="83">
        <f>Plantilla!AD25</f>
        <v>16.95</v>
      </c>
      <c r="Q23" s="48">
        <f>Plantilla!AI25</f>
        <v>15.37920414526894</v>
      </c>
      <c r="R23" s="48">
        <f>Plantilla!AJ25</f>
        <v>14.059358910775252</v>
      </c>
      <c r="S23" s="48">
        <f>Plantilla!AK25</f>
        <v>1.0448206242460625</v>
      </c>
      <c r="T23" s="48">
        <f>Plantilla!AL25</f>
        <v>0.95546804621530479</v>
      </c>
    </row>
    <row r="24" spans="1:20" x14ac:dyDescent="0.25">
      <c r="A24" t="str">
        <f>Plantilla!D26</f>
        <v>J. Limon</v>
      </c>
      <c r="B24" s="83">
        <f>Plantilla!Y26++Plantilla!J26+Plantilla!P26</f>
        <v>9.9172076220425147</v>
      </c>
      <c r="C24" s="83">
        <f>Plantilla!AB26+Plantilla!J26+Plantilla!P26</f>
        <v>13.029588574423464</v>
      </c>
      <c r="D24" s="131">
        <f t="shared" si="1"/>
        <v>4.4970480963611799</v>
      </c>
      <c r="E24" s="83">
        <f>D24*Plantilla!R26</f>
        <v>3.3994488276766033</v>
      </c>
      <c r="F24" s="83">
        <f>D24*Plantilla!S26</f>
        <v>3.7968967307736743</v>
      </c>
      <c r="M24" t="str">
        <f>Plantilla!D26</f>
        <v>J. Limon</v>
      </c>
      <c r="N24" s="48">
        <f>Plantilla!J26</f>
        <v>1.5795885744234652</v>
      </c>
      <c r="O24" s="83">
        <f>Plantilla!AC26</f>
        <v>6.95</v>
      </c>
      <c r="P24" s="83">
        <f>Plantilla!AD26</f>
        <v>18.999999999999993</v>
      </c>
      <c r="Q24" s="48">
        <f>Plantilla!AI26</f>
        <v>16.020319567335537</v>
      </c>
      <c r="R24" s="48">
        <f>Plantilla!AJ26</f>
        <v>13.957916979728321</v>
      </c>
      <c r="S24" s="48">
        <f>Plantilla!AK26</f>
        <v>1.1638670859538771</v>
      </c>
      <c r="T24" s="48">
        <f>Plantilla!AL26</f>
        <v>1.0590759621144044</v>
      </c>
    </row>
    <row r="25" spans="1:20" x14ac:dyDescent="0.25">
      <c r="A25" t="str">
        <f>Plantilla!D27</f>
        <v>P .Trivadi</v>
      </c>
      <c r="B25" s="83">
        <f>Plantilla!Y27++Plantilla!J27+Plantilla!P27</f>
        <v>6.6631099952416912</v>
      </c>
      <c r="C25" s="83">
        <f>Plantilla!AB27+Plantilla!J27+Plantilla!P27</f>
        <v>13.59310999524169</v>
      </c>
      <c r="D25" s="131">
        <f t="shared" si="1"/>
        <v>4.2311662482156338</v>
      </c>
      <c r="E25" s="83">
        <f>D25*Plantilla!R27</f>
        <v>3.198461042442502</v>
      </c>
      <c r="F25" s="83">
        <f>D25*Plantilla!S27</f>
        <v>3.5724103792016839</v>
      </c>
      <c r="M25" t="str">
        <f>Plantilla!D27</f>
        <v>P .Trivadi</v>
      </c>
      <c r="N25" s="48">
        <f>Plantilla!J27</f>
        <v>1.1431099952416914</v>
      </c>
      <c r="O25" s="83">
        <f>Plantilla!AC27</f>
        <v>7.95</v>
      </c>
      <c r="P25" s="83">
        <f>Plantilla!AD27</f>
        <v>14</v>
      </c>
      <c r="Q25" s="48">
        <f>Plantilla!AI27</f>
        <v>14.467174605147093</v>
      </c>
      <c r="R25" s="48">
        <f>Plantilla!AJ27</f>
        <v>11.208997560148759</v>
      </c>
      <c r="S25" s="48">
        <f>Plantilla!AK27</f>
        <v>1.0289487996193352</v>
      </c>
      <c r="T25" s="48">
        <f>Plantilla!AL27</f>
        <v>0.76581769966691837</v>
      </c>
    </row>
    <row r="26" spans="1:20" x14ac:dyDescent="0.25">
      <c r="B26" s="83"/>
      <c r="C26" s="83"/>
      <c r="D26" s="131"/>
      <c r="E26" s="83"/>
      <c r="F26" s="83"/>
    </row>
    <row r="27" spans="1:20" ht="18.75" x14ac:dyDescent="0.3">
      <c r="A27" s="670" t="s">
        <v>454</v>
      </c>
      <c r="B27" s="670"/>
      <c r="C27" s="670"/>
      <c r="D27" s="670"/>
      <c r="E27" s="670"/>
      <c r="F27" s="670"/>
      <c r="G27" s="670"/>
      <c r="H27" s="670"/>
      <c r="I27" s="670"/>
      <c r="J27" s="670"/>
    </row>
    <row r="28" spans="1:20" x14ac:dyDescent="0.25">
      <c r="A28" s="145" t="s">
        <v>214</v>
      </c>
      <c r="B28" s="145" t="str">
        <f>D1</f>
        <v>N_CA</v>
      </c>
      <c r="C28" s="118" t="s">
        <v>231</v>
      </c>
      <c r="D28" s="118" t="s">
        <v>232</v>
      </c>
      <c r="G28" s="145" t="s">
        <v>214</v>
      </c>
      <c r="H28" s="145" t="str">
        <f>B28</f>
        <v>N_CA</v>
      </c>
      <c r="I28" s="118" t="s">
        <v>231</v>
      </c>
      <c r="J28" s="118" t="s">
        <v>232</v>
      </c>
    </row>
    <row r="29" spans="1:20" x14ac:dyDescent="0.25">
      <c r="A29" s="48" t="str">
        <f>A7</f>
        <v>E. Romweber</v>
      </c>
      <c r="B29" s="48">
        <f>D7</f>
        <v>5.422589287434592</v>
      </c>
      <c r="C29" s="48">
        <f>E7</f>
        <v>5.0203421551182625</v>
      </c>
      <c r="D29" s="48">
        <f>F7</f>
        <v>5.4187146250695806</v>
      </c>
      <c r="G29" s="48" t="str">
        <f>A29</f>
        <v>E. Romweber</v>
      </c>
      <c r="H29" s="48">
        <f>B29</f>
        <v>5.422589287434592</v>
      </c>
      <c r="I29" s="48">
        <f t="shared" ref="I29:J32" si="3">C29</f>
        <v>5.0203421551182625</v>
      </c>
      <c r="J29" s="48">
        <f t="shared" si="3"/>
        <v>5.4187146250695806</v>
      </c>
    </row>
    <row r="30" spans="1:20" x14ac:dyDescent="0.25">
      <c r="A30" s="48" t="str">
        <f>A4</f>
        <v>E. Toney</v>
      </c>
      <c r="B30" s="48">
        <f>D4</f>
        <v>4.9331268004764146</v>
      </c>
      <c r="C30" s="48">
        <f>E4</f>
        <v>4.1692531045379155</v>
      </c>
      <c r="D30" s="48">
        <f>F4</f>
        <v>4.5633803695001642</v>
      </c>
      <c r="G30" s="48" t="str">
        <f>A30</f>
        <v>E. Toney</v>
      </c>
      <c r="H30" s="48">
        <f>B30</f>
        <v>4.9331268004764146</v>
      </c>
      <c r="I30" s="48">
        <f t="shared" si="3"/>
        <v>4.1692531045379155</v>
      </c>
      <c r="J30" s="48">
        <f t="shared" si="3"/>
        <v>4.5633803695001642</v>
      </c>
    </row>
    <row r="31" spans="1:20" x14ac:dyDescent="0.25">
      <c r="A31" t="str">
        <f>A8</f>
        <v>S. Buschelman</v>
      </c>
      <c r="B31" s="48">
        <f t="shared" ref="B31:D32" si="4">D8</f>
        <v>4.8122868768105445</v>
      </c>
      <c r="C31" s="48">
        <f t="shared" si="4"/>
        <v>4.0671247289106365</v>
      </c>
      <c r="D31" s="48">
        <f t="shared" si="4"/>
        <v>4.4515976082187247</v>
      </c>
      <c r="G31" s="48" t="str">
        <f>A31</f>
        <v>S. Buschelman</v>
      </c>
      <c r="H31" s="48">
        <f>B31</f>
        <v>4.8122868768105445</v>
      </c>
      <c r="I31" s="48">
        <f t="shared" si="3"/>
        <v>4.0671247289106365</v>
      </c>
      <c r="J31" s="48">
        <f t="shared" si="3"/>
        <v>4.4515976082187247</v>
      </c>
    </row>
    <row r="32" spans="1:20" x14ac:dyDescent="0.25">
      <c r="A32" s="48" t="str">
        <f>A9</f>
        <v>E. Gross</v>
      </c>
      <c r="B32" s="48">
        <f t="shared" si="4"/>
        <v>4.6933595563276889</v>
      </c>
      <c r="C32" s="48">
        <f t="shared" si="4"/>
        <v>4.6933595563276889</v>
      </c>
      <c r="D32" s="48">
        <f t="shared" si="4"/>
        <v>4.6933595563276889</v>
      </c>
      <c r="G32" s="48" t="str">
        <f>A32</f>
        <v>E. Gross</v>
      </c>
      <c r="H32" s="48">
        <f>B32</f>
        <v>4.6933595563276889</v>
      </c>
      <c r="I32" s="48">
        <f t="shared" si="3"/>
        <v>4.6933595563276889</v>
      </c>
      <c r="J32" s="48">
        <f t="shared" si="3"/>
        <v>4.6933595563276889</v>
      </c>
    </row>
    <row r="33" spans="1:10" x14ac:dyDescent="0.25">
      <c r="A33" t="str">
        <f>A5</f>
        <v>B. Bartolache</v>
      </c>
      <c r="B33" s="48">
        <f>D5</f>
        <v>4.5973549848239337</v>
      </c>
      <c r="C33" s="48">
        <f>E5</f>
        <v>4.2563236507395308</v>
      </c>
      <c r="D33" s="48">
        <f>F5</f>
        <v>4.5940699862016752</v>
      </c>
      <c r="H33" s="48"/>
      <c r="I33" s="83"/>
      <c r="J33" s="83"/>
    </row>
    <row r="34" spans="1:10" x14ac:dyDescent="0.25">
      <c r="B34" s="160">
        <f>SUM(B29:B33)</f>
        <v>24.458717505873171</v>
      </c>
      <c r="C34" s="320">
        <f t="shared" ref="C34:D34" si="5">SUM(C29:C33)</f>
        <v>22.206403195634035</v>
      </c>
      <c r="D34" s="320">
        <f t="shared" si="5"/>
        <v>23.721122145317835</v>
      </c>
      <c r="E34" s="160"/>
      <c r="G34" s="160"/>
      <c r="H34" s="160">
        <f>SUM(H29:H33)</f>
        <v>19.861362521049237</v>
      </c>
      <c r="I34" s="320">
        <f t="shared" ref="I34:J34" si="6">SUM(I29:I33)</f>
        <v>17.950079544894503</v>
      </c>
      <c r="J34" s="320">
        <f t="shared" si="6"/>
        <v>19.127052159116161</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42" priority="1" operator="lessThan">
      <formula>11</formula>
    </cfRule>
    <cfRule type="cellIs" dxfId="41" priority="2" operator="between">
      <formula>11</formula>
      <formula>15</formula>
    </cfRule>
    <cfRule type="cellIs" dxfId="40"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Z27"/>
  <sheetViews>
    <sheetView workbookViewId="0">
      <selection activeCell="I32" sqref="I32"/>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24" t="s">
        <v>231</v>
      </c>
      <c r="F1" s="125" t="s">
        <v>232</v>
      </c>
      <c r="G1" s="8"/>
      <c r="H1" s="8"/>
      <c r="I1" s="126" t="s">
        <v>231</v>
      </c>
      <c r="J1" s="127" t="s">
        <v>232</v>
      </c>
      <c r="K1" s="7"/>
      <c r="P1" s="124" t="s">
        <v>231</v>
      </c>
      <c r="Q1" s="125" t="s">
        <v>232</v>
      </c>
      <c r="R1" s="124"/>
      <c r="S1" s="125"/>
      <c r="W1" s="124" t="s">
        <v>231</v>
      </c>
      <c r="X1" s="125" t="s">
        <v>232</v>
      </c>
      <c r="Y1" s="124"/>
      <c r="Z1" s="125"/>
    </row>
    <row r="2" spans="1:26" x14ac:dyDescent="0.25">
      <c r="A2" s="123" t="s">
        <v>71</v>
      </c>
      <c r="B2" s="123" t="s">
        <v>233</v>
      </c>
      <c r="C2" s="123" t="s">
        <v>234</v>
      </c>
      <c r="D2" s="123" t="s">
        <v>79</v>
      </c>
      <c r="E2" s="124" t="s">
        <v>68</v>
      </c>
      <c r="F2" s="125" t="s">
        <v>68</v>
      </c>
      <c r="G2" s="8" t="s">
        <v>75</v>
      </c>
      <c r="H2" s="8" t="s">
        <v>75</v>
      </c>
      <c r="I2" s="126" t="s">
        <v>235</v>
      </c>
      <c r="J2" s="127" t="s">
        <v>235</v>
      </c>
      <c r="K2" s="7"/>
      <c r="P2" s="124" t="s">
        <v>68</v>
      </c>
      <c r="Q2" s="125" t="s">
        <v>68</v>
      </c>
      <c r="R2" s="124" t="s">
        <v>75</v>
      </c>
      <c r="S2" s="125" t="s">
        <v>75</v>
      </c>
      <c r="W2" s="124" t="s">
        <v>68</v>
      </c>
      <c r="X2" s="125" t="s">
        <v>68</v>
      </c>
      <c r="Y2" s="124" t="s">
        <v>75</v>
      </c>
      <c r="Z2" s="125" t="s">
        <v>75</v>
      </c>
    </row>
    <row r="3" spans="1:26" x14ac:dyDescent="0.25">
      <c r="A3" s="133" t="str">
        <f>Plantilla!D4</f>
        <v>D. Gehmacher</v>
      </c>
      <c r="B3" s="50">
        <f>Plantilla!E4</f>
        <v>35</v>
      </c>
      <c r="C3" s="50">
        <f>Plantilla!H4</f>
        <v>6</v>
      </c>
      <c r="D3" s="134">
        <f>Plantilla!I4</f>
        <v>23.7</v>
      </c>
      <c r="E3" s="128">
        <f>D3</f>
        <v>23.7</v>
      </c>
      <c r="F3" s="128">
        <f>E3+0.1</f>
        <v>23.8</v>
      </c>
      <c r="G3" s="128">
        <f>C3</f>
        <v>6</v>
      </c>
      <c r="H3" s="128">
        <f t="shared" ref="H3" si="0">G3+0.99</f>
        <v>6.99</v>
      </c>
      <c r="I3" s="132">
        <f t="shared" ref="I3:J3" si="1">G3*G3*E3</f>
        <v>853.19999999999993</v>
      </c>
      <c r="J3" s="132">
        <f t="shared" si="1"/>
        <v>1162.8703800000001</v>
      </c>
      <c r="K3" s="129"/>
      <c r="N3" s="2" t="s">
        <v>235</v>
      </c>
      <c r="O3" t="str">
        <f>A3</f>
        <v>D. Gehmacher</v>
      </c>
      <c r="P3" s="130">
        <f>E3</f>
        <v>23.7</v>
      </c>
      <c r="Q3" s="130">
        <f t="shared" ref="Q3:S3" si="2">F3</f>
        <v>23.8</v>
      </c>
      <c r="R3" s="130">
        <f t="shared" si="2"/>
        <v>6</v>
      </c>
      <c r="S3" s="130">
        <f t="shared" si="2"/>
        <v>6.99</v>
      </c>
      <c r="U3" s="2" t="s">
        <v>235</v>
      </c>
      <c r="V3" s="55" t="str">
        <f>O3</f>
        <v>D. Gehmacher</v>
      </c>
      <c r="W3" s="130">
        <f>P3</f>
        <v>23.7</v>
      </c>
      <c r="X3" s="130">
        <f t="shared" ref="X3:Z3" si="3">Q3</f>
        <v>23.8</v>
      </c>
      <c r="Y3" s="130">
        <f t="shared" si="3"/>
        <v>6</v>
      </c>
      <c r="Z3" s="130">
        <f t="shared" si="3"/>
        <v>6.99</v>
      </c>
    </row>
    <row r="4" spans="1:26" x14ac:dyDescent="0.25">
      <c r="A4" s="133" t="str">
        <f>Plantilla!D5</f>
        <v>T. Hammond</v>
      </c>
      <c r="B4" s="50">
        <f>Plantilla!E5</f>
        <v>39</v>
      </c>
      <c r="C4" s="50">
        <f>Plantilla!H5</f>
        <v>3</v>
      </c>
      <c r="D4" s="134">
        <f>Plantilla!I5</f>
        <v>8.4</v>
      </c>
      <c r="E4" s="128">
        <f t="shared" ref="E4:E26" si="4">D4</f>
        <v>8.4</v>
      </c>
      <c r="F4" s="128">
        <f t="shared" ref="F4:F26" si="5">E4+0.1</f>
        <v>8.5</v>
      </c>
      <c r="G4" s="128">
        <f t="shared" ref="G4:G26" si="6">C4</f>
        <v>3</v>
      </c>
      <c r="H4" s="128">
        <f t="shared" ref="H4:H26" si="7">G4+0.99</f>
        <v>3.99</v>
      </c>
      <c r="I4" s="132">
        <f t="shared" ref="I4:I26" si="8">G4*G4*E4</f>
        <v>75.600000000000009</v>
      </c>
      <c r="J4" s="132">
        <f t="shared" ref="J4:J26" si="9">H4*H4*F4</f>
        <v>135.32085000000001</v>
      </c>
      <c r="K4" s="129"/>
      <c r="O4" t="str">
        <f>A7</f>
        <v>F. Lasprilla</v>
      </c>
      <c r="P4" s="130">
        <f>E7</f>
        <v>6.3</v>
      </c>
      <c r="Q4" s="130">
        <f t="shared" ref="Q4:S4" si="10">F7</f>
        <v>6.3999999999999995</v>
      </c>
      <c r="R4" s="130">
        <f t="shared" si="10"/>
        <v>4</v>
      </c>
      <c r="S4" s="130">
        <f t="shared" si="10"/>
        <v>4.99</v>
      </c>
      <c r="V4" s="55" t="str">
        <f t="shared" ref="V4:V13" si="11">O4</f>
        <v>F. Lasprilla</v>
      </c>
      <c r="W4" s="130">
        <f t="shared" ref="W4:W13" si="12">P4</f>
        <v>6.3</v>
      </c>
      <c r="X4" s="130">
        <f t="shared" ref="X4:X13" si="13">Q4</f>
        <v>6.3999999999999995</v>
      </c>
      <c r="Y4" s="130">
        <f t="shared" ref="Y4:Y13" si="14">R4</f>
        <v>4</v>
      </c>
      <c r="Z4" s="130">
        <f t="shared" ref="Z4:Z13" si="15">S4</f>
        <v>4.99</v>
      </c>
    </row>
    <row r="5" spans="1:26" x14ac:dyDescent="0.25">
      <c r="A5" s="133" t="str">
        <f>Plantilla!D6</f>
        <v>E. Toney</v>
      </c>
      <c r="B5" s="50">
        <f>Plantilla!E6</f>
        <v>36</v>
      </c>
      <c r="C5" s="50">
        <f>Plantilla!H6</f>
        <v>4</v>
      </c>
      <c r="D5" s="134">
        <f>Plantilla!I6</f>
        <v>18</v>
      </c>
      <c r="E5" s="128">
        <f t="shared" si="4"/>
        <v>18</v>
      </c>
      <c r="F5" s="128">
        <f t="shared" si="5"/>
        <v>18.100000000000001</v>
      </c>
      <c r="G5" s="128">
        <f t="shared" si="6"/>
        <v>4</v>
      </c>
      <c r="H5" s="128">
        <f t="shared" si="7"/>
        <v>4.99</v>
      </c>
      <c r="I5" s="132">
        <f t="shared" si="8"/>
        <v>288</v>
      </c>
      <c r="J5" s="132">
        <f t="shared" si="9"/>
        <v>450.69181000000009</v>
      </c>
      <c r="K5" s="129"/>
      <c r="L5" s="54"/>
      <c r="O5" t="str">
        <f>A14</f>
        <v>G. Piscaer</v>
      </c>
      <c r="P5" s="130">
        <f>E14</f>
        <v>1.8</v>
      </c>
      <c r="Q5" s="130">
        <f t="shared" ref="Q5:S5" si="16">F14</f>
        <v>1.9000000000000001</v>
      </c>
      <c r="R5" s="130">
        <f t="shared" si="16"/>
        <v>1</v>
      </c>
      <c r="S5" s="130">
        <f t="shared" si="16"/>
        <v>1.99</v>
      </c>
      <c r="V5" s="55" t="str">
        <f t="shared" si="11"/>
        <v>G. Piscaer</v>
      </c>
      <c r="W5" s="130">
        <f t="shared" si="12"/>
        <v>1.8</v>
      </c>
      <c r="X5" s="130">
        <f t="shared" si="13"/>
        <v>1.9000000000000001</v>
      </c>
      <c r="Y5" s="130">
        <f t="shared" si="14"/>
        <v>1</v>
      </c>
      <c r="Z5" s="130">
        <f t="shared" si="15"/>
        <v>1.99</v>
      </c>
    </row>
    <row r="6" spans="1:26" x14ac:dyDescent="0.25">
      <c r="A6" s="133" t="str">
        <f>Plantilla!D7</f>
        <v>B. Bartolache</v>
      </c>
      <c r="B6" s="50">
        <f>Plantilla!E7</f>
        <v>36</v>
      </c>
      <c r="C6" s="50">
        <f>Plantilla!H7</f>
        <v>3</v>
      </c>
      <c r="D6" s="134">
        <f>Plantilla!I7</f>
        <v>11.8</v>
      </c>
      <c r="E6" s="128">
        <f t="shared" si="4"/>
        <v>11.8</v>
      </c>
      <c r="F6" s="128">
        <f t="shared" si="5"/>
        <v>11.9</v>
      </c>
      <c r="G6" s="128">
        <f t="shared" si="6"/>
        <v>3</v>
      </c>
      <c r="H6" s="128">
        <f t="shared" si="7"/>
        <v>3.99</v>
      </c>
      <c r="I6" s="132">
        <f t="shared" si="8"/>
        <v>106.2</v>
      </c>
      <c r="J6" s="132">
        <f t="shared" si="9"/>
        <v>189.44919000000002</v>
      </c>
      <c r="K6" s="129"/>
      <c r="O6" t="str">
        <f>A5</f>
        <v>E. Toney</v>
      </c>
      <c r="P6" s="130">
        <f>E5</f>
        <v>18</v>
      </c>
      <c r="Q6" s="130">
        <f t="shared" ref="Q6:S6" si="17">F5</f>
        <v>18.100000000000001</v>
      </c>
      <c r="R6" s="130">
        <f t="shared" si="17"/>
        <v>4</v>
      </c>
      <c r="S6" s="130">
        <f t="shared" si="17"/>
        <v>4.99</v>
      </c>
      <c r="V6" s="55" t="str">
        <f t="shared" si="11"/>
        <v>E. Toney</v>
      </c>
      <c r="W6" s="130">
        <f t="shared" si="12"/>
        <v>18</v>
      </c>
      <c r="X6" s="130">
        <f t="shared" si="13"/>
        <v>18.100000000000001</v>
      </c>
      <c r="Y6" s="130">
        <f t="shared" si="14"/>
        <v>4</v>
      </c>
      <c r="Z6" s="130">
        <f t="shared" si="15"/>
        <v>4.99</v>
      </c>
    </row>
    <row r="7" spans="1:26" x14ac:dyDescent="0.25">
      <c r="A7" s="133" t="str">
        <f>Plantilla!D8</f>
        <v>F. Lasprilla</v>
      </c>
      <c r="B7" s="50">
        <f>Plantilla!E8</f>
        <v>32</v>
      </c>
      <c r="C7" s="50">
        <f>Plantilla!H8</f>
        <v>4</v>
      </c>
      <c r="D7" s="134">
        <f>Plantilla!I8</f>
        <v>6.3</v>
      </c>
      <c r="E7" s="128">
        <f t="shared" si="4"/>
        <v>6.3</v>
      </c>
      <c r="F7" s="128">
        <f t="shared" si="5"/>
        <v>6.3999999999999995</v>
      </c>
      <c r="G7" s="128">
        <f t="shared" si="6"/>
        <v>4</v>
      </c>
      <c r="H7" s="128">
        <f t="shared" si="7"/>
        <v>4.99</v>
      </c>
      <c r="I7" s="132">
        <f t="shared" si="8"/>
        <v>100.8</v>
      </c>
      <c r="J7" s="132">
        <f t="shared" si="9"/>
        <v>159.36063999999999</v>
      </c>
      <c r="K7" s="129"/>
      <c r="O7" t="str">
        <f>A6</f>
        <v>B. Bartolache</v>
      </c>
      <c r="P7" s="130">
        <f>E6</f>
        <v>11.8</v>
      </c>
      <c r="Q7" s="130">
        <f t="shared" ref="Q7" si="18">F6</f>
        <v>11.9</v>
      </c>
      <c r="R7" s="130">
        <f t="shared" ref="R7" si="19">G6</f>
        <v>3</v>
      </c>
      <c r="S7" s="130">
        <f t="shared" ref="S7" si="20">H6</f>
        <v>3.99</v>
      </c>
      <c r="V7" s="55" t="str">
        <f t="shared" si="11"/>
        <v>B. Bartolache</v>
      </c>
      <c r="W7" s="130">
        <f t="shared" si="12"/>
        <v>11.8</v>
      </c>
      <c r="X7" s="130">
        <f t="shared" si="13"/>
        <v>11.9</v>
      </c>
      <c r="Y7" s="130">
        <f t="shared" si="14"/>
        <v>3</v>
      </c>
      <c r="Z7" s="130">
        <f t="shared" si="15"/>
        <v>3.99</v>
      </c>
    </row>
    <row r="8" spans="1:26" x14ac:dyDescent="0.25">
      <c r="A8" s="133" t="str">
        <f>Plantilla!D9</f>
        <v>E. Romweber</v>
      </c>
      <c r="B8" s="50">
        <f>Plantilla!E9</f>
        <v>35</v>
      </c>
      <c r="C8" s="50">
        <f>Plantilla!H9</f>
        <v>0</v>
      </c>
      <c r="D8" s="134">
        <f>Plantilla!I9</f>
        <v>17.100000000000001</v>
      </c>
      <c r="E8" s="128">
        <f t="shared" si="4"/>
        <v>17.100000000000001</v>
      </c>
      <c r="F8" s="128">
        <f t="shared" si="5"/>
        <v>17.200000000000003</v>
      </c>
      <c r="G8" s="128">
        <f t="shared" si="6"/>
        <v>0</v>
      </c>
      <c r="H8" s="128">
        <f t="shared" si="7"/>
        <v>0.99</v>
      </c>
      <c r="I8" s="132">
        <f t="shared" si="8"/>
        <v>0</v>
      </c>
      <c r="J8" s="132">
        <f t="shared" si="9"/>
        <v>16.857720000000004</v>
      </c>
      <c r="K8" s="129"/>
      <c r="O8" t="str">
        <f>A12</f>
        <v>I. Vanags</v>
      </c>
      <c r="P8" s="130">
        <f>E12</f>
        <v>0.4</v>
      </c>
      <c r="Q8" s="130">
        <f t="shared" ref="Q8:S8" si="21">F12</f>
        <v>0.5</v>
      </c>
      <c r="R8" s="130">
        <f t="shared" si="21"/>
        <v>4</v>
      </c>
      <c r="S8" s="130">
        <f t="shared" si="21"/>
        <v>4.99</v>
      </c>
      <c r="V8" s="55" t="str">
        <f t="shared" si="11"/>
        <v>I. Vanags</v>
      </c>
      <c r="W8" s="130">
        <f t="shared" si="12"/>
        <v>0.4</v>
      </c>
      <c r="X8" s="130">
        <f t="shared" si="13"/>
        <v>0.5</v>
      </c>
      <c r="Y8" s="130">
        <f t="shared" si="14"/>
        <v>4</v>
      </c>
      <c r="Z8" s="130">
        <f t="shared" si="15"/>
        <v>4.99</v>
      </c>
    </row>
    <row r="9" spans="1:26" x14ac:dyDescent="0.25">
      <c r="A9" s="133" t="str">
        <f>Plantilla!D10</f>
        <v>S. Buschelman</v>
      </c>
      <c r="B9" s="50">
        <f>Plantilla!E10</f>
        <v>34</v>
      </c>
      <c r="C9" s="50">
        <f>Plantilla!H10</f>
        <v>3</v>
      </c>
      <c r="D9" s="134">
        <f>Plantilla!I10</f>
        <v>14.8</v>
      </c>
      <c r="E9" s="128">
        <f t="shared" si="4"/>
        <v>14.8</v>
      </c>
      <c r="F9" s="128">
        <f t="shared" si="5"/>
        <v>14.9</v>
      </c>
      <c r="G9" s="128">
        <f t="shared" si="6"/>
        <v>3</v>
      </c>
      <c r="H9" s="128">
        <f t="shared" si="7"/>
        <v>3.99</v>
      </c>
      <c r="I9" s="132">
        <f t="shared" si="8"/>
        <v>133.20000000000002</v>
      </c>
      <c r="J9" s="132">
        <f t="shared" si="9"/>
        <v>237.20949000000002</v>
      </c>
      <c r="K9" s="129"/>
      <c r="O9" t="str">
        <f>A15</f>
        <v>M. Bondarewski</v>
      </c>
      <c r="P9" s="130">
        <f>E15</f>
        <v>1.6</v>
      </c>
      <c r="Q9" s="130">
        <f t="shared" ref="Q9:S9" si="22">F15</f>
        <v>1.7000000000000002</v>
      </c>
      <c r="R9" s="130">
        <f t="shared" si="22"/>
        <v>1</v>
      </c>
      <c r="S9" s="130">
        <f t="shared" si="22"/>
        <v>1.99</v>
      </c>
      <c r="V9" s="55" t="str">
        <f t="shared" si="11"/>
        <v>M. Bondarewski</v>
      </c>
      <c r="W9" s="130">
        <f t="shared" si="12"/>
        <v>1.6</v>
      </c>
      <c r="X9" s="130">
        <f t="shared" si="13"/>
        <v>1.7000000000000002</v>
      </c>
      <c r="Y9" s="130">
        <f t="shared" si="14"/>
        <v>1</v>
      </c>
      <c r="Z9" s="130">
        <f t="shared" si="15"/>
        <v>1.99</v>
      </c>
    </row>
    <row r="10" spans="1:26" x14ac:dyDescent="0.25">
      <c r="A10" s="133" t="str">
        <f>Plantilla!D11</f>
        <v>E. Gross</v>
      </c>
      <c r="B10" s="50">
        <f>Plantilla!E11</f>
        <v>35</v>
      </c>
      <c r="C10" s="50">
        <f>Plantilla!H11</f>
        <v>3</v>
      </c>
      <c r="D10" s="134">
        <f>Plantilla!I11</f>
        <v>13.1</v>
      </c>
      <c r="E10" s="128">
        <f t="shared" si="4"/>
        <v>13.1</v>
      </c>
      <c r="F10" s="128">
        <f t="shared" si="5"/>
        <v>13.2</v>
      </c>
      <c r="G10" s="128">
        <f t="shared" si="6"/>
        <v>3</v>
      </c>
      <c r="H10" s="128">
        <f t="shared" si="7"/>
        <v>3.99</v>
      </c>
      <c r="I10" s="132">
        <f t="shared" si="8"/>
        <v>117.89999999999999</v>
      </c>
      <c r="J10" s="132">
        <f t="shared" si="9"/>
        <v>210.14532</v>
      </c>
      <c r="K10" s="129"/>
      <c r="O10" t="str">
        <f>A13</f>
        <v>I. Stone</v>
      </c>
      <c r="P10" s="130">
        <f>E13</f>
        <v>1.2</v>
      </c>
      <c r="Q10" s="130">
        <f t="shared" ref="Q10:S10" si="23">F13</f>
        <v>1.3</v>
      </c>
      <c r="R10" s="130">
        <f t="shared" si="23"/>
        <v>6</v>
      </c>
      <c r="S10" s="130">
        <f t="shared" si="23"/>
        <v>6.99</v>
      </c>
      <c r="V10" s="55" t="str">
        <f t="shared" si="11"/>
        <v>I. Stone</v>
      </c>
      <c r="W10" s="130">
        <f t="shared" si="12"/>
        <v>1.2</v>
      </c>
      <c r="X10" s="130">
        <f t="shared" si="13"/>
        <v>1.3</v>
      </c>
      <c r="Y10" s="130">
        <f t="shared" si="14"/>
        <v>6</v>
      </c>
      <c r="Z10" s="130">
        <f t="shared" si="15"/>
        <v>6.99</v>
      </c>
    </row>
    <row r="11" spans="1:26" x14ac:dyDescent="0.25">
      <c r="A11" s="133" t="str">
        <f>Plantilla!D12</f>
        <v>W. Gelifini</v>
      </c>
      <c r="B11" s="50">
        <f>Plantilla!E12</f>
        <v>34</v>
      </c>
      <c r="C11" s="50">
        <f>Plantilla!H12</f>
        <v>2</v>
      </c>
      <c r="D11" s="134">
        <f>Plantilla!I12</f>
        <v>4.5</v>
      </c>
      <c r="E11" s="128">
        <f t="shared" si="4"/>
        <v>4.5</v>
      </c>
      <c r="F11" s="128">
        <f t="shared" si="5"/>
        <v>4.5999999999999996</v>
      </c>
      <c r="G11" s="128">
        <f t="shared" si="6"/>
        <v>2</v>
      </c>
      <c r="H11" s="128">
        <f t="shared" si="7"/>
        <v>2.99</v>
      </c>
      <c r="I11" s="132">
        <f t="shared" si="8"/>
        <v>18</v>
      </c>
      <c r="J11" s="132">
        <f t="shared" si="9"/>
        <v>41.124459999999999</v>
      </c>
      <c r="K11" s="129"/>
      <c r="O11" t="str">
        <f>A10</f>
        <v>E. Gross</v>
      </c>
      <c r="P11" s="130">
        <f>E10</f>
        <v>13.1</v>
      </c>
      <c r="Q11" s="130">
        <f t="shared" ref="Q11:S11" si="24">F10</f>
        <v>13.2</v>
      </c>
      <c r="R11" s="130">
        <f t="shared" si="24"/>
        <v>3</v>
      </c>
      <c r="S11" s="130">
        <f t="shared" si="24"/>
        <v>3.99</v>
      </c>
      <c r="V11" s="55" t="str">
        <f t="shared" si="11"/>
        <v>E. Gross</v>
      </c>
      <c r="W11" s="130">
        <f t="shared" si="12"/>
        <v>13.1</v>
      </c>
      <c r="X11" s="130">
        <f t="shared" si="13"/>
        <v>13.2</v>
      </c>
      <c r="Y11" s="130">
        <f t="shared" si="14"/>
        <v>3</v>
      </c>
      <c r="Z11" s="130">
        <f t="shared" si="15"/>
        <v>3.99</v>
      </c>
    </row>
    <row r="12" spans="1:26" x14ac:dyDescent="0.25">
      <c r="A12" s="133" t="str">
        <f>Plantilla!D13</f>
        <v>I. Vanags</v>
      </c>
      <c r="B12" s="50">
        <f>Plantilla!E13</f>
        <v>18</v>
      </c>
      <c r="C12" s="50">
        <f>Plantilla!H13</f>
        <v>4</v>
      </c>
      <c r="D12" s="134">
        <f>Plantilla!I13</f>
        <v>0.4</v>
      </c>
      <c r="E12" s="128">
        <f t="shared" si="4"/>
        <v>0.4</v>
      </c>
      <c r="F12" s="128">
        <f t="shared" si="5"/>
        <v>0.5</v>
      </c>
      <c r="G12" s="128">
        <f t="shared" si="6"/>
        <v>4</v>
      </c>
      <c r="H12" s="128">
        <f t="shared" si="7"/>
        <v>4.99</v>
      </c>
      <c r="I12" s="132">
        <f t="shared" si="8"/>
        <v>6.4</v>
      </c>
      <c r="J12" s="132">
        <f t="shared" si="9"/>
        <v>12.450050000000001</v>
      </c>
      <c r="K12" s="129"/>
      <c r="O12" t="str">
        <f>A20</f>
        <v>P. Tuderek</v>
      </c>
      <c r="P12" s="130">
        <f>E20</f>
        <v>0.6</v>
      </c>
      <c r="Q12" s="130">
        <f t="shared" ref="Q12:S12" si="25">F20</f>
        <v>0.7</v>
      </c>
      <c r="R12" s="130">
        <f t="shared" si="25"/>
        <v>4</v>
      </c>
      <c r="S12" s="130">
        <f t="shared" si="25"/>
        <v>4.99</v>
      </c>
      <c r="V12" s="55" t="str">
        <f t="shared" si="11"/>
        <v>P. Tuderek</v>
      </c>
      <c r="W12" s="130">
        <f t="shared" si="12"/>
        <v>0.6</v>
      </c>
      <c r="X12" s="130">
        <f t="shared" si="13"/>
        <v>0.7</v>
      </c>
      <c r="Y12" s="130">
        <f t="shared" si="14"/>
        <v>4</v>
      </c>
      <c r="Z12" s="130">
        <f t="shared" si="15"/>
        <v>4.99</v>
      </c>
    </row>
    <row r="13" spans="1:26" x14ac:dyDescent="0.25">
      <c r="A13" s="332" t="str">
        <f>Plantilla!D14</f>
        <v>I. Stone</v>
      </c>
      <c r="B13" s="333">
        <f>Plantilla!E14</f>
        <v>18</v>
      </c>
      <c r="C13" s="333">
        <f>Plantilla!H14</f>
        <v>6</v>
      </c>
      <c r="D13" s="334">
        <f>Plantilla!I14</f>
        <v>1.2</v>
      </c>
      <c r="E13" s="335">
        <f t="shared" si="4"/>
        <v>1.2</v>
      </c>
      <c r="F13" s="335">
        <f t="shared" si="5"/>
        <v>1.3</v>
      </c>
      <c r="G13" s="335">
        <f t="shared" si="6"/>
        <v>6</v>
      </c>
      <c r="H13" s="335">
        <f t="shared" si="7"/>
        <v>6.99</v>
      </c>
      <c r="I13" s="336">
        <f t="shared" si="8"/>
        <v>43.199999999999996</v>
      </c>
      <c r="J13" s="336">
        <f t="shared" si="9"/>
        <v>63.518130000000006</v>
      </c>
      <c r="K13" s="129"/>
      <c r="O13" t="str">
        <f>A19</f>
        <v>V. Godoi</v>
      </c>
      <c r="P13" s="130">
        <f>E19</f>
        <v>4.5</v>
      </c>
      <c r="Q13" s="130">
        <f t="shared" ref="Q13:S13" si="26">F19</f>
        <v>4.5999999999999996</v>
      </c>
      <c r="R13" s="130">
        <f t="shared" si="26"/>
        <v>5</v>
      </c>
      <c r="S13" s="130">
        <f t="shared" si="26"/>
        <v>5.99</v>
      </c>
      <c r="V13" s="55" t="str">
        <f t="shared" si="11"/>
        <v>V. Godoi</v>
      </c>
      <c r="W13" s="130">
        <f t="shared" si="12"/>
        <v>4.5</v>
      </c>
      <c r="X13" s="130">
        <f t="shared" si="13"/>
        <v>4.5999999999999996</v>
      </c>
      <c r="Y13" s="130">
        <f t="shared" si="14"/>
        <v>5</v>
      </c>
      <c r="Z13" s="130">
        <f t="shared" si="15"/>
        <v>5.99</v>
      </c>
    </row>
    <row r="14" spans="1:26" x14ac:dyDescent="0.25">
      <c r="A14" s="133" t="str">
        <f>Plantilla!D15</f>
        <v>G. Piscaer</v>
      </c>
      <c r="B14" s="50">
        <f>Plantilla!E15</f>
        <v>18</v>
      </c>
      <c r="C14" s="50">
        <f>Plantilla!H15</f>
        <v>1</v>
      </c>
      <c r="D14" s="134">
        <f>Plantilla!I15</f>
        <v>1.8</v>
      </c>
      <c r="E14" s="128">
        <f t="shared" si="4"/>
        <v>1.8</v>
      </c>
      <c r="F14" s="128">
        <f t="shared" si="5"/>
        <v>1.9000000000000001</v>
      </c>
      <c r="G14" s="128">
        <f t="shared" si="6"/>
        <v>1</v>
      </c>
      <c r="H14" s="128">
        <f t="shared" si="7"/>
        <v>1.99</v>
      </c>
      <c r="I14" s="132">
        <f t="shared" si="8"/>
        <v>1.8</v>
      </c>
      <c r="J14" s="132">
        <f t="shared" si="9"/>
        <v>7.5241900000000008</v>
      </c>
      <c r="K14" s="129"/>
      <c r="P14" s="48">
        <f>SUM(P4:P13)/10</f>
        <v>5.9300000000000015</v>
      </c>
      <c r="Q14" s="48">
        <f>SUM(Q4:Q13)/10</f>
        <v>6.03</v>
      </c>
      <c r="R14" s="48"/>
      <c r="S14" s="48"/>
      <c r="W14" s="48">
        <f>SUM(W4:W13)/10</f>
        <v>5.9300000000000015</v>
      </c>
      <c r="X14" s="48">
        <f>SUM(X4:X13)/10</f>
        <v>6.03</v>
      </c>
      <c r="Y14" s="48"/>
      <c r="Z14" s="48"/>
    </row>
    <row r="15" spans="1:26" x14ac:dyDescent="0.25">
      <c r="A15" s="133" t="str">
        <f>Plantilla!D16</f>
        <v>M. Bondarewski</v>
      </c>
      <c r="B15" s="50">
        <f>Plantilla!E16</f>
        <v>18</v>
      </c>
      <c r="C15" s="50">
        <f>Plantilla!H16</f>
        <v>1</v>
      </c>
      <c r="D15" s="134">
        <f>Plantilla!I16</f>
        <v>1.6</v>
      </c>
      <c r="E15" s="128">
        <f t="shared" si="4"/>
        <v>1.6</v>
      </c>
      <c r="F15" s="128">
        <f t="shared" si="5"/>
        <v>1.7000000000000002</v>
      </c>
      <c r="G15" s="128">
        <f t="shared" si="6"/>
        <v>1</v>
      </c>
      <c r="H15" s="128">
        <f t="shared" si="7"/>
        <v>1.99</v>
      </c>
      <c r="I15" s="132">
        <f t="shared" si="8"/>
        <v>1.6</v>
      </c>
      <c r="J15" s="132">
        <f t="shared" si="9"/>
        <v>6.7321700000000009</v>
      </c>
      <c r="K15" s="129"/>
    </row>
    <row r="16" spans="1:26" x14ac:dyDescent="0.25">
      <c r="A16" s="133" t="str">
        <f>Plantilla!D17</f>
        <v>J. Vartiainen</v>
      </c>
      <c r="B16" s="50">
        <f>Plantilla!E17</f>
        <v>19</v>
      </c>
      <c r="C16" s="50">
        <f>Plantilla!H17</f>
        <v>4</v>
      </c>
      <c r="D16" s="134">
        <f>Plantilla!I17</f>
        <v>0.3</v>
      </c>
      <c r="E16" s="128">
        <f t="shared" si="4"/>
        <v>0.3</v>
      </c>
      <c r="F16" s="128">
        <f t="shared" si="5"/>
        <v>0.4</v>
      </c>
      <c r="G16" s="128">
        <f t="shared" si="6"/>
        <v>4</v>
      </c>
      <c r="H16" s="128">
        <f t="shared" si="7"/>
        <v>4.99</v>
      </c>
      <c r="I16" s="132">
        <f t="shared" si="8"/>
        <v>4.8</v>
      </c>
      <c r="J16" s="132">
        <f t="shared" si="9"/>
        <v>9.9600400000000011</v>
      </c>
      <c r="K16" s="129"/>
      <c r="L16" s="56" t="s">
        <v>236</v>
      </c>
      <c r="O16" t="s">
        <v>237</v>
      </c>
      <c r="P16" s="83">
        <f>SUM(P3:P13)</f>
        <v>82.999999999999986</v>
      </c>
      <c r="Q16" s="83">
        <f>SUM(Q3:Q13)</f>
        <v>84.1</v>
      </c>
      <c r="R16" s="83"/>
      <c r="V16" s="55" t="s">
        <v>237</v>
      </c>
      <c r="W16" s="83">
        <f>SUM(W3:W13)</f>
        <v>82.999999999999986</v>
      </c>
      <c r="X16" s="83">
        <f>SUM(X3:X13)</f>
        <v>84.1</v>
      </c>
      <c r="Y16" s="83"/>
    </row>
    <row r="17" spans="1:25" x14ac:dyDescent="0.25">
      <c r="A17" s="133" t="str">
        <f>Plantilla!D18</f>
        <v>R. Forsyth</v>
      </c>
      <c r="B17" s="50">
        <f>Plantilla!E18</f>
        <v>19</v>
      </c>
      <c r="C17" s="50">
        <f>Plantilla!H18</f>
        <v>4</v>
      </c>
      <c r="D17" s="134">
        <f>Plantilla!I18</f>
        <v>1.8</v>
      </c>
      <c r="E17" s="128">
        <f t="shared" si="4"/>
        <v>1.8</v>
      </c>
      <c r="F17" s="128">
        <f t="shared" si="5"/>
        <v>1.9000000000000001</v>
      </c>
      <c r="G17" s="128">
        <f t="shared" si="6"/>
        <v>4</v>
      </c>
      <c r="H17" s="128">
        <f t="shared" si="7"/>
        <v>4.99</v>
      </c>
      <c r="I17" s="132">
        <f t="shared" si="8"/>
        <v>28.8</v>
      </c>
      <c r="J17" s="132">
        <f t="shared" si="9"/>
        <v>47.310190000000006</v>
      </c>
      <c r="K17" s="129"/>
      <c r="O17" s="111" t="s">
        <v>403</v>
      </c>
      <c r="P17" s="48">
        <f>P16/16.5</f>
        <v>5.0303030303030294</v>
      </c>
      <c r="Q17" s="48">
        <f>Q16/16.5</f>
        <v>5.0969696969696967</v>
      </c>
      <c r="R17" s="48"/>
      <c r="V17" s="55" t="s">
        <v>238</v>
      </c>
      <c r="W17" s="48">
        <f>W16/17</f>
        <v>4.8823529411764701</v>
      </c>
      <c r="X17" s="48">
        <f>X16/17</f>
        <v>4.9470588235294111</v>
      </c>
      <c r="Y17" s="48"/>
    </row>
    <row r="18" spans="1:25" x14ac:dyDescent="0.25">
      <c r="A18" s="133">
        <f>Plantilla!D19</f>
        <v>0</v>
      </c>
      <c r="B18" s="50">
        <f>Plantilla!E19</f>
        <v>19</v>
      </c>
      <c r="C18" s="50">
        <f>Plantilla!H19</f>
        <v>4</v>
      </c>
      <c r="D18" s="134">
        <f>Plantilla!I19</f>
        <v>1.8</v>
      </c>
      <c r="E18" s="128">
        <f t="shared" si="4"/>
        <v>1.8</v>
      </c>
      <c r="F18" s="128">
        <f t="shared" si="5"/>
        <v>1.9000000000000001</v>
      </c>
      <c r="G18" s="128">
        <f t="shared" si="6"/>
        <v>4</v>
      </c>
      <c r="H18" s="128">
        <f t="shared" si="7"/>
        <v>4.99</v>
      </c>
      <c r="I18" s="132">
        <f t="shared" si="8"/>
        <v>28.8</v>
      </c>
      <c r="J18" s="132">
        <f t="shared" si="9"/>
        <v>47.310190000000006</v>
      </c>
      <c r="K18" s="129"/>
      <c r="L18" s="56" t="s">
        <v>239</v>
      </c>
      <c r="O18" s="69" t="s">
        <v>240</v>
      </c>
      <c r="P18" s="83">
        <f>R3^2</f>
        <v>36</v>
      </c>
      <c r="Q18" s="83">
        <f>S3^2</f>
        <v>48.860100000000003</v>
      </c>
      <c r="R18" s="83"/>
      <c r="V18" s="55" t="s">
        <v>240</v>
      </c>
      <c r="W18" s="83">
        <f>Y3^2</f>
        <v>36</v>
      </c>
      <c r="X18" s="83">
        <f>Z3^2</f>
        <v>48.860100000000003</v>
      </c>
      <c r="Y18" s="83"/>
    </row>
    <row r="19" spans="1:25" x14ac:dyDescent="0.25">
      <c r="A19" s="133" t="str">
        <f>Plantilla!D20</f>
        <v>V. Godoi</v>
      </c>
      <c r="B19" s="50">
        <f>Plantilla!E20</f>
        <v>25</v>
      </c>
      <c r="C19" s="50">
        <f>Plantilla!H20</f>
        <v>5</v>
      </c>
      <c r="D19" s="134">
        <f>Plantilla!I20</f>
        <v>4.5</v>
      </c>
      <c r="E19" s="128">
        <f t="shared" si="4"/>
        <v>4.5</v>
      </c>
      <c r="F19" s="128">
        <f t="shared" si="5"/>
        <v>4.5999999999999996</v>
      </c>
      <c r="G19" s="128">
        <f t="shared" si="6"/>
        <v>5</v>
      </c>
      <c r="H19" s="128">
        <f t="shared" si="7"/>
        <v>5.99</v>
      </c>
      <c r="I19" s="132">
        <f t="shared" si="8"/>
        <v>112.5</v>
      </c>
      <c r="J19" s="132">
        <f t="shared" si="9"/>
        <v>165.04846000000001</v>
      </c>
      <c r="K19" s="129"/>
      <c r="L19" s="56" t="s">
        <v>241</v>
      </c>
      <c r="O19" s="69" t="s">
        <v>242</v>
      </c>
      <c r="P19" s="83">
        <f>P18*P3</f>
        <v>853.19999999999993</v>
      </c>
      <c r="Q19" s="83">
        <f>Q18*Q3</f>
        <v>1162.8703800000001</v>
      </c>
      <c r="R19" s="83"/>
      <c r="V19" s="55" t="s">
        <v>242</v>
      </c>
      <c r="W19" s="83">
        <f>W18*W3</f>
        <v>853.19999999999993</v>
      </c>
      <c r="X19" s="83">
        <f>X18*X3</f>
        <v>1162.8703800000001</v>
      </c>
      <c r="Y19" s="83"/>
    </row>
    <row r="20" spans="1:25" x14ac:dyDescent="0.25">
      <c r="A20" s="133" t="str">
        <f>Plantilla!D21</f>
        <v>P. Tuderek</v>
      </c>
      <c r="B20" s="50">
        <f>Plantilla!E21</f>
        <v>18</v>
      </c>
      <c r="C20" s="50">
        <f>Plantilla!H21</f>
        <v>4</v>
      </c>
      <c r="D20" s="134">
        <f>Plantilla!I21</f>
        <v>0.6</v>
      </c>
      <c r="E20" s="128">
        <f t="shared" si="4"/>
        <v>0.6</v>
      </c>
      <c r="F20" s="128">
        <f t="shared" si="5"/>
        <v>0.7</v>
      </c>
      <c r="G20" s="128">
        <f t="shared" si="6"/>
        <v>4</v>
      </c>
      <c r="H20" s="128">
        <f t="shared" si="7"/>
        <v>4.99</v>
      </c>
      <c r="I20" s="132">
        <f t="shared" si="8"/>
        <v>9.6</v>
      </c>
      <c r="J20" s="132">
        <f t="shared" si="9"/>
        <v>17.430070000000001</v>
      </c>
      <c r="K20" s="129"/>
      <c r="L20" s="56" t="s">
        <v>243</v>
      </c>
      <c r="O20" s="111" t="s">
        <v>404</v>
      </c>
      <c r="P20" s="48">
        <f>(P19^(2/3))/27</f>
        <v>3.331732564718342</v>
      </c>
      <c r="Q20" s="48">
        <f>(Q19^(2/3))/27</f>
        <v>4.0956588516953847</v>
      </c>
      <c r="R20" s="48"/>
      <c r="V20" s="55" t="s">
        <v>244</v>
      </c>
      <c r="W20" s="48">
        <f>(W19^(2/3))/30</f>
        <v>2.9985593082465076</v>
      </c>
      <c r="X20" s="48">
        <f>(X19^(2/3))/30</f>
        <v>3.6860929665258464</v>
      </c>
      <c r="Y20" s="48"/>
    </row>
    <row r="21" spans="1:25" x14ac:dyDescent="0.25">
      <c r="A21" s="133">
        <f>Plantilla!D22</f>
        <v>0</v>
      </c>
      <c r="B21" s="50">
        <f>Plantilla!E22</f>
        <v>18</v>
      </c>
      <c r="C21" s="50">
        <f>Plantilla!H22</f>
        <v>4</v>
      </c>
      <c r="D21" s="134">
        <f>Plantilla!I22</f>
        <v>0.5</v>
      </c>
      <c r="E21" s="128">
        <f t="shared" si="4"/>
        <v>0.5</v>
      </c>
      <c r="F21" s="128">
        <f t="shared" si="5"/>
        <v>0.6</v>
      </c>
      <c r="G21" s="128">
        <f t="shared" si="6"/>
        <v>4</v>
      </c>
      <c r="H21" s="128">
        <f t="shared" si="7"/>
        <v>4.99</v>
      </c>
      <c r="I21" s="132">
        <f t="shared" si="8"/>
        <v>8</v>
      </c>
      <c r="J21" s="132">
        <f t="shared" si="9"/>
        <v>14.940060000000001</v>
      </c>
      <c r="K21" s="129"/>
      <c r="L21" s="56" t="s">
        <v>245</v>
      </c>
      <c r="O21" s="55" t="s">
        <v>246</v>
      </c>
      <c r="P21" s="309">
        <f>P17+P20</f>
        <v>8.3620355950213714</v>
      </c>
      <c r="Q21" s="309">
        <f>Q17+Q20</f>
        <v>9.1926285486650805</v>
      </c>
      <c r="V21" s="55" t="s">
        <v>246</v>
      </c>
      <c r="W21" s="309">
        <f>W17+W20</f>
        <v>7.8809122494229777</v>
      </c>
      <c r="X21" s="309">
        <f>X17+X20</f>
        <v>8.6331517900552583</v>
      </c>
    </row>
    <row r="22" spans="1:25" x14ac:dyDescent="0.25">
      <c r="A22" s="133" t="str">
        <f>Plantilla!D23</f>
        <v>K. Helms</v>
      </c>
      <c r="B22" s="50">
        <f>Plantilla!E23</f>
        <v>35</v>
      </c>
      <c r="C22" s="50">
        <f>Plantilla!H23</f>
        <v>2</v>
      </c>
      <c r="D22" s="134">
        <f>Plantilla!I23</f>
        <v>13.5</v>
      </c>
      <c r="E22" s="128">
        <f t="shared" si="4"/>
        <v>13.5</v>
      </c>
      <c r="F22" s="128">
        <f t="shared" si="5"/>
        <v>13.6</v>
      </c>
      <c r="G22" s="128">
        <f t="shared" si="6"/>
        <v>2</v>
      </c>
      <c r="H22" s="128">
        <f t="shared" si="7"/>
        <v>2.99</v>
      </c>
      <c r="I22" s="132">
        <f t="shared" si="8"/>
        <v>54</v>
      </c>
      <c r="J22" s="132">
        <f t="shared" si="9"/>
        <v>121.58536000000001</v>
      </c>
      <c r="K22" s="129"/>
      <c r="L22" t="s">
        <v>247</v>
      </c>
    </row>
    <row r="23" spans="1:25" x14ac:dyDescent="0.25">
      <c r="A23" s="133" t="str">
        <f>Plantilla!D24</f>
        <v>S. Zobbe</v>
      </c>
      <c r="B23" s="50">
        <f>Plantilla!E24</f>
        <v>32</v>
      </c>
      <c r="C23" s="50">
        <f>Plantilla!H24</f>
        <v>2</v>
      </c>
      <c r="D23" s="134">
        <f>Plantilla!I24</f>
        <v>13</v>
      </c>
      <c r="E23" s="128">
        <f t="shared" si="4"/>
        <v>13</v>
      </c>
      <c r="F23" s="128">
        <f t="shared" si="5"/>
        <v>13.1</v>
      </c>
      <c r="G23" s="128">
        <f t="shared" si="6"/>
        <v>2</v>
      </c>
      <c r="H23" s="128">
        <f t="shared" si="7"/>
        <v>2.99</v>
      </c>
      <c r="I23" s="132">
        <f t="shared" si="8"/>
        <v>52</v>
      </c>
      <c r="J23" s="132">
        <f t="shared" si="9"/>
        <v>117.11531000000001</v>
      </c>
      <c r="K23" s="129"/>
      <c r="O23" s="87">
        <v>42576</v>
      </c>
      <c r="P23">
        <v>6.76</v>
      </c>
      <c r="Q23">
        <v>6.99</v>
      </c>
      <c r="R23" t="s">
        <v>377</v>
      </c>
      <c r="W23" s="48"/>
    </row>
    <row r="24" spans="1:25" x14ac:dyDescent="0.25">
      <c r="A24" s="133" t="str">
        <f>Plantilla!D25</f>
        <v>L. Bauman</v>
      </c>
      <c r="B24" s="50">
        <f>Plantilla!E25</f>
        <v>35</v>
      </c>
      <c r="C24" s="50">
        <f>Plantilla!H25</f>
        <v>0</v>
      </c>
      <c r="D24" s="134">
        <f>Plantilla!I25</f>
        <v>12</v>
      </c>
      <c r="E24" s="128">
        <f t="shared" si="4"/>
        <v>12</v>
      </c>
      <c r="F24" s="128">
        <f t="shared" si="5"/>
        <v>12.1</v>
      </c>
      <c r="G24" s="128">
        <f t="shared" si="6"/>
        <v>0</v>
      </c>
      <c r="H24" s="128">
        <f t="shared" si="7"/>
        <v>0.99</v>
      </c>
      <c r="I24" s="132">
        <f t="shared" si="8"/>
        <v>0</v>
      </c>
      <c r="J24" s="132">
        <f t="shared" si="9"/>
        <v>11.859209999999999</v>
      </c>
    </row>
    <row r="25" spans="1:25" x14ac:dyDescent="0.25">
      <c r="A25" s="133" t="str">
        <f>Plantilla!D26</f>
        <v>J. Limon</v>
      </c>
      <c r="B25" s="50">
        <f>Plantilla!E26</f>
        <v>34</v>
      </c>
      <c r="C25" s="50">
        <f>Plantilla!H26</f>
        <v>3</v>
      </c>
      <c r="D25" s="134">
        <f>Plantilla!I26</f>
        <v>14.3</v>
      </c>
      <c r="E25" s="128">
        <f t="shared" si="4"/>
        <v>14.3</v>
      </c>
      <c r="F25" s="128">
        <f t="shared" si="5"/>
        <v>14.4</v>
      </c>
      <c r="G25" s="128">
        <f t="shared" si="6"/>
        <v>3</v>
      </c>
      <c r="H25" s="128">
        <f t="shared" si="7"/>
        <v>3.99</v>
      </c>
      <c r="I25" s="132">
        <f t="shared" si="8"/>
        <v>128.70000000000002</v>
      </c>
      <c r="J25" s="132">
        <f t="shared" si="9"/>
        <v>229.24944000000002</v>
      </c>
      <c r="V25"/>
    </row>
    <row r="26" spans="1:25" x14ac:dyDescent="0.25">
      <c r="A26" s="133" t="str">
        <f>Plantilla!D27</f>
        <v>P .Trivadi</v>
      </c>
      <c r="B26" s="50">
        <f>Plantilla!E27</f>
        <v>32</v>
      </c>
      <c r="C26" s="50">
        <f>Plantilla!H27</f>
        <v>5</v>
      </c>
      <c r="D26" s="134">
        <f>Plantilla!I27</f>
        <v>6.2</v>
      </c>
      <c r="E26" s="128">
        <f t="shared" si="4"/>
        <v>6.2</v>
      </c>
      <c r="F26" s="128">
        <f t="shared" si="5"/>
        <v>6.3</v>
      </c>
      <c r="G26" s="128">
        <f t="shared" si="6"/>
        <v>5</v>
      </c>
      <c r="H26" s="128">
        <f t="shared" si="7"/>
        <v>5.99</v>
      </c>
      <c r="I26" s="132">
        <f t="shared" si="8"/>
        <v>155</v>
      </c>
      <c r="J26" s="132">
        <f t="shared" si="9"/>
        <v>226.04463000000004</v>
      </c>
      <c r="V26"/>
    </row>
    <row r="27" spans="1:25" x14ac:dyDescent="0.25">
      <c r="V27"/>
    </row>
  </sheetData>
  <conditionalFormatting sqref="I3:J26">
    <cfRule type="cellIs" dxfId="39" priority="1" operator="between">
      <formula>70</formula>
      <formula>100</formula>
    </cfRule>
    <cfRule type="cellIs" dxfId="38"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V45"/>
  <sheetViews>
    <sheetView workbookViewId="0">
      <selection activeCell="S13" sqref="S13"/>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5" bestFit="1" customWidth="1"/>
    <col min="14" max="14" width="21.5703125" style="155" bestFit="1" customWidth="1"/>
    <col min="15" max="15" width="14" style="187" bestFit="1" customWidth="1"/>
    <col min="16" max="16" width="13" style="155" bestFit="1" customWidth="1"/>
    <col min="17" max="17" width="10.42578125" style="155" bestFit="1" customWidth="1"/>
    <col min="18" max="18" width="10.28515625" style="155" bestFit="1" customWidth="1"/>
    <col min="19" max="19" width="21" style="155" bestFit="1" customWidth="1"/>
    <col min="20" max="20" width="12" style="155" bestFit="1" customWidth="1"/>
    <col min="21" max="21" width="16.85546875" style="155"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6" t="s">
        <v>270</v>
      </c>
      <c r="N1" s="156" t="s">
        <v>271</v>
      </c>
      <c r="O1" s="156" t="s">
        <v>307</v>
      </c>
      <c r="P1" s="156" t="s">
        <v>268</v>
      </c>
      <c r="Q1" s="156" t="s">
        <v>274</v>
      </c>
      <c r="R1" s="156" t="s">
        <v>275</v>
      </c>
      <c r="S1" s="156" t="s">
        <v>269</v>
      </c>
      <c r="T1" s="156" t="s">
        <v>249</v>
      </c>
      <c r="U1" s="156" t="s">
        <v>272</v>
      </c>
      <c r="V1" s="156" t="s">
        <v>273</v>
      </c>
    </row>
    <row r="2" spans="1:22" x14ac:dyDescent="0.25">
      <c r="A2" s="93"/>
      <c r="B2" s="93" t="s">
        <v>182</v>
      </c>
      <c r="C2" s="93"/>
      <c r="D2" s="90" t="s">
        <v>168</v>
      </c>
      <c r="E2" s="57">
        <v>42</v>
      </c>
      <c r="F2" s="80" t="s">
        <v>220</v>
      </c>
      <c r="G2" s="135">
        <v>3</v>
      </c>
      <c r="H2" s="59">
        <v>16.004000000000001</v>
      </c>
      <c r="I2" s="98">
        <f>(G2)*(G2)*(H2)</f>
        <v>144.036</v>
      </c>
      <c r="J2" s="98">
        <f>(G2+1)*(G2+1)*H2</f>
        <v>256.06400000000002</v>
      </c>
      <c r="K2" s="91">
        <v>0</v>
      </c>
      <c r="L2" s="91">
        <v>300</v>
      </c>
      <c r="M2" s="157">
        <v>41576</v>
      </c>
      <c r="N2" s="157">
        <v>41731</v>
      </c>
      <c r="O2" s="157">
        <v>42305</v>
      </c>
      <c r="P2" s="63">
        <v>772000</v>
      </c>
      <c r="Q2" s="63">
        <f>((N2-M2)/7)*L2</f>
        <v>6642.8571428571431</v>
      </c>
      <c r="R2" s="63">
        <f ca="1">((TODAY()-N2)/7)*L2</f>
        <v>81985.71428571429</v>
      </c>
      <c r="S2" s="63">
        <v>2068800</v>
      </c>
      <c r="T2" s="63">
        <f ca="1">S2+Q2+P2+R2</f>
        <v>2929428.5714285714</v>
      </c>
      <c r="U2" s="67">
        <f ca="1">T2/((O2-N2)/112)</f>
        <v>571595.81881533097</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6" t="s">
        <v>270</v>
      </c>
      <c r="N3" s="156" t="s">
        <v>271</v>
      </c>
      <c r="O3" s="156" t="s">
        <v>307</v>
      </c>
      <c r="P3" s="156" t="s">
        <v>268</v>
      </c>
      <c r="Q3" s="156" t="s">
        <v>274</v>
      </c>
      <c r="R3" s="156" t="s">
        <v>275</v>
      </c>
      <c r="S3" s="156" t="s">
        <v>269</v>
      </c>
      <c r="T3" s="156" t="s">
        <v>249</v>
      </c>
      <c r="U3" s="156" t="s">
        <v>272</v>
      </c>
      <c r="V3" s="156" t="s">
        <v>273</v>
      </c>
    </row>
    <row r="4" spans="1:22" x14ac:dyDescent="0.25">
      <c r="A4" s="93"/>
      <c r="B4" s="93" t="s">
        <v>182</v>
      </c>
      <c r="C4" s="93"/>
      <c r="D4" s="90" t="s">
        <v>252</v>
      </c>
      <c r="E4" s="57">
        <v>44</v>
      </c>
      <c r="F4" s="80" t="s">
        <v>220</v>
      </c>
      <c r="G4" s="135">
        <v>5</v>
      </c>
      <c r="H4" s="59">
        <v>16.109000000000002</v>
      </c>
      <c r="I4" s="98">
        <f t="shared" ref="I4" si="0">(G4)*(G4)*(H4)</f>
        <v>402.72500000000002</v>
      </c>
      <c r="J4" s="98">
        <f t="shared" ref="J4" si="1">(G4+1)*(G4+1)*H4</f>
        <v>579.92400000000009</v>
      </c>
      <c r="K4" s="91">
        <v>0</v>
      </c>
      <c r="L4" s="91">
        <v>300</v>
      </c>
      <c r="M4" s="157">
        <v>41976</v>
      </c>
      <c r="N4" s="157">
        <v>42305</v>
      </c>
      <c r="O4" s="157">
        <v>42908</v>
      </c>
      <c r="P4" s="63">
        <v>1052640</v>
      </c>
      <c r="Q4" s="63">
        <f>((N4-M4)/7)*L4</f>
        <v>14100</v>
      </c>
      <c r="R4" s="63">
        <f ca="1">((TODAY()-N4)/7)*L4</f>
        <v>57385.714285714283</v>
      </c>
      <c r="S4" s="63">
        <v>2059800</v>
      </c>
      <c r="T4" s="63">
        <f>S4+Q4+P4</f>
        <v>3126540</v>
      </c>
      <c r="U4" s="67">
        <f>T4/((O4-N4)/112)</f>
        <v>580717.21393034828</v>
      </c>
      <c r="V4" s="49">
        <f ca="1">(A7-N4)/112</f>
        <v>11.955357142857142</v>
      </c>
    </row>
    <row r="5" spans="1:22" x14ac:dyDescent="0.25">
      <c r="M5" s="187"/>
      <c r="N5" s="187"/>
      <c r="O5" s="273"/>
      <c r="P5" s="187"/>
      <c r="Q5" s="187"/>
      <c r="R5" s="187"/>
      <c r="S5" s="187"/>
      <c r="T5" s="187"/>
      <c r="U5" s="187"/>
    </row>
    <row r="6" spans="1:22" x14ac:dyDescent="0.25">
      <c r="M6" s="187"/>
      <c r="N6" s="187"/>
      <c r="P6" s="187"/>
      <c r="Q6" s="187"/>
      <c r="R6" s="187"/>
      <c r="S6" s="187"/>
      <c r="T6" s="187"/>
      <c r="U6" s="187"/>
    </row>
    <row r="7" spans="1:22" x14ac:dyDescent="0.25">
      <c r="A7" s="53">
        <f ca="1">TODAY()</f>
        <v>43644</v>
      </c>
    </row>
    <row r="8" spans="1:22" x14ac:dyDescent="0.25">
      <c r="A8" s="53">
        <v>41757</v>
      </c>
    </row>
    <row r="9" spans="1:22" x14ac:dyDescent="0.25">
      <c r="A9" s="55">
        <f ca="1">A7-A8</f>
        <v>1887</v>
      </c>
    </row>
    <row r="10" spans="1:22" x14ac:dyDescent="0.25">
      <c r="A10" s="154">
        <f ca="1">A9/112</f>
        <v>16.848214285714285</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6" t="s">
        <v>270</v>
      </c>
      <c r="N12" s="156" t="s">
        <v>271</v>
      </c>
      <c r="O12" s="156" t="s">
        <v>307</v>
      </c>
      <c r="P12" s="156" t="s">
        <v>268</v>
      </c>
      <c r="Q12" s="156" t="s">
        <v>274</v>
      </c>
      <c r="R12" s="156" t="s">
        <v>275</v>
      </c>
      <c r="S12" s="156" t="s">
        <v>269</v>
      </c>
      <c r="T12" s="156" t="s">
        <v>249</v>
      </c>
      <c r="U12" s="156" t="s">
        <v>272</v>
      </c>
      <c r="V12" s="156" t="s">
        <v>273</v>
      </c>
    </row>
    <row r="13" spans="1:22" x14ac:dyDescent="0.25">
      <c r="D13" s="90" t="s">
        <v>388</v>
      </c>
      <c r="E13" s="57">
        <v>39</v>
      </c>
      <c r="F13" s="80"/>
      <c r="G13" s="135">
        <v>6</v>
      </c>
      <c r="H13" s="59">
        <v>13</v>
      </c>
      <c r="I13" s="98">
        <f t="shared" ref="I13" si="2">(G13)*(G13)*(H13)</f>
        <v>468</v>
      </c>
      <c r="J13" s="98">
        <f t="shared" ref="J13" si="3">(G13+1)*(G13+1)*H13</f>
        <v>637</v>
      </c>
      <c r="K13" s="91">
        <v>1130</v>
      </c>
      <c r="L13" s="91">
        <v>864</v>
      </c>
      <c r="M13" s="157">
        <v>42628</v>
      </c>
      <c r="N13" s="157">
        <f>O4</f>
        <v>42908</v>
      </c>
      <c r="O13" s="157">
        <f ca="1">TODAY()</f>
        <v>43644</v>
      </c>
      <c r="P13" s="275">
        <v>1800000</v>
      </c>
      <c r="Q13" s="63">
        <v>372</v>
      </c>
      <c r="R13" s="63">
        <f t="shared" ref="R13" ca="1" si="4">((TODAY()-N13)/7)*L13</f>
        <v>90843.428571428565</v>
      </c>
      <c r="S13" s="275">
        <v>2553000</v>
      </c>
      <c r="T13" s="63">
        <f t="shared" ref="T13" si="5">S13+Q13+P13</f>
        <v>4353372</v>
      </c>
      <c r="U13" s="67">
        <f t="shared" ref="U13" ca="1" si="6">T13/((O13-N13)/112)</f>
        <v>662469.65217391308</v>
      </c>
      <c r="V13" s="49">
        <v>7</v>
      </c>
    </row>
    <row r="16" spans="1:22" x14ac:dyDescent="0.25">
      <c r="N16" s="314"/>
    </row>
    <row r="17" spans="1:22" ht="18" x14ac:dyDescent="0.25">
      <c r="A17" s="261">
        <v>42908</v>
      </c>
      <c r="B17" s="87"/>
      <c r="C17">
        <v>112</v>
      </c>
      <c r="D17">
        <v>0</v>
      </c>
    </row>
    <row r="18" spans="1:22" x14ac:dyDescent="0.25">
      <c r="A18" s="87">
        <f ca="1">TODAY()</f>
        <v>43644</v>
      </c>
      <c r="B18" s="87"/>
      <c r="C18">
        <v>400</v>
      </c>
      <c r="D18">
        <v>1</v>
      </c>
    </row>
    <row r="19" spans="1:22" x14ac:dyDescent="0.25">
      <c r="A19">
        <f ca="1">A18-A17</f>
        <v>736</v>
      </c>
      <c r="C19">
        <f>C18-C17</f>
        <v>288</v>
      </c>
      <c r="D19" s="262">
        <f ca="1">(A19-C17)/C19</f>
        <v>2.1666666666666665</v>
      </c>
    </row>
    <row r="20" spans="1:22" x14ac:dyDescent="0.25">
      <c r="D20" t="s">
        <v>398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6" t="s">
        <v>270</v>
      </c>
      <c r="N24" s="156" t="s">
        <v>271</v>
      </c>
      <c r="O24" s="156" t="s">
        <v>307</v>
      </c>
      <c r="P24" s="156" t="s">
        <v>268</v>
      </c>
      <c r="Q24" s="156" t="s">
        <v>274</v>
      </c>
      <c r="R24" s="156" t="s">
        <v>275</v>
      </c>
      <c r="S24" s="156" t="s">
        <v>269</v>
      </c>
      <c r="T24" s="156" t="s">
        <v>249</v>
      </c>
      <c r="U24" s="156" t="s">
        <v>272</v>
      </c>
      <c r="V24" s="156" t="s">
        <v>273</v>
      </c>
    </row>
    <row r="28" spans="1:22" ht="19.5" x14ac:dyDescent="0.25">
      <c r="A28" s="671" t="s">
        <v>108</v>
      </c>
      <c r="B28" s="671"/>
      <c r="C28" s="671"/>
      <c r="D28" s="671"/>
    </row>
    <row r="29" spans="1:22" x14ac:dyDescent="0.25">
      <c r="A29" s="672" t="s">
        <v>92</v>
      </c>
      <c r="B29" s="673" t="s">
        <v>109</v>
      </c>
      <c r="C29" s="673" t="s">
        <v>110</v>
      </c>
      <c r="D29" s="673" t="s">
        <v>111</v>
      </c>
    </row>
    <row r="30" spans="1:22" x14ac:dyDescent="0.25">
      <c r="A30" s="672"/>
      <c r="B30" s="673"/>
      <c r="C30" s="673"/>
      <c r="D30" s="673"/>
    </row>
    <row r="31" spans="1:22" x14ac:dyDescent="0.25">
      <c r="A31" s="64" t="s">
        <v>109</v>
      </c>
      <c r="B31" s="65" t="s">
        <v>112</v>
      </c>
      <c r="C31" s="65" t="s">
        <v>113</v>
      </c>
      <c r="D31" s="65" t="s">
        <v>113</v>
      </c>
    </row>
    <row r="32" spans="1:22" x14ac:dyDescent="0.25">
      <c r="A32" s="274" t="s">
        <v>110</v>
      </c>
      <c r="B32" s="66" t="s">
        <v>114</v>
      </c>
      <c r="C32" s="66" t="s">
        <v>115</v>
      </c>
      <c r="D32" s="66" t="s">
        <v>113</v>
      </c>
    </row>
    <row r="33" spans="1:4" x14ac:dyDescent="0.25">
      <c r="A33" s="64" t="s">
        <v>111</v>
      </c>
      <c r="B33" s="65" t="s">
        <v>116</v>
      </c>
      <c r="C33" s="65" t="s">
        <v>117</v>
      </c>
      <c r="D33" s="65" t="s">
        <v>118</v>
      </c>
    </row>
    <row r="34" spans="1:4" x14ac:dyDescent="0.25">
      <c r="A34" s="274" t="s">
        <v>119</v>
      </c>
      <c r="B34" s="66" t="s">
        <v>120</v>
      </c>
      <c r="C34" s="66" t="s">
        <v>121</v>
      </c>
      <c r="D34" s="66" t="s">
        <v>122</v>
      </c>
    </row>
    <row r="35" spans="1:4" x14ac:dyDescent="0.25">
      <c r="A35" s="64" t="s">
        <v>123</v>
      </c>
      <c r="B35" s="65" t="s">
        <v>124</v>
      </c>
      <c r="C35" s="65" t="s">
        <v>125</v>
      </c>
      <c r="D35" s="65" t="s">
        <v>126</v>
      </c>
    </row>
    <row r="36" spans="1:4" x14ac:dyDescent="0.25">
      <c r="A36" s="274" t="s">
        <v>127</v>
      </c>
      <c r="B36" s="66" t="s">
        <v>128</v>
      </c>
      <c r="C36" s="66" t="s">
        <v>129</v>
      </c>
      <c r="D36" s="66" t="s">
        <v>130</v>
      </c>
    </row>
    <row r="37" spans="1:4" x14ac:dyDescent="0.25">
      <c r="A37" s="64" t="s">
        <v>131</v>
      </c>
      <c r="B37" s="65" t="s">
        <v>132</v>
      </c>
      <c r="C37" s="65" t="s">
        <v>133</v>
      </c>
      <c r="D37" s="65" t="s">
        <v>134</v>
      </c>
    </row>
    <row r="38" spans="1:4" x14ac:dyDescent="0.25">
      <c r="A38" s="274" t="s">
        <v>135</v>
      </c>
      <c r="B38" s="66" t="s">
        <v>136</v>
      </c>
      <c r="C38" s="66" t="s">
        <v>137</v>
      </c>
      <c r="D38" s="66" t="s">
        <v>138</v>
      </c>
    </row>
    <row r="39" spans="1:4" x14ac:dyDescent="0.25">
      <c r="A39" s="64" t="s">
        <v>139</v>
      </c>
      <c r="B39" s="65" t="s">
        <v>140</v>
      </c>
      <c r="C39" s="65" t="s">
        <v>141</v>
      </c>
      <c r="D39" s="65" t="s">
        <v>142</v>
      </c>
    </row>
    <row r="40" spans="1:4" x14ac:dyDescent="0.25">
      <c r="A40" s="274" t="s">
        <v>143</v>
      </c>
      <c r="B40" s="66" t="s">
        <v>144</v>
      </c>
      <c r="C40" s="66" t="s">
        <v>145</v>
      </c>
      <c r="D40" s="66" t="s">
        <v>146</v>
      </c>
    </row>
    <row r="41" spans="1:4" x14ac:dyDescent="0.25">
      <c r="A41" s="64" t="s">
        <v>147</v>
      </c>
      <c r="B41" s="65" t="s">
        <v>148</v>
      </c>
      <c r="C41" s="65" t="s">
        <v>149</v>
      </c>
      <c r="D41" s="65" t="s">
        <v>150</v>
      </c>
    </row>
    <row r="42" spans="1:4" x14ac:dyDescent="0.25">
      <c r="A42" s="274" t="s">
        <v>151</v>
      </c>
      <c r="B42" s="66" t="s">
        <v>152</v>
      </c>
      <c r="C42" s="66" t="s">
        <v>153</v>
      </c>
      <c r="D42" s="66" t="s">
        <v>154</v>
      </c>
    </row>
    <row r="43" spans="1:4" x14ac:dyDescent="0.25">
      <c r="A43" s="64" t="s">
        <v>155</v>
      </c>
      <c r="B43" s="65" t="s">
        <v>156</v>
      </c>
      <c r="C43" s="65" t="s">
        <v>157</v>
      </c>
      <c r="D43" s="65" t="s">
        <v>158</v>
      </c>
    </row>
    <row r="44" spans="1:4" x14ac:dyDescent="0.25">
      <c r="A44" s="274"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O33"/>
  <sheetViews>
    <sheetView zoomScaleNormal="100" workbookViewId="0">
      <pane xSplit="6" ySplit="3" topLeftCell="G4" activePane="bottomRight" state="frozen"/>
      <selection pane="topRight" activeCell="H1" sqref="H1"/>
      <selection pane="bottomLeft" activeCell="A4" sqref="A4"/>
      <selection pane="bottomRight" activeCell="H35" sqref="H35"/>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9"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5" customWidth="1"/>
    <col min="17" max="17" width="5" style="185" customWidth="1"/>
    <col min="18" max="18" width="4.42578125" style="159" bestFit="1" customWidth="1"/>
    <col min="19" max="22" width="6.140625" style="159" bestFit="1" customWidth="1"/>
    <col min="23" max="23" width="5.5703125" style="159" bestFit="1" customWidth="1"/>
    <col min="24" max="24" width="5" style="159" bestFit="1" customWidth="1"/>
    <col min="25" max="25" width="6.140625" style="159" bestFit="1" customWidth="1"/>
    <col min="26" max="32" width="4.85546875" bestFit="1" customWidth="1"/>
    <col min="33" max="33" width="3.7109375" customWidth="1"/>
    <col min="34" max="34" width="5.140625" bestFit="1" customWidth="1"/>
    <col min="35" max="35" width="12.57031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5.140625" bestFit="1" customWidth="1"/>
    <col min="49" max="49" width="15.85546875" customWidth="1"/>
    <col min="50" max="51" width="7.85546875" bestFit="1" customWidth="1"/>
    <col min="52" max="52" width="7.7109375" bestFit="1" customWidth="1"/>
    <col min="53" max="53" width="7.140625" bestFit="1" customWidth="1"/>
    <col min="54" max="55" width="6.5703125" bestFit="1" customWidth="1"/>
    <col min="56" max="56" width="6.42578125" bestFit="1" customWidth="1"/>
    <col min="57" max="58" width="5.85546875" bestFit="1" customWidth="1"/>
    <col min="59" max="59" width="5.5703125" bestFit="1" customWidth="1"/>
    <col min="60" max="60" width="4.5703125" bestFit="1" customWidth="1"/>
    <col min="62" max="62" width="11" bestFit="1" customWidth="1"/>
    <col min="63" max="63" width="5.85546875" bestFit="1" customWidth="1"/>
    <col min="64" max="64" width="12.42578125" bestFit="1" customWidth="1"/>
    <col min="65" max="65" width="15.140625" bestFit="1" customWidth="1"/>
    <col min="66" max="67" width="9.5703125" bestFit="1" customWidth="1"/>
  </cols>
  <sheetData>
    <row r="1" spans="1:67" ht="18.75" x14ac:dyDescent="0.3">
      <c r="P1"/>
      <c r="Q1"/>
      <c r="AH1" s="674" t="s">
        <v>278</v>
      </c>
      <c r="AI1" s="674"/>
      <c r="AJ1" s="674"/>
      <c r="AK1" s="674"/>
      <c r="AL1" s="674"/>
      <c r="AM1" s="674"/>
      <c r="AN1" s="674"/>
      <c r="AO1" s="674"/>
      <c r="AP1" s="674"/>
      <c r="AQ1" s="674"/>
      <c r="AR1" s="674"/>
      <c r="AS1" s="674"/>
      <c r="AT1" s="674"/>
      <c r="BJ1" s="176" t="s">
        <v>280</v>
      </c>
      <c r="BK1" s="176" t="s">
        <v>69</v>
      </c>
      <c r="BL1" s="176" t="s">
        <v>281</v>
      </c>
      <c r="BM1" s="177" t="s">
        <v>282</v>
      </c>
      <c r="BN1" s="175" t="s">
        <v>283</v>
      </c>
      <c r="BO1" s="175" t="s">
        <v>284</v>
      </c>
    </row>
    <row r="2" spans="1:67" s="72" customFormat="1" ht="18.75" x14ac:dyDescent="0.3">
      <c r="C2" s="158">
        <f ca="1">TODAY()</f>
        <v>43644</v>
      </c>
      <c r="D2" s="639">
        <v>41471</v>
      </c>
      <c r="E2" s="639"/>
      <c r="F2" s="639"/>
      <c r="G2" s="73"/>
      <c r="H2" s="73"/>
      <c r="I2" s="104"/>
      <c r="J2" s="73"/>
      <c r="K2" s="73"/>
      <c r="L2" s="73"/>
      <c r="M2" s="73"/>
      <c r="N2" s="73"/>
      <c r="O2" s="73"/>
      <c r="P2" s="148"/>
      <c r="Q2" s="85"/>
      <c r="R2" s="85"/>
      <c r="S2" s="85">
        <v>0</v>
      </c>
      <c r="T2" s="85">
        <v>1</v>
      </c>
      <c r="U2" s="85">
        <v>1</v>
      </c>
      <c r="V2" s="85">
        <v>0</v>
      </c>
      <c r="W2" s="85">
        <v>0</v>
      </c>
      <c r="X2" s="85">
        <v>1</v>
      </c>
      <c r="Y2" s="85">
        <v>1</v>
      </c>
      <c r="AJ2" s="173" t="e">
        <f>SUM(AJ4:AJ14)*$BM$3</f>
        <v>#REF!</v>
      </c>
      <c r="AK2" s="173">
        <f>SUM(AK4:AK14)*$BM$3</f>
        <v>7.1570000000000022E-2</v>
      </c>
      <c r="AL2" s="173" t="e">
        <f>SUM(AL4:AL14)*$BM$2</f>
        <v>#REF!</v>
      </c>
      <c r="AM2" s="173" t="e">
        <f>SUM(AM4:AM14)*$BM$4</f>
        <v>#REF!</v>
      </c>
      <c r="AN2" s="173" t="e">
        <f>SUM(AN4:AN14)*$BM$5</f>
        <v>#REF!</v>
      </c>
      <c r="AO2" s="173">
        <f>SUM(AO4:AO14)*$BM$5</f>
        <v>1.3000000000000012E-2</v>
      </c>
      <c r="AP2" s="173" t="e">
        <f>SUM(AP4:AP14)*$BM$6</f>
        <v>#REF!</v>
      </c>
      <c r="AQ2" s="174" t="e">
        <f>SUM(AQ4:AQ14)</f>
        <v>#REF!</v>
      </c>
      <c r="AR2" s="174" t="e">
        <f>SUM(AR4:AR14)</f>
        <v>#REF!</v>
      </c>
      <c r="AS2" s="174">
        <f t="shared" ref="AS2:AT2" si="0">SUM(AS4:AS14)</f>
        <v>6.9789166666666667</v>
      </c>
      <c r="AT2" s="174">
        <f t="shared" si="0"/>
        <v>6.25E-2</v>
      </c>
      <c r="AX2" s="173">
        <f>SUM(AX4:AX14)*$BM$3</f>
        <v>0.10285000000000001</v>
      </c>
      <c r="AY2" s="173" t="e">
        <f>SUM(AY4:AY14)*$BM$3</f>
        <v>#REF!</v>
      </c>
      <c r="AZ2" s="173" t="e">
        <f>SUM(AZ4:AZ14)*$BM$2</f>
        <v>#REF!</v>
      </c>
      <c r="BA2" s="173" t="e">
        <f>SUM(BA4:BA14)*$BM$4</f>
        <v>#REF!</v>
      </c>
      <c r="BB2" s="173">
        <f>SUM(BB4:BB14)*$BM$5</f>
        <v>2.6200000000000025E-2</v>
      </c>
      <c r="BC2" s="173" t="e">
        <f>SUM(BC4:BC14)*$BM$5</f>
        <v>#REF!</v>
      </c>
      <c r="BD2" s="173">
        <f>SUM(BD4:BD14)*$BM$6</f>
        <v>4.2287666666666619E-2</v>
      </c>
      <c r="BE2" s="174" t="e">
        <f>SUM(BE4:BE14)</f>
        <v>#REF!</v>
      </c>
      <c r="BF2" s="174" t="e">
        <f>SUM(BF4:BF14)</f>
        <v>#REF!</v>
      </c>
      <c r="BG2" s="174" t="e">
        <f t="shared" ref="BG2:BH2" si="1">SUM(BG4:BG14)</f>
        <v>#REF!</v>
      </c>
      <c r="BH2" s="174" t="e">
        <f t="shared" si="1"/>
        <v>#REF!</v>
      </c>
      <c r="BJ2" s="77" t="s">
        <v>285</v>
      </c>
      <c r="BK2" s="178">
        <v>1</v>
      </c>
      <c r="BL2" s="179">
        <v>0.624</v>
      </c>
      <c r="BM2" s="180">
        <v>0.245</v>
      </c>
      <c r="BN2" s="119">
        <f>BM2*10</f>
        <v>2.4500000000000002</v>
      </c>
      <c r="BO2" s="119">
        <f>BM2*15</f>
        <v>3.6749999999999998</v>
      </c>
    </row>
    <row r="3" spans="1:67"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50" t="s">
        <v>72</v>
      </c>
      <c r="Q3" s="150" t="s">
        <v>61</v>
      </c>
      <c r="R3" s="149" t="s">
        <v>68</v>
      </c>
      <c r="S3" s="149" t="s">
        <v>106</v>
      </c>
      <c r="T3" s="149" t="s">
        <v>77</v>
      </c>
      <c r="U3" s="149" t="s">
        <v>78</v>
      </c>
      <c r="V3" s="149" t="s">
        <v>79</v>
      </c>
      <c r="W3" s="149" t="s">
        <v>80</v>
      </c>
      <c r="X3" s="149" t="s">
        <v>81</v>
      </c>
      <c r="Y3" s="149" t="s">
        <v>74</v>
      </c>
      <c r="Z3" s="149" t="s">
        <v>106</v>
      </c>
      <c r="AA3" s="149" t="s">
        <v>77</v>
      </c>
      <c r="AB3" s="149" t="s">
        <v>78</v>
      </c>
      <c r="AC3" s="149" t="s">
        <v>79</v>
      </c>
      <c r="AD3" s="149" t="s">
        <v>80</v>
      </c>
      <c r="AE3" s="149" t="s">
        <v>81</v>
      </c>
      <c r="AF3" s="149" t="s">
        <v>74</v>
      </c>
      <c r="AH3" s="675" t="s">
        <v>337</v>
      </c>
      <c r="AI3" s="676"/>
      <c r="AJ3" s="117" t="s">
        <v>204</v>
      </c>
      <c r="AK3" s="117" t="s">
        <v>205</v>
      </c>
      <c r="AL3" s="117" t="s">
        <v>215</v>
      </c>
      <c r="AM3" s="117" t="s">
        <v>206</v>
      </c>
      <c r="AN3" s="117" t="s">
        <v>207</v>
      </c>
      <c r="AO3" s="117" t="s">
        <v>208</v>
      </c>
      <c r="AP3" s="117" t="s">
        <v>209</v>
      </c>
      <c r="AQ3" s="117" t="s">
        <v>351</v>
      </c>
      <c r="AR3" s="117" t="s">
        <v>352</v>
      </c>
      <c r="AS3" s="117" t="s">
        <v>257</v>
      </c>
      <c r="AT3" s="117" t="s">
        <v>279</v>
      </c>
      <c r="AV3" s="675" t="s">
        <v>339</v>
      </c>
      <c r="AW3" s="676"/>
      <c r="AX3" s="117" t="s">
        <v>204</v>
      </c>
      <c r="AY3" s="117" t="s">
        <v>205</v>
      </c>
      <c r="AZ3" s="117" t="s">
        <v>215</v>
      </c>
      <c r="BA3" s="117" t="s">
        <v>206</v>
      </c>
      <c r="BB3" s="117" t="s">
        <v>207</v>
      </c>
      <c r="BC3" s="117" t="s">
        <v>208</v>
      </c>
      <c r="BD3" s="117" t="s">
        <v>209</v>
      </c>
      <c r="BE3" s="117" t="s">
        <v>351</v>
      </c>
      <c r="BF3" s="117" t="s">
        <v>352</v>
      </c>
      <c r="BG3" s="117" t="s">
        <v>257</v>
      </c>
      <c r="BH3" s="117" t="s">
        <v>279</v>
      </c>
      <c r="BJ3" s="77" t="s">
        <v>286</v>
      </c>
      <c r="BK3" s="178">
        <v>1</v>
      </c>
      <c r="BL3" s="179">
        <v>1.002</v>
      </c>
      <c r="BM3" s="180">
        <v>0.34</v>
      </c>
      <c r="BN3" s="119">
        <f t="shared" ref="BN3:BN6" si="2">BM3*10</f>
        <v>3.4000000000000004</v>
      </c>
      <c r="BO3" s="119">
        <f t="shared" ref="BO3:BO6" si="3">BM3*15</f>
        <v>5.1000000000000005</v>
      </c>
    </row>
    <row r="4" spans="1:67" s="78" customFormat="1" ht="18.75" x14ac:dyDescent="0.3">
      <c r="A4" s="136" t="str">
        <f>Plantilla!A4</f>
        <v>#1</v>
      </c>
      <c r="B4" s="136" t="s">
        <v>1</v>
      </c>
      <c r="C4" s="90" t="str">
        <f>Plantilla!D4</f>
        <v>D. Gehmacher</v>
      </c>
      <c r="D4" s="138">
        <f>Plantilla!E4</f>
        <v>35</v>
      </c>
      <c r="E4" s="143">
        <f ca="1">Plantilla!F4</f>
        <v>6</v>
      </c>
      <c r="F4" s="139"/>
      <c r="G4" s="338">
        <f>Plantilla!H4</f>
        <v>6</v>
      </c>
      <c r="H4" s="102">
        <f>Plantilla!I4</f>
        <v>23.7</v>
      </c>
      <c r="I4" s="189">
        <f>Plantilla!X4</f>
        <v>16.666666666666668</v>
      </c>
      <c r="J4" s="189">
        <f>Plantilla!Y4</f>
        <v>11.95</v>
      </c>
      <c r="K4" s="189">
        <f>Plantilla!Z4</f>
        <v>2.0699999999999985</v>
      </c>
      <c r="L4" s="189">
        <f>Plantilla!AA4</f>
        <v>2.149999999999999</v>
      </c>
      <c r="M4" s="189">
        <f>Plantilla!AB4</f>
        <v>0.95</v>
      </c>
      <c r="N4" s="189">
        <f>Plantilla!AC4</f>
        <v>0</v>
      </c>
      <c r="O4" s="189">
        <f>Plantilla!AD4</f>
        <v>18.2</v>
      </c>
      <c r="P4" s="151">
        <f t="shared" ref="P4:P5" si="4">D4</f>
        <v>35</v>
      </c>
      <c r="Q4" s="152">
        <f t="shared" ref="Q4:Q5" ca="1" si="5">E4+7</f>
        <v>13</v>
      </c>
      <c r="R4" s="92">
        <f t="shared" ref="R4:R27" si="6">H4+$R$2</f>
        <v>23.7</v>
      </c>
      <c r="S4" s="205">
        <f>I4</f>
        <v>16.666666666666668</v>
      </c>
      <c r="T4" s="205">
        <f t="shared" ref="T4:Y12" si="7">J4</f>
        <v>11.95</v>
      </c>
      <c r="U4" s="205">
        <f t="shared" si="7"/>
        <v>2.0699999999999985</v>
      </c>
      <c r="V4" s="205">
        <f t="shared" si="7"/>
        <v>2.149999999999999</v>
      </c>
      <c r="W4" s="205">
        <f t="shared" si="7"/>
        <v>0.95</v>
      </c>
      <c r="X4" s="205">
        <f t="shared" si="7"/>
        <v>0</v>
      </c>
      <c r="Y4" s="205">
        <f t="shared" si="7"/>
        <v>18.2</v>
      </c>
      <c r="Z4" s="161">
        <f t="shared" ref="Z4:Z27" si="8">S4-I4</f>
        <v>0</v>
      </c>
      <c r="AA4" s="161">
        <f t="shared" ref="AA4:AA27" si="9">T4-J4</f>
        <v>0</v>
      </c>
      <c r="AB4" s="161">
        <f t="shared" ref="AB4:AB27" si="10">U4-K4</f>
        <v>0</v>
      </c>
      <c r="AC4" s="161">
        <f t="shared" ref="AC4:AC27" si="11">V4-L4</f>
        <v>0</v>
      </c>
      <c r="AD4" s="161">
        <f t="shared" ref="AD4:AD27" si="12">W4-M4</f>
        <v>0</v>
      </c>
      <c r="AE4" s="161">
        <f t="shared" ref="AE4:AE27" si="13">X4-N4</f>
        <v>0</v>
      </c>
      <c r="AF4" s="161">
        <f t="shared" ref="AF4:AF27" si="14">Y4-O4</f>
        <v>0</v>
      </c>
      <c r="AH4" s="162" t="s">
        <v>1</v>
      </c>
      <c r="AI4" s="99" t="str">
        <f>C4</f>
        <v>D. Gehmacher</v>
      </c>
      <c r="AJ4" s="167">
        <f>(Z4*0.597)+(AA4*0.276)</f>
        <v>0</v>
      </c>
      <c r="AK4" s="167">
        <f>AJ4</f>
        <v>0</v>
      </c>
      <c r="AL4" s="167">
        <f>(Z4*0.866)+(AA4*0.425)</f>
        <v>0</v>
      </c>
      <c r="AM4" s="167">
        <v>0</v>
      </c>
      <c r="AN4" s="167">
        <v>0</v>
      </c>
      <c r="AO4" s="167">
        <v>0</v>
      </c>
      <c r="AP4" s="167">
        <v>0</v>
      </c>
      <c r="AQ4" s="232">
        <v>0</v>
      </c>
      <c r="AR4" s="232">
        <f>0.08*Z4+0.1*AF4</f>
        <v>0</v>
      </c>
      <c r="AS4" s="170">
        <v>0</v>
      </c>
      <c r="AT4" s="170">
        <v>0</v>
      </c>
      <c r="AV4" s="162" t="s">
        <v>1</v>
      </c>
      <c r="AW4" s="99" t="str">
        <f>C4</f>
        <v>D. Gehmacher</v>
      </c>
      <c r="AX4" s="167">
        <f t="shared" ref="AX4:BD4" si="15">AJ4</f>
        <v>0</v>
      </c>
      <c r="AY4" s="167">
        <f t="shared" si="15"/>
        <v>0</v>
      </c>
      <c r="AZ4" s="167">
        <f t="shared" si="15"/>
        <v>0</v>
      </c>
      <c r="BA4" s="167">
        <f t="shared" si="15"/>
        <v>0</v>
      </c>
      <c r="BB4" s="167">
        <f t="shared" si="15"/>
        <v>0</v>
      </c>
      <c r="BC4" s="167">
        <f t="shared" si="15"/>
        <v>0</v>
      </c>
      <c r="BD4" s="167">
        <f t="shared" si="15"/>
        <v>0</v>
      </c>
      <c r="BE4" s="232">
        <f t="shared" ref="BE4" si="16">AQ4</f>
        <v>0</v>
      </c>
      <c r="BF4" s="232">
        <f t="shared" ref="BF4:BH4" si="17">AR4</f>
        <v>0</v>
      </c>
      <c r="BG4" s="170">
        <f t="shared" si="17"/>
        <v>0</v>
      </c>
      <c r="BH4" s="170">
        <f t="shared" si="17"/>
        <v>0</v>
      </c>
      <c r="BJ4" s="77" t="s">
        <v>287</v>
      </c>
      <c r="BK4" s="178">
        <v>1</v>
      </c>
      <c r="BL4" s="179">
        <v>0.46800000000000003</v>
      </c>
      <c r="BM4" s="180">
        <v>0.125</v>
      </c>
      <c r="BN4" s="119">
        <f t="shared" si="2"/>
        <v>1.25</v>
      </c>
      <c r="BO4" s="119">
        <f t="shared" si="3"/>
        <v>1.875</v>
      </c>
    </row>
    <row r="5" spans="1:67" s="75" customFormat="1" ht="18.75" x14ac:dyDescent="0.3">
      <c r="A5" s="136" t="str">
        <f>Plantilla!A5</f>
        <v>#25</v>
      </c>
      <c r="B5" s="136" t="s">
        <v>1</v>
      </c>
      <c r="C5" s="90" t="str">
        <f>Plantilla!D5</f>
        <v>T. Hammond</v>
      </c>
      <c r="D5" s="138">
        <f>Plantilla!E5</f>
        <v>39</v>
      </c>
      <c r="E5" s="143">
        <f ca="1">Plantilla!F5</f>
        <v>15</v>
      </c>
      <c r="F5" s="139" t="str">
        <f>Plantilla!G5</f>
        <v>CAB</v>
      </c>
      <c r="G5" s="338">
        <f>Plantilla!H5</f>
        <v>3</v>
      </c>
      <c r="H5" s="102">
        <f>Plantilla!I5</f>
        <v>8.4</v>
      </c>
      <c r="I5" s="189">
        <f>Plantilla!X5</f>
        <v>7.95</v>
      </c>
      <c r="J5" s="189">
        <f>Plantilla!Y5</f>
        <v>7.95</v>
      </c>
      <c r="K5" s="189">
        <f>Plantilla!Z5</f>
        <v>0.95</v>
      </c>
      <c r="L5" s="189">
        <f>Plantilla!AA5</f>
        <v>0.95</v>
      </c>
      <c r="M5" s="189">
        <f>Plantilla!AB5</f>
        <v>1.95</v>
      </c>
      <c r="N5" s="189">
        <f>Plantilla!AC5</f>
        <v>0</v>
      </c>
      <c r="O5" s="189">
        <f>Plantilla!AD5</f>
        <v>14.95</v>
      </c>
      <c r="P5" s="151">
        <f t="shared" si="4"/>
        <v>39</v>
      </c>
      <c r="Q5" s="152">
        <f t="shared" ca="1" si="5"/>
        <v>22</v>
      </c>
      <c r="R5" s="92">
        <f t="shared" si="6"/>
        <v>8.4</v>
      </c>
      <c r="S5" s="205">
        <f t="shared" ref="S5:S12" si="18">I5</f>
        <v>7.95</v>
      </c>
      <c r="T5" s="205">
        <f t="shared" si="7"/>
        <v>7.95</v>
      </c>
      <c r="U5" s="205">
        <f t="shared" si="7"/>
        <v>0.95</v>
      </c>
      <c r="V5" s="205">
        <f t="shared" si="7"/>
        <v>0.95</v>
      </c>
      <c r="W5" s="205">
        <f t="shared" si="7"/>
        <v>1.95</v>
      </c>
      <c r="X5" s="205">
        <f t="shared" si="7"/>
        <v>0</v>
      </c>
      <c r="Y5" s="205">
        <f t="shared" si="7"/>
        <v>14.95</v>
      </c>
      <c r="Z5" s="161">
        <f t="shared" si="8"/>
        <v>0</v>
      </c>
      <c r="AA5" s="161">
        <f t="shared" si="9"/>
        <v>0</v>
      </c>
      <c r="AB5" s="161">
        <f t="shared" si="10"/>
        <v>0</v>
      </c>
      <c r="AC5" s="161">
        <f t="shared" si="11"/>
        <v>0</v>
      </c>
      <c r="AD5" s="161">
        <f t="shared" si="12"/>
        <v>0</v>
      </c>
      <c r="AE5" s="161">
        <f t="shared" si="13"/>
        <v>0</v>
      </c>
      <c r="AF5" s="161">
        <f t="shared" si="14"/>
        <v>0</v>
      </c>
      <c r="AH5" s="163" t="s">
        <v>260</v>
      </c>
      <c r="AI5" s="100">
        <f>C19</f>
        <v>0</v>
      </c>
      <c r="AJ5" s="168">
        <f>(AA19*0.919)</f>
        <v>0.22975000000000001</v>
      </c>
      <c r="AK5" s="168">
        <v>0</v>
      </c>
      <c r="AL5" s="168">
        <f>AA19*0.414</f>
        <v>0.10349999999999999</v>
      </c>
      <c r="AM5" s="168">
        <f>AB19*0.167</f>
        <v>4.1750000000000002E-2</v>
      </c>
      <c r="AN5" s="168">
        <f>AC19*0.588</f>
        <v>0</v>
      </c>
      <c r="AO5" s="168">
        <v>0</v>
      </c>
      <c r="AP5" s="168">
        <v>0</v>
      </c>
      <c r="AQ5" s="171">
        <f>(0.5*AE19+0.3*AF19)/10</f>
        <v>3.8333333333333303E-2</v>
      </c>
      <c r="AR5" s="171">
        <f>(0.4*AA19+0.3*AF19)/10</f>
        <v>0.04</v>
      </c>
      <c r="AS5" s="171">
        <f>((T19+1)+(W19+1)*2)/8</f>
        <v>1.78125</v>
      </c>
      <c r="AT5" s="171">
        <f>((AA19)+(AD19)*2)/8</f>
        <v>3.125E-2</v>
      </c>
      <c r="AV5" s="163" t="s">
        <v>260</v>
      </c>
      <c r="AW5" s="100">
        <f>AI19</f>
        <v>0</v>
      </c>
      <c r="AX5" s="169">
        <f>AJ19</f>
        <v>0.22975000000000001</v>
      </c>
      <c r="AY5" s="169">
        <f t="shared" ref="AY5:BH5" si="19">AK19</f>
        <v>0</v>
      </c>
      <c r="AZ5" s="169">
        <f t="shared" si="19"/>
        <v>0.10349999999999999</v>
      </c>
      <c r="BA5" s="169">
        <f t="shared" si="19"/>
        <v>4.1750000000000002E-2</v>
      </c>
      <c r="BB5" s="169">
        <f t="shared" si="19"/>
        <v>0</v>
      </c>
      <c r="BC5" s="169">
        <f t="shared" si="19"/>
        <v>0</v>
      </c>
      <c r="BD5" s="169">
        <f t="shared" si="19"/>
        <v>0</v>
      </c>
      <c r="BE5" s="172">
        <f t="shared" si="19"/>
        <v>3.8333333333333303E-2</v>
      </c>
      <c r="BF5" s="172">
        <f t="shared" si="19"/>
        <v>0.04</v>
      </c>
      <c r="BG5" s="172">
        <f t="shared" si="19"/>
        <v>1.78125</v>
      </c>
      <c r="BH5" s="172">
        <f t="shared" si="19"/>
        <v>3.125E-2</v>
      </c>
      <c r="BJ5" s="77" t="s">
        <v>288</v>
      </c>
      <c r="BK5" s="178">
        <v>1</v>
      </c>
      <c r="BL5" s="179">
        <v>0.877</v>
      </c>
      <c r="BM5" s="180">
        <v>0.25</v>
      </c>
      <c r="BN5" s="119">
        <f t="shared" si="2"/>
        <v>2.5</v>
      </c>
      <c r="BO5" s="119">
        <f t="shared" si="3"/>
        <v>3.75</v>
      </c>
    </row>
    <row r="6" spans="1:67" s="81" customFormat="1" ht="18.75" x14ac:dyDescent="0.3">
      <c r="A6" s="136" t="str">
        <f>Plantilla!A6</f>
        <v>#2</v>
      </c>
      <c r="B6" s="136" t="s">
        <v>1</v>
      </c>
      <c r="C6" s="90" t="str">
        <f>Plantilla!D6</f>
        <v>E. Toney</v>
      </c>
      <c r="D6" s="138">
        <f>Plantilla!E6</f>
        <v>36</v>
      </c>
      <c r="E6" s="143">
        <f ca="1">Plantilla!F6</f>
        <v>17</v>
      </c>
      <c r="F6" s="139"/>
      <c r="G6" s="338">
        <f>Plantilla!H6</f>
        <v>4</v>
      </c>
      <c r="H6" s="102">
        <f>Plantilla!I6</f>
        <v>18</v>
      </c>
      <c r="I6" s="189">
        <f>Plantilla!X6</f>
        <v>0</v>
      </c>
      <c r="J6" s="189">
        <f>Plantilla!Y6</f>
        <v>11.95</v>
      </c>
      <c r="K6" s="189">
        <f>Plantilla!Z6</f>
        <v>12.95</v>
      </c>
      <c r="L6" s="189">
        <f>Plantilla!AA6</f>
        <v>8.9499999999999993</v>
      </c>
      <c r="M6" s="189">
        <f>Plantilla!AB6</f>
        <v>8.9499999999999993</v>
      </c>
      <c r="N6" s="189">
        <f>Plantilla!AC6</f>
        <v>1.95</v>
      </c>
      <c r="O6" s="189">
        <f>Plantilla!AD6</f>
        <v>17.177777777777774</v>
      </c>
      <c r="P6" s="151">
        <f t="shared" ref="P6:P27" si="20">D6</f>
        <v>36</v>
      </c>
      <c r="Q6" s="152">
        <f t="shared" ref="Q6:Q27" ca="1" si="21">E6+7</f>
        <v>24</v>
      </c>
      <c r="R6" s="92">
        <f t="shared" si="6"/>
        <v>18</v>
      </c>
      <c r="S6" s="205">
        <f t="shared" si="18"/>
        <v>0</v>
      </c>
      <c r="T6" s="205">
        <f t="shared" si="7"/>
        <v>11.95</v>
      </c>
      <c r="U6" s="205">
        <f t="shared" si="7"/>
        <v>12.95</v>
      </c>
      <c r="V6" s="205">
        <f t="shared" si="7"/>
        <v>8.9499999999999993</v>
      </c>
      <c r="W6" s="205">
        <f t="shared" si="7"/>
        <v>8.9499999999999993</v>
      </c>
      <c r="X6" s="205">
        <f t="shared" si="7"/>
        <v>1.95</v>
      </c>
      <c r="Y6" s="205">
        <f t="shared" si="7"/>
        <v>17.177777777777774</v>
      </c>
      <c r="Z6" s="161">
        <f t="shared" si="8"/>
        <v>0</v>
      </c>
      <c r="AA6" s="161">
        <f t="shared" si="9"/>
        <v>0</v>
      </c>
      <c r="AB6" s="161">
        <f t="shared" si="10"/>
        <v>0</v>
      </c>
      <c r="AC6" s="161">
        <f t="shared" si="11"/>
        <v>0</v>
      </c>
      <c r="AD6" s="161">
        <f t="shared" si="12"/>
        <v>0</v>
      </c>
      <c r="AE6" s="161">
        <f t="shared" si="13"/>
        <v>0</v>
      </c>
      <c r="AF6" s="161">
        <f t="shared" si="14"/>
        <v>0</v>
      </c>
      <c r="AH6" s="164" t="s">
        <v>276</v>
      </c>
      <c r="AI6" s="100" t="str">
        <f>C15</f>
        <v>G. Piscaer</v>
      </c>
      <c r="AJ6" s="169">
        <f>AA15*0.378</f>
        <v>9.4500000000000001E-2</v>
      </c>
      <c r="AK6" s="169">
        <f>AJ6</f>
        <v>9.4500000000000001E-2</v>
      </c>
      <c r="AL6" s="169">
        <f>AA15*1</f>
        <v>0.25</v>
      </c>
      <c r="AM6" s="169">
        <f>AB15*0.236</f>
        <v>4.7199999999999832E-2</v>
      </c>
      <c r="AN6" s="169">
        <v>0</v>
      </c>
      <c r="AO6" s="169">
        <v>0</v>
      </c>
      <c r="AP6" s="169">
        <v>0</v>
      </c>
      <c r="AQ6" s="172">
        <f>(0.5*AE15+0.3*AF15)/10</f>
        <v>3.9999999999999966E-2</v>
      </c>
      <c r="AR6" s="172">
        <f>(0.4*AA15+0.3*AF15)/10</f>
        <v>0.04</v>
      </c>
      <c r="AS6" s="171">
        <f>((T15+1)+(W15+1)*2)/8</f>
        <v>1.40625</v>
      </c>
      <c r="AT6" s="171">
        <f>((AA15)+(AD15)*2)/8</f>
        <v>3.125E-2</v>
      </c>
      <c r="AV6" s="164" t="s">
        <v>303</v>
      </c>
      <c r="AW6" s="79" t="str">
        <f>AW20</f>
        <v>B. Bartolache</v>
      </c>
      <c r="AX6" s="169">
        <f>AX20</f>
        <v>0</v>
      </c>
      <c r="AY6" s="169">
        <f t="shared" ref="AY6:BD6" si="22">AY20</f>
        <v>0</v>
      </c>
      <c r="AZ6" s="169">
        <f t="shared" si="22"/>
        <v>0</v>
      </c>
      <c r="BA6" s="169">
        <f t="shared" si="22"/>
        <v>0</v>
      </c>
      <c r="BB6" s="169">
        <f t="shared" si="22"/>
        <v>0</v>
      </c>
      <c r="BC6" s="169">
        <f t="shared" si="22"/>
        <v>0</v>
      </c>
      <c r="BD6" s="169">
        <f t="shared" si="22"/>
        <v>0</v>
      </c>
      <c r="BE6" s="172">
        <f>(0.5*AE7+0.3*AF7)/10</f>
        <v>0</v>
      </c>
      <c r="BF6" s="172">
        <f>(0.4*AA7+0.3*AF7)/10</f>
        <v>0</v>
      </c>
      <c r="BG6" s="171">
        <f>((T7+1)+(W7+1)*2)/8</f>
        <v>3.8562499999999997</v>
      </c>
      <c r="BH6" s="171">
        <f>((AA7)+(AD7)*2)/8</f>
        <v>0</v>
      </c>
      <c r="BJ6" s="77" t="s">
        <v>289</v>
      </c>
      <c r="BK6" s="178">
        <v>1</v>
      </c>
      <c r="BL6" s="179">
        <v>0.59299999999999997</v>
      </c>
      <c r="BM6" s="180">
        <v>0.19</v>
      </c>
      <c r="BN6" s="119">
        <f t="shared" si="2"/>
        <v>1.9</v>
      </c>
      <c r="BO6" s="119">
        <f t="shared" si="3"/>
        <v>2.85</v>
      </c>
    </row>
    <row r="7" spans="1:67" s="81" customFormat="1" x14ac:dyDescent="0.25">
      <c r="A7" s="136" t="str">
        <f>Plantilla!A7</f>
        <v>#24</v>
      </c>
      <c r="B7" s="136" t="s">
        <v>1</v>
      </c>
      <c r="C7" s="90" t="str">
        <f>Plantilla!D7</f>
        <v>B. Bartolache</v>
      </c>
      <c r="D7" s="138">
        <f>Plantilla!E7</f>
        <v>36</v>
      </c>
      <c r="E7" s="143">
        <f ca="1">Plantilla!F7</f>
        <v>2</v>
      </c>
      <c r="F7" s="139">
        <f>Plantilla!G7</f>
        <v>0</v>
      </c>
      <c r="G7" s="338">
        <f>Plantilla!H7</f>
        <v>3</v>
      </c>
      <c r="H7" s="102">
        <f>Plantilla!I7</f>
        <v>11.8</v>
      </c>
      <c r="I7" s="189">
        <f>Plantilla!X7</f>
        <v>0</v>
      </c>
      <c r="J7" s="189">
        <f>Plantilla!Y7</f>
        <v>11.95</v>
      </c>
      <c r="K7" s="189">
        <f>Plantilla!Z7</f>
        <v>5.95</v>
      </c>
      <c r="L7" s="189">
        <f>Plantilla!AA7</f>
        <v>6.95</v>
      </c>
      <c r="M7" s="189">
        <f>Plantilla!AB7</f>
        <v>7.95</v>
      </c>
      <c r="N7" s="189">
        <f>Plantilla!AC7</f>
        <v>2.95</v>
      </c>
      <c r="O7" s="189">
        <f>Plantilla!AD7</f>
        <v>16</v>
      </c>
      <c r="P7" s="151">
        <f t="shared" si="20"/>
        <v>36</v>
      </c>
      <c r="Q7" s="152">
        <f t="shared" ca="1" si="21"/>
        <v>9</v>
      </c>
      <c r="R7" s="92">
        <f t="shared" si="6"/>
        <v>11.8</v>
      </c>
      <c r="S7" s="205">
        <f t="shared" si="18"/>
        <v>0</v>
      </c>
      <c r="T7" s="205">
        <f t="shared" si="7"/>
        <v>11.95</v>
      </c>
      <c r="U7" s="205">
        <f t="shared" si="7"/>
        <v>5.95</v>
      </c>
      <c r="V7" s="205">
        <f t="shared" si="7"/>
        <v>6.95</v>
      </c>
      <c r="W7" s="205">
        <f t="shared" si="7"/>
        <v>7.95</v>
      </c>
      <c r="X7" s="205">
        <f t="shared" si="7"/>
        <v>2.95</v>
      </c>
      <c r="Y7" s="205">
        <f t="shared" si="7"/>
        <v>16</v>
      </c>
      <c r="Z7" s="161">
        <f t="shared" si="8"/>
        <v>0</v>
      </c>
      <c r="AA7" s="161">
        <f t="shared" si="9"/>
        <v>0</v>
      </c>
      <c r="AB7" s="161">
        <f t="shared" si="10"/>
        <v>0</v>
      </c>
      <c r="AC7" s="161">
        <f t="shared" si="11"/>
        <v>0</v>
      </c>
      <c r="AD7" s="161">
        <f t="shared" si="12"/>
        <v>0</v>
      </c>
      <c r="AE7" s="161">
        <f t="shared" si="13"/>
        <v>0</v>
      </c>
      <c r="AF7" s="161">
        <f t="shared" si="14"/>
        <v>0</v>
      </c>
      <c r="AH7" s="164" t="s">
        <v>260</v>
      </c>
      <c r="AI7" s="100" t="str">
        <f>C8</f>
        <v>F. Lasprilla</v>
      </c>
      <c r="AJ7" s="169">
        <v>0</v>
      </c>
      <c r="AK7" s="169">
        <f>AA8*0.919</f>
        <v>0</v>
      </c>
      <c r="AL7" s="169">
        <f>AA8*0.414</f>
        <v>0</v>
      </c>
      <c r="AM7" s="169">
        <f>AB8*0.167</f>
        <v>0</v>
      </c>
      <c r="AN7" s="169">
        <v>0</v>
      </c>
      <c r="AO7" s="169">
        <f>AC8*0.588</f>
        <v>0</v>
      </c>
      <c r="AP7" s="169">
        <v>0</v>
      </c>
      <c r="AQ7" s="172">
        <f>(0.5*AE8+0.3*AF8)/10</f>
        <v>0</v>
      </c>
      <c r="AR7" s="172">
        <f>(0.4*AA8+0.3*AF8)/10</f>
        <v>0</v>
      </c>
      <c r="AS7" s="171">
        <f>((T8+1)+(W8+1)*2)/8</f>
        <v>3.7914166666666662</v>
      </c>
      <c r="AT7" s="171">
        <f>((AA8)+(AD8)*2)/8</f>
        <v>0</v>
      </c>
      <c r="AV7" s="164" t="s">
        <v>260</v>
      </c>
      <c r="AW7" s="79" t="e">
        <f>AW23</f>
        <v>#REF!</v>
      </c>
      <c r="AX7" s="169">
        <f>AX23</f>
        <v>0</v>
      </c>
      <c r="AY7" s="169" t="e">
        <f t="shared" ref="AY7:BD7" si="23">AY23</f>
        <v>#REF!</v>
      </c>
      <c r="AZ7" s="169" t="e">
        <f t="shared" si="23"/>
        <v>#REF!</v>
      </c>
      <c r="BA7" s="169" t="e">
        <f t="shared" si="23"/>
        <v>#REF!</v>
      </c>
      <c r="BB7" s="169">
        <f t="shared" si="23"/>
        <v>0</v>
      </c>
      <c r="BC7" s="169" t="e">
        <f t="shared" si="23"/>
        <v>#REF!</v>
      </c>
      <c r="BD7" s="169">
        <f t="shared" si="23"/>
        <v>0</v>
      </c>
      <c r="BE7" s="172" t="e">
        <f>BE23</f>
        <v>#REF!</v>
      </c>
      <c r="BF7" s="172" t="e">
        <f t="shared" ref="BF7:BH7" si="24">BF23</f>
        <v>#REF!</v>
      </c>
      <c r="BG7" s="172" t="e">
        <f t="shared" si="24"/>
        <v>#REF!</v>
      </c>
      <c r="BH7" s="172" t="e">
        <f t="shared" si="24"/>
        <v>#REF!</v>
      </c>
    </row>
    <row r="8" spans="1:67" s="82" customFormat="1" x14ac:dyDescent="0.25">
      <c r="A8" s="136" t="str">
        <f>Plantilla!A8</f>
        <v>#13</v>
      </c>
      <c r="B8" s="136" t="s">
        <v>1</v>
      </c>
      <c r="C8" s="90" t="str">
        <f>Plantilla!D8</f>
        <v>F. Lasprilla</v>
      </c>
      <c r="D8" s="138">
        <f>Plantilla!E8</f>
        <v>32</v>
      </c>
      <c r="E8" s="143">
        <f ca="1">Plantilla!F8</f>
        <v>25</v>
      </c>
      <c r="F8" s="139"/>
      <c r="G8" s="338">
        <f>Plantilla!H8</f>
        <v>4</v>
      </c>
      <c r="H8" s="102">
        <f>Plantilla!I8</f>
        <v>6.3</v>
      </c>
      <c r="I8" s="189">
        <f>Plantilla!X8</f>
        <v>0</v>
      </c>
      <c r="J8" s="189">
        <f>Plantilla!Y8</f>
        <v>9.6046666666666667</v>
      </c>
      <c r="K8" s="189">
        <f>Plantilla!Z8</f>
        <v>7.7607222222222223</v>
      </c>
      <c r="L8" s="189">
        <f>Plantilla!AA8</f>
        <v>6.1599999999999984</v>
      </c>
      <c r="M8" s="189">
        <f>Plantilla!AB8</f>
        <v>8.8633333333333315</v>
      </c>
      <c r="N8" s="189">
        <f>Plantilla!AC8</f>
        <v>2.95</v>
      </c>
      <c r="O8" s="189">
        <f>Plantilla!AD8</f>
        <v>13.33611111111111</v>
      </c>
      <c r="P8" s="151">
        <f t="shared" si="20"/>
        <v>32</v>
      </c>
      <c r="Q8" s="152">
        <f t="shared" ca="1" si="21"/>
        <v>32</v>
      </c>
      <c r="R8" s="92">
        <f t="shared" si="6"/>
        <v>6.3</v>
      </c>
      <c r="S8" s="205">
        <f t="shared" si="18"/>
        <v>0</v>
      </c>
      <c r="T8" s="205">
        <f t="shared" si="7"/>
        <v>9.6046666666666667</v>
      </c>
      <c r="U8" s="205">
        <f t="shared" si="7"/>
        <v>7.7607222222222223</v>
      </c>
      <c r="V8" s="205">
        <f t="shared" si="7"/>
        <v>6.1599999999999984</v>
      </c>
      <c r="W8" s="205">
        <f t="shared" si="7"/>
        <v>8.8633333333333315</v>
      </c>
      <c r="X8" s="205">
        <f t="shared" si="7"/>
        <v>2.95</v>
      </c>
      <c r="Y8" s="205">
        <f t="shared" si="7"/>
        <v>13.33611111111111</v>
      </c>
      <c r="Z8" s="161">
        <f t="shared" si="8"/>
        <v>0</v>
      </c>
      <c r="AA8" s="161">
        <f t="shared" si="9"/>
        <v>0</v>
      </c>
      <c r="AB8" s="161">
        <f t="shared" si="10"/>
        <v>0</v>
      </c>
      <c r="AC8" s="161">
        <f t="shared" si="11"/>
        <v>0</v>
      </c>
      <c r="AD8" s="161">
        <f t="shared" si="12"/>
        <v>0</v>
      </c>
      <c r="AE8" s="161">
        <f t="shared" si="13"/>
        <v>0</v>
      </c>
      <c r="AF8" s="161">
        <f t="shared" si="14"/>
        <v>0</v>
      </c>
      <c r="AH8" s="207" t="s">
        <v>304</v>
      </c>
      <c r="AI8" s="99" t="e">
        <f>#REF!</f>
        <v>#REF!</v>
      </c>
      <c r="AJ8" s="167" t="e">
        <f>#REF!*0.349</f>
        <v>#REF!</v>
      </c>
      <c r="AK8" s="167">
        <v>0</v>
      </c>
      <c r="AL8" s="167" t="e">
        <f>#REF!*0.201</f>
        <v>#REF!</v>
      </c>
      <c r="AM8" s="167" t="e">
        <f>#REF!*0.455</f>
        <v>#REF!</v>
      </c>
      <c r="AN8" s="167" t="e">
        <f>(#REF!*0.864)+(#REF!*0.244)</f>
        <v>#REF!</v>
      </c>
      <c r="AO8" s="167">
        <v>0</v>
      </c>
      <c r="AP8" s="167" t="e">
        <f>(#REF!*0.121)</f>
        <v>#REF!</v>
      </c>
      <c r="AQ8" s="172" t="e">
        <f>(0.5*#REF!+0.3*#REF!)/10</f>
        <v>#REF!</v>
      </c>
      <c r="AR8" s="172" t="e">
        <f>(0.4*#REF!+0.3*#REF!)/10</f>
        <v>#REF!</v>
      </c>
      <c r="AS8" s="170">
        <v>0</v>
      </c>
      <c r="AT8" s="170">
        <v>0</v>
      </c>
      <c r="AV8" s="207" t="s">
        <v>305</v>
      </c>
      <c r="AW8" s="99" t="str">
        <f>C11</f>
        <v>E. Gross</v>
      </c>
      <c r="AX8" s="169">
        <f>AX24</f>
        <v>0</v>
      </c>
      <c r="AY8" s="169">
        <f t="shared" ref="AY8:BH8" si="25">AY24</f>
        <v>0</v>
      </c>
      <c r="AZ8" s="169">
        <f t="shared" si="25"/>
        <v>0</v>
      </c>
      <c r="BA8" s="169">
        <f t="shared" si="25"/>
        <v>0</v>
      </c>
      <c r="BB8" s="169">
        <f t="shared" si="25"/>
        <v>0</v>
      </c>
      <c r="BC8" s="169">
        <f t="shared" si="25"/>
        <v>0</v>
      </c>
      <c r="BD8" s="169">
        <f t="shared" si="25"/>
        <v>0</v>
      </c>
      <c r="BE8" s="172">
        <f t="shared" si="25"/>
        <v>0</v>
      </c>
      <c r="BF8" s="172">
        <f t="shared" si="25"/>
        <v>0</v>
      </c>
      <c r="BG8" s="172">
        <f t="shared" si="25"/>
        <v>0</v>
      </c>
      <c r="BH8" s="172">
        <f t="shared" si="25"/>
        <v>0</v>
      </c>
    </row>
    <row r="9" spans="1:67" s="81" customFormat="1" x14ac:dyDescent="0.25">
      <c r="A9" s="136" t="str">
        <f>Plantilla!A9</f>
        <v>#7</v>
      </c>
      <c r="B9" s="136" t="s">
        <v>1</v>
      </c>
      <c r="C9" s="90" t="str">
        <f>Plantilla!D9</f>
        <v>E. Romweber</v>
      </c>
      <c r="D9" s="138">
        <f>Plantilla!E9</f>
        <v>35</v>
      </c>
      <c r="E9" s="143">
        <f ca="1">Plantilla!F9</f>
        <v>91</v>
      </c>
      <c r="F9" s="139" t="str">
        <f>Plantilla!G9</f>
        <v>IMP</v>
      </c>
      <c r="G9" s="338">
        <f>Plantilla!H9</f>
        <v>0</v>
      </c>
      <c r="H9" s="102">
        <f>Plantilla!I9</f>
        <v>17.100000000000001</v>
      </c>
      <c r="I9" s="189">
        <f>Plantilla!X9</f>
        <v>0</v>
      </c>
      <c r="J9" s="189">
        <f>Plantilla!Y9</f>
        <v>11.95</v>
      </c>
      <c r="K9" s="189">
        <f>Plantilla!Z9</f>
        <v>12.614111111111114</v>
      </c>
      <c r="L9" s="189">
        <f>Plantilla!AA9</f>
        <v>12.95</v>
      </c>
      <c r="M9" s="189">
        <f>Plantilla!AB9</f>
        <v>10.95</v>
      </c>
      <c r="N9" s="189">
        <f>Plantilla!AC9</f>
        <v>5.95</v>
      </c>
      <c r="O9" s="189">
        <f>Plantilla!AD9</f>
        <v>17.529999999999998</v>
      </c>
      <c r="P9" s="151">
        <f t="shared" si="20"/>
        <v>35</v>
      </c>
      <c r="Q9" s="152">
        <f t="shared" ca="1" si="21"/>
        <v>98</v>
      </c>
      <c r="R9" s="92">
        <f t="shared" si="6"/>
        <v>17.100000000000001</v>
      </c>
      <c r="S9" s="205">
        <f t="shared" si="18"/>
        <v>0</v>
      </c>
      <c r="T9" s="205">
        <f t="shared" si="7"/>
        <v>11.95</v>
      </c>
      <c r="U9" s="205">
        <f t="shared" si="7"/>
        <v>12.614111111111114</v>
      </c>
      <c r="V9" s="205">
        <f t="shared" si="7"/>
        <v>12.95</v>
      </c>
      <c r="W9" s="205">
        <f t="shared" si="7"/>
        <v>10.95</v>
      </c>
      <c r="X9" s="205">
        <f t="shared" si="7"/>
        <v>5.95</v>
      </c>
      <c r="Y9" s="205">
        <f t="shared" si="7"/>
        <v>17.529999999999998</v>
      </c>
      <c r="Z9" s="161">
        <f t="shared" si="8"/>
        <v>0</v>
      </c>
      <c r="AA9" s="161">
        <f t="shared" si="9"/>
        <v>0</v>
      </c>
      <c r="AB9" s="161">
        <f t="shared" si="10"/>
        <v>0</v>
      </c>
      <c r="AC9" s="161">
        <f t="shared" si="11"/>
        <v>0</v>
      </c>
      <c r="AD9" s="161">
        <f t="shared" si="12"/>
        <v>0</v>
      </c>
      <c r="AE9" s="161">
        <f t="shared" si="13"/>
        <v>0</v>
      </c>
      <c r="AF9" s="161">
        <f t="shared" si="14"/>
        <v>0</v>
      </c>
      <c r="AH9" s="164" t="s">
        <v>221</v>
      </c>
      <c r="AI9" s="79" t="str">
        <f>C13</f>
        <v>I. Vanags</v>
      </c>
      <c r="AJ9" s="169">
        <f>AA13*0.291</f>
        <v>7.2749999999999995E-2</v>
      </c>
      <c r="AK9" s="169">
        <v>0</v>
      </c>
      <c r="AL9" s="169">
        <f>AA13*0.348</f>
        <v>8.6999999999999994E-2</v>
      </c>
      <c r="AM9" s="169">
        <f>AB13*0.881</f>
        <v>0.17620000000000016</v>
      </c>
      <c r="AN9" s="169">
        <f>(AC13*0.574)+(AD13*0.315)</f>
        <v>0</v>
      </c>
      <c r="AO9" s="169">
        <v>0</v>
      </c>
      <c r="AP9" s="169">
        <f>AD13*0.241</f>
        <v>0</v>
      </c>
      <c r="AQ9" s="172">
        <f>(0.5*AE13+0.3*AF13)/10</f>
        <v>4.0000000000000008E-2</v>
      </c>
      <c r="AR9" s="172">
        <f>(0.4*AA13+0.3*AF13)/10</f>
        <v>0.04</v>
      </c>
      <c r="AS9" s="172">
        <v>0</v>
      </c>
      <c r="AT9" s="172">
        <v>0</v>
      </c>
      <c r="AV9" s="164" t="s">
        <v>221</v>
      </c>
      <c r="AW9" s="79" t="str">
        <f>C13</f>
        <v>I. Vanags</v>
      </c>
      <c r="AX9" s="169">
        <f t="shared" ref="AX9:BD9" si="26">AJ9</f>
        <v>7.2749999999999995E-2</v>
      </c>
      <c r="AY9" s="169">
        <f t="shared" si="26"/>
        <v>0</v>
      </c>
      <c r="AZ9" s="169">
        <f t="shared" si="26"/>
        <v>8.6999999999999994E-2</v>
      </c>
      <c r="BA9" s="169">
        <f t="shared" si="26"/>
        <v>0.17620000000000016</v>
      </c>
      <c r="BB9" s="169">
        <f t="shared" si="26"/>
        <v>0</v>
      </c>
      <c r="BC9" s="169">
        <f t="shared" si="26"/>
        <v>0</v>
      </c>
      <c r="BD9" s="169">
        <f t="shared" si="26"/>
        <v>0</v>
      </c>
      <c r="BE9" s="172">
        <f t="shared" ref="BE9" si="27">AQ9</f>
        <v>4.0000000000000008E-2</v>
      </c>
      <c r="BF9" s="172">
        <f>AR9</f>
        <v>0.04</v>
      </c>
      <c r="BG9" s="172">
        <f>AS9</f>
        <v>0</v>
      </c>
      <c r="BH9" s="172">
        <f>AT9</f>
        <v>0</v>
      </c>
    </row>
    <row r="10" spans="1:67" s="2" customFormat="1" x14ac:dyDescent="0.25">
      <c r="A10" s="136" t="str">
        <f>Plantilla!A10</f>
        <v>#6</v>
      </c>
      <c r="B10" s="136" t="s">
        <v>1</v>
      </c>
      <c r="C10" s="90" t="str">
        <f>Plantilla!D10</f>
        <v>S. Buschelman</v>
      </c>
      <c r="D10" s="138">
        <f>Plantilla!E10</f>
        <v>34</v>
      </c>
      <c r="E10" s="143">
        <f ca="1">Plantilla!F10</f>
        <v>50</v>
      </c>
      <c r="F10" s="139"/>
      <c r="G10" s="338">
        <f>Plantilla!H10</f>
        <v>3</v>
      </c>
      <c r="H10" s="102">
        <f>Plantilla!I10</f>
        <v>14.8</v>
      </c>
      <c r="I10" s="189">
        <f>Plantilla!X10</f>
        <v>0</v>
      </c>
      <c r="J10" s="189">
        <f>Plantilla!Y10</f>
        <v>9.3036666666666648</v>
      </c>
      <c r="K10" s="189">
        <f>Plantilla!Z10</f>
        <v>14</v>
      </c>
      <c r="L10" s="189">
        <f>Plantilla!AA10</f>
        <v>12.945</v>
      </c>
      <c r="M10" s="189">
        <f>Plantilla!AB10</f>
        <v>9.9499999999999993</v>
      </c>
      <c r="N10" s="189">
        <f>Plantilla!AC10</f>
        <v>3.95</v>
      </c>
      <c r="O10" s="189">
        <f>Plantilla!AD10</f>
        <v>16</v>
      </c>
      <c r="P10" s="151">
        <f t="shared" si="20"/>
        <v>34</v>
      </c>
      <c r="Q10" s="152">
        <f t="shared" ca="1" si="21"/>
        <v>57</v>
      </c>
      <c r="R10" s="92">
        <f t="shared" si="6"/>
        <v>14.8</v>
      </c>
      <c r="S10" s="205">
        <f t="shared" si="18"/>
        <v>0</v>
      </c>
      <c r="T10" s="205">
        <f t="shared" si="7"/>
        <v>9.3036666666666648</v>
      </c>
      <c r="U10" s="205">
        <f t="shared" si="7"/>
        <v>14</v>
      </c>
      <c r="V10" s="205">
        <f t="shared" si="7"/>
        <v>12.945</v>
      </c>
      <c r="W10" s="205">
        <f t="shared" si="7"/>
        <v>9.9499999999999993</v>
      </c>
      <c r="X10" s="205">
        <f t="shared" si="7"/>
        <v>3.95</v>
      </c>
      <c r="Y10" s="205">
        <f t="shared" si="7"/>
        <v>16</v>
      </c>
      <c r="Z10" s="161">
        <f t="shared" si="8"/>
        <v>0</v>
      </c>
      <c r="AA10" s="161">
        <f t="shared" si="9"/>
        <v>0</v>
      </c>
      <c r="AB10" s="161">
        <f t="shared" si="10"/>
        <v>0</v>
      </c>
      <c r="AC10" s="161">
        <f t="shared" si="11"/>
        <v>0</v>
      </c>
      <c r="AD10" s="161">
        <f t="shared" si="12"/>
        <v>0</v>
      </c>
      <c r="AE10" s="161">
        <f t="shared" si="13"/>
        <v>0</v>
      </c>
      <c r="AF10" s="161">
        <f t="shared" si="14"/>
        <v>0</v>
      </c>
      <c r="AH10" s="164" t="s">
        <v>306</v>
      </c>
      <c r="AI10" s="79" t="str">
        <f>C16</f>
        <v>M. Bondarewski</v>
      </c>
      <c r="AJ10" s="169">
        <f>AA16*0.057</f>
        <v>1.900000000000001E-2</v>
      </c>
      <c r="AK10" s="169">
        <f>AJ10</f>
        <v>1.900000000000001E-2</v>
      </c>
      <c r="AL10" s="169">
        <f>AA16*0.162</f>
        <v>5.4000000000000027E-2</v>
      </c>
      <c r="AM10" s="169">
        <f>AB16*0.944</f>
        <v>0.18879999999999933</v>
      </c>
      <c r="AN10" s="169">
        <f>AD16*0.188</f>
        <v>0</v>
      </c>
      <c r="AO10" s="169">
        <f>AN10</f>
        <v>0</v>
      </c>
      <c r="AP10" s="169">
        <f>AD16*0.507+AE16*0.31</f>
        <v>6.1999999999999778E-2</v>
      </c>
      <c r="AQ10" s="172">
        <f>(0.5*AE16+0.3*AF16)/10</f>
        <v>3.9999999999999966E-2</v>
      </c>
      <c r="AR10" s="172">
        <f>(0.4*AA16+0.3*AF16)/10</f>
        <v>4.3333333333333335E-2</v>
      </c>
      <c r="AS10" s="172">
        <v>0</v>
      </c>
      <c r="AT10" s="172">
        <v>0</v>
      </c>
      <c r="AV10" s="164" t="s">
        <v>303</v>
      </c>
      <c r="AW10" s="79" t="str">
        <f>AW22</f>
        <v>E. Romweber</v>
      </c>
      <c r="AX10" s="169">
        <f>AX22</f>
        <v>0</v>
      </c>
      <c r="AY10" s="169">
        <f t="shared" ref="AY10:BD10" si="28">AY22</f>
        <v>0</v>
      </c>
      <c r="AZ10" s="169">
        <f t="shared" si="28"/>
        <v>0</v>
      </c>
      <c r="BA10" s="169">
        <f t="shared" si="28"/>
        <v>0</v>
      </c>
      <c r="BB10" s="169">
        <f t="shared" si="28"/>
        <v>0</v>
      </c>
      <c r="BC10" s="169">
        <f t="shared" si="28"/>
        <v>0</v>
      </c>
      <c r="BD10" s="169">
        <f t="shared" si="28"/>
        <v>0</v>
      </c>
      <c r="BE10" s="172">
        <f>AQ7</f>
        <v>0</v>
      </c>
      <c r="BF10" s="172">
        <f>AR7</f>
        <v>0</v>
      </c>
      <c r="BG10" s="172">
        <f t="shared" ref="BG10:BH10" si="29">BG22</f>
        <v>3.7914166666666662</v>
      </c>
      <c r="BH10" s="172">
        <f t="shared" si="29"/>
        <v>0</v>
      </c>
    </row>
    <row r="11" spans="1:67" x14ac:dyDescent="0.25">
      <c r="A11" s="136" t="str">
        <f>Plantilla!A11</f>
        <v>#12</v>
      </c>
      <c r="B11" s="136" t="s">
        <v>1</v>
      </c>
      <c r="C11" s="90" t="str">
        <f>Plantilla!D11</f>
        <v>E. Gross</v>
      </c>
      <c r="D11" s="138">
        <f>Plantilla!E11</f>
        <v>35</v>
      </c>
      <c r="E11" s="143">
        <f ca="1">Plantilla!F11</f>
        <v>78</v>
      </c>
      <c r="F11" s="139"/>
      <c r="G11" s="338">
        <f>Plantilla!H11</f>
        <v>3</v>
      </c>
      <c r="H11" s="102">
        <f>Plantilla!I11</f>
        <v>13.1</v>
      </c>
      <c r="I11" s="189">
        <f>Plantilla!X11</f>
        <v>0</v>
      </c>
      <c r="J11" s="189">
        <f>Plantilla!Y11</f>
        <v>10.549999999999995</v>
      </c>
      <c r="K11" s="189">
        <f>Plantilla!Z11</f>
        <v>12.95</v>
      </c>
      <c r="L11" s="189">
        <f>Plantilla!AA11</f>
        <v>3.95</v>
      </c>
      <c r="M11" s="189">
        <f>Plantilla!AB11</f>
        <v>8.9499999999999993</v>
      </c>
      <c r="N11" s="189">
        <f>Plantilla!AC11</f>
        <v>0.95</v>
      </c>
      <c r="O11" s="189">
        <f>Plantilla!AD11</f>
        <v>17.3</v>
      </c>
      <c r="P11" s="151">
        <f t="shared" si="20"/>
        <v>35</v>
      </c>
      <c r="Q11" s="152">
        <f t="shared" ca="1" si="21"/>
        <v>85</v>
      </c>
      <c r="R11" s="92">
        <f t="shared" si="6"/>
        <v>13.1</v>
      </c>
      <c r="S11" s="205">
        <f t="shared" si="18"/>
        <v>0</v>
      </c>
      <c r="T11" s="205">
        <f t="shared" si="7"/>
        <v>10.549999999999995</v>
      </c>
      <c r="U11" s="205">
        <f t="shared" si="7"/>
        <v>12.95</v>
      </c>
      <c r="V11" s="205">
        <f t="shared" si="7"/>
        <v>3.95</v>
      </c>
      <c r="W11" s="205">
        <f t="shared" si="7"/>
        <v>8.9499999999999993</v>
      </c>
      <c r="X11" s="205">
        <f t="shared" si="7"/>
        <v>0.95</v>
      </c>
      <c r="Y11" s="205">
        <f t="shared" si="7"/>
        <v>17.3</v>
      </c>
      <c r="Z11" s="161">
        <f t="shared" si="8"/>
        <v>0</v>
      </c>
      <c r="AA11" s="161">
        <f t="shared" si="9"/>
        <v>0</v>
      </c>
      <c r="AB11" s="161">
        <f t="shared" si="10"/>
        <v>0</v>
      </c>
      <c r="AC11" s="161">
        <f t="shared" si="11"/>
        <v>0</v>
      </c>
      <c r="AD11" s="161">
        <f t="shared" si="12"/>
        <v>0</v>
      </c>
      <c r="AE11" s="161">
        <f t="shared" si="13"/>
        <v>0</v>
      </c>
      <c r="AF11" s="161">
        <f t="shared" si="14"/>
        <v>0</v>
      </c>
      <c r="AH11" s="164" t="s">
        <v>221</v>
      </c>
      <c r="AI11" s="79" t="str">
        <f>C14</f>
        <v>I. Stone</v>
      </c>
      <c r="AJ11" s="169">
        <v>0</v>
      </c>
      <c r="AK11" s="169">
        <f>AA14*0.291</f>
        <v>9.7000000000000031E-2</v>
      </c>
      <c r="AL11" s="169">
        <f>AA14*0.348</f>
        <v>0.11600000000000005</v>
      </c>
      <c r="AM11" s="169">
        <f>AB14*0.881</f>
        <v>0.22025</v>
      </c>
      <c r="AN11" s="169">
        <v>0</v>
      </c>
      <c r="AO11" s="169">
        <f>(AC14*0.574)+(AD14*0.314)</f>
        <v>0</v>
      </c>
      <c r="AP11" s="169">
        <f>AD14*0.241</f>
        <v>0</v>
      </c>
      <c r="AQ11" s="172">
        <f>(0.5*AE14+0.3*AF14)/10</f>
        <v>3.8333333333333303E-2</v>
      </c>
      <c r="AR11" s="172">
        <f>(0.4*AA14+0.3*AF14)/10</f>
        <v>4.3333333333333335E-2</v>
      </c>
      <c r="AS11" s="172">
        <v>0</v>
      </c>
      <c r="AT11" s="172">
        <v>0</v>
      </c>
      <c r="AV11" s="164" t="s">
        <v>221</v>
      </c>
      <c r="AW11" s="79" t="str">
        <f>C14</f>
        <v>I. Stone</v>
      </c>
      <c r="AX11" s="169">
        <f>AX26</f>
        <v>0</v>
      </c>
      <c r="AY11" s="169">
        <f t="shared" ref="AY11:BD11" si="30">AY26</f>
        <v>9.7000000000000031E-2</v>
      </c>
      <c r="AZ11" s="169">
        <f t="shared" si="30"/>
        <v>0.11600000000000005</v>
      </c>
      <c r="BA11" s="169">
        <f t="shared" si="30"/>
        <v>0.22025</v>
      </c>
      <c r="BB11" s="169">
        <f t="shared" si="30"/>
        <v>0</v>
      </c>
      <c r="BC11" s="169">
        <f t="shared" si="30"/>
        <v>0</v>
      </c>
      <c r="BD11" s="169">
        <f t="shared" si="30"/>
        <v>0</v>
      </c>
      <c r="BE11" s="172">
        <f>BE26</f>
        <v>3.8333333333333303E-2</v>
      </c>
      <c r="BF11" s="172">
        <f t="shared" ref="BF11:BH11" si="31">BF26</f>
        <v>4.3333333333333335E-2</v>
      </c>
      <c r="BG11" s="172">
        <f t="shared" si="31"/>
        <v>0</v>
      </c>
      <c r="BH11" s="172">
        <f t="shared" si="31"/>
        <v>0</v>
      </c>
    </row>
    <row r="12" spans="1:67" s="81" customFormat="1" x14ac:dyDescent="0.25">
      <c r="A12" s="136" t="str">
        <f>Plantilla!A12</f>
        <v>#23</v>
      </c>
      <c r="B12" s="136" t="s">
        <v>1</v>
      </c>
      <c r="C12" s="90" t="str">
        <f>Plantilla!D12</f>
        <v>W. Gelifini</v>
      </c>
      <c r="D12" s="138">
        <f>Plantilla!E12</f>
        <v>34</v>
      </c>
      <c r="E12" s="143">
        <f ca="1">Plantilla!F12</f>
        <v>3</v>
      </c>
      <c r="F12" s="139">
        <f>Plantilla!G12</f>
        <v>0</v>
      </c>
      <c r="G12" s="338">
        <f>Plantilla!H12</f>
        <v>2</v>
      </c>
      <c r="H12" s="102">
        <f>Plantilla!I12</f>
        <v>4.5</v>
      </c>
      <c r="I12" s="189">
        <f>Plantilla!X12</f>
        <v>0</v>
      </c>
      <c r="J12" s="189">
        <f>Plantilla!Y12</f>
        <v>5.6515555555555519</v>
      </c>
      <c r="K12" s="189">
        <f>Plantilla!Z12</f>
        <v>8.9499999999999993</v>
      </c>
      <c r="L12" s="189">
        <f>Plantilla!AA12</f>
        <v>6.95</v>
      </c>
      <c r="M12" s="189">
        <f>Plantilla!AB12</f>
        <v>9.2666666666666639</v>
      </c>
      <c r="N12" s="189">
        <f>Plantilla!AC12</f>
        <v>2.95</v>
      </c>
      <c r="O12" s="189">
        <f>Plantilla!AD12</f>
        <v>12.847222222222223</v>
      </c>
      <c r="P12" s="151">
        <f t="shared" si="20"/>
        <v>34</v>
      </c>
      <c r="Q12" s="152">
        <f t="shared" ca="1" si="21"/>
        <v>10</v>
      </c>
      <c r="R12" s="92">
        <f t="shared" si="6"/>
        <v>4.5</v>
      </c>
      <c r="S12" s="205">
        <f t="shared" si="18"/>
        <v>0</v>
      </c>
      <c r="T12" s="205">
        <f t="shared" si="7"/>
        <v>5.6515555555555519</v>
      </c>
      <c r="U12" s="205">
        <f t="shared" si="7"/>
        <v>8.9499999999999993</v>
      </c>
      <c r="V12" s="205">
        <f t="shared" si="7"/>
        <v>6.95</v>
      </c>
      <c r="W12" s="205">
        <f t="shared" si="7"/>
        <v>9.2666666666666639</v>
      </c>
      <c r="X12" s="205">
        <f t="shared" si="7"/>
        <v>2.95</v>
      </c>
      <c r="Y12" s="205">
        <f t="shared" si="7"/>
        <v>12.847222222222223</v>
      </c>
      <c r="Z12" s="161">
        <f t="shared" si="8"/>
        <v>0</v>
      </c>
      <c r="AA12" s="161">
        <f t="shared" si="9"/>
        <v>0</v>
      </c>
      <c r="AB12" s="161">
        <f t="shared" si="10"/>
        <v>0</v>
      </c>
      <c r="AC12" s="161">
        <f t="shared" si="11"/>
        <v>0</v>
      </c>
      <c r="AD12" s="161">
        <f t="shared" si="12"/>
        <v>0</v>
      </c>
      <c r="AE12" s="161">
        <f t="shared" si="13"/>
        <v>0</v>
      </c>
      <c r="AF12" s="161">
        <f t="shared" si="14"/>
        <v>0</v>
      </c>
      <c r="AH12" s="208" t="s">
        <v>305</v>
      </c>
      <c r="AI12" s="79" t="str">
        <f>C11</f>
        <v>E. Gross</v>
      </c>
      <c r="AJ12" s="169">
        <v>0</v>
      </c>
      <c r="AK12" s="169">
        <f>AA11*0.18</f>
        <v>0</v>
      </c>
      <c r="AL12" s="169">
        <f>AA11*0.068</f>
        <v>0</v>
      </c>
      <c r="AM12" s="169">
        <f>AB11*0.305</f>
        <v>0</v>
      </c>
      <c r="AN12" s="169">
        <v>0</v>
      </c>
      <c r="AO12" s="169">
        <f>(AC11*1)+(AD11*0.286)</f>
        <v>0</v>
      </c>
      <c r="AP12" s="169">
        <f>AD11*0.135</f>
        <v>0</v>
      </c>
      <c r="AQ12" s="172">
        <f>(0.5*AE11+0.3*AF11)/10</f>
        <v>0</v>
      </c>
      <c r="AR12" s="172">
        <f>(0.4*AA11+0.3*AF11)/10</f>
        <v>0</v>
      </c>
      <c r="AS12" s="172">
        <v>0</v>
      </c>
      <c r="AT12" s="172">
        <v>0</v>
      </c>
      <c r="AV12" s="208" t="s">
        <v>305</v>
      </c>
      <c r="AW12" s="79" t="str">
        <f>AW27</f>
        <v>W. Gelifini</v>
      </c>
      <c r="AX12" s="169">
        <f>AX27</f>
        <v>0</v>
      </c>
      <c r="AY12" s="169">
        <f t="shared" ref="AY12:BD12" si="32">AY27</f>
        <v>0</v>
      </c>
      <c r="AZ12" s="169">
        <f t="shared" si="32"/>
        <v>0</v>
      </c>
      <c r="BA12" s="169">
        <f t="shared" si="32"/>
        <v>0</v>
      </c>
      <c r="BB12" s="169">
        <f t="shared" si="32"/>
        <v>0</v>
      </c>
      <c r="BC12" s="169">
        <f t="shared" si="32"/>
        <v>0</v>
      </c>
      <c r="BD12" s="169">
        <f t="shared" si="32"/>
        <v>0</v>
      </c>
      <c r="BE12" s="172">
        <f>BE27</f>
        <v>0</v>
      </c>
      <c r="BF12" s="172">
        <f t="shared" ref="BF12:BH12" si="33">BF27</f>
        <v>0</v>
      </c>
      <c r="BG12" s="172">
        <f t="shared" si="33"/>
        <v>0</v>
      </c>
      <c r="BH12" s="172">
        <f t="shared" si="33"/>
        <v>0</v>
      </c>
    </row>
    <row r="13" spans="1:67" s="82" customFormat="1" x14ac:dyDescent="0.25">
      <c r="A13" s="136" t="str">
        <f>Plantilla!A13</f>
        <v>#17</v>
      </c>
      <c r="B13" s="136" t="s">
        <v>1</v>
      </c>
      <c r="C13" s="90" t="str">
        <f>Plantilla!D13</f>
        <v>I. Vanags</v>
      </c>
      <c r="D13" s="138">
        <f>Plantilla!E13</f>
        <v>18</v>
      </c>
      <c r="E13" s="143">
        <f ca="1">Plantilla!F13</f>
        <v>73</v>
      </c>
      <c r="F13" s="139"/>
      <c r="G13" s="338">
        <f>Plantilla!H13</f>
        <v>4</v>
      </c>
      <c r="H13" s="102">
        <f>Plantilla!I13</f>
        <v>0.4</v>
      </c>
      <c r="I13" s="189">
        <f>Plantilla!X13</f>
        <v>0</v>
      </c>
      <c r="J13" s="189">
        <f>Plantilla!Y13</f>
        <v>4</v>
      </c>
      <c r="K13" s="189">
        <f>Plantilla!Z13</f>
        <v>7.6</v>
      </c>
      <c r="L13" s="189">
        <f>Plantilla!AA13</f>
        <v>3</v>
      </c>
      <c r="M13" s="189">
        <f>Plantilla!AB13</f>
        <v>4</v>
      </c>
      <c r="N13" s="189">
        <f>Plantilla!AC13</f>
        <v>7</v>
      </c>
      <c r="O13" s="189">
        <f>Plantilla!AD13</f>
        <v>6</v>
      </c>
      <c r="P13" s="151">
        <f t="shared" si="20"/>
        <v>18</v>
      </c>
      <c r="Q13" s="152">
        <f t="shared" ca="1" si="21"/>
        <v>80</v>
      </c>
      <c r="R13" s="92">
        <f t="shared" si="6"/>
        <v>0.4</v>
      </c>
      <c r="S13" s="205">
        <f t="shared" ref="S13:S27" si="34">I13</f>
        <v>0</v>
      </c>
      <c r="T13" s="205">
        <f>J13+T$2/4</f>
        <v>4.25</v>
      </c>
      <c r="U13" s="205">
        <f>K13+U$2/5</f>
        <v>7.8</v>
      </c>
      <c r="V13" s="205">
        <f t="shared" ref="V13:V27" si="35">L13</f>
        <v>3</v>
      </c>
      <c r="W13" s="205">
        <f t="shared" ref="W13:W27" si="36">M13</f>
        <v>4</v>
      </c>
      <c r="X13" s="205">
        <f>N13+X$2/5</f>
        <v>7.2</v>
      </c>
      <c r="Y13" s="205">
        <f>O13+Y$2/1</f>
        <v>7</v>
      </c>
      <c r="Z13" s="161">
        <f t="shared" si="8"/>
        <v>0</v>
      </c>
      <c r="AA13" s="161">
        <f t="shared" si="9"/>
        <v>0.25</v>
      </c>
      <c r="AB13" s="161">
        <f t="shared" si="10"/>
        <v>0.20000000000000018</v>
      </c>
      <c r="AC13" s="161">
        <f t="shared" si="11"/>
        <v>0</v>
      </c>
      <c r="AD13" s="161">
        <f t="shared" si="12"/>
        <v>0</v>
      </c>
      <c r="AE13" s="161">
        <f t="shared" si="13"/>
        <v>0.20000000000000018</v>
      </c>
      <c r="AF13" s="161">
        <f t="shared" si="14"/>
        <v>1</v>
      </c>
      <c r="AH13" s="207" t="s">
        <v>64</v>
      </c>
      <c r="AI13" s="99" t="str">
        <f>C20</f>
        <v>V. Godoi</v>
      </c>
      <c r="AJ13" s="167">
        <v>0</v>
      </c>
      <c r="AK13" s="167">
        <v>0</v>
      </c>
      <c r="AL13" s="167">
        <v>0</v>
      </c>
      <c r="AM13" s="167">
        <f>AB20*0.25</f>
        <v>4.9999999999999822E-2</v>
      </c>
      <c r="AN13" s="167">
        <f>(AD20*0.142)+(AC20*0.221)+(AE20*0.26)</f>
        <v>5.2000000000000046E-2</v>
      </c>
      <c r="AO13" s="167">
        <f>AN13</f>
        <v>5.2000000000000046E-2</v>
      </c>
      <c r="AP13" s="167">
        <f>(AD20*0.369)+(AE20*1)</f>
        <v>0.20000000000000018</v>
      </c>
      <c r="AQ13" s="231">
        <f>((0.5*AE20+0.3*AF20)/10)+0.09*AF20</f>
        <v>0.13</v>
      </c>
      <c r="AR13" s="231">
        <f>(0.4*AA20+0.3*AF20)/10</f>
        <v>4.3333333333333335E-2</v>
      </c>
      <c r="AS13" s="170">
        <v>0</v>
      </c>
      <c r="AT13" s="170">
        <v>0</v>
      </c>
      <c r="AV13" s="207" t="s">
        <v>302</v>
      </c>
      <c r="AW13" s="99" t="str">
        <f>C20</f>
        <v>V. Godoi</v>
      </c>
      <c r="AX13" s="167">
        <v>0</v>
      </c>
      <c r="AY13" s="167">
        <v>0</v>
      </c>
      <c r="AZ13" s="167">
        <v>0</v>
      </c>
      <c r="BA13" s="167">
        <f>AB20*0.25</f>
        <v>4.9999999999999822E-2</v>
      </c>
      <c r="BB13" s="167">
        <f>(AD20*0.209)+(AC20*0.607)+(AE20*0.524)</f>
        <v>0.1048000000000001</v>
      </c>
      <c r="BC13" s="167">
        <v>0</v>
      </c>
      <c r="BD13" s="167">
        <f>(AD20*0.261)+(AE20*0.607)</f>
        <v>0.12140000000000011</v>
      </c>
      <c r="BE13" s="232">
        <f>AQ13</f>
        <v>0.13</v>
      </c>
      <c r="BF13" s="232">
        <f>AR13</f>
        <v>4.3333333333333335E-2</v>
      </c>
      <c r="BG13" s="170">
        <v>0</v>
      </c>
      <c r="BH13" s="170">
        <v>0</v>
      </c>
    </row>
    <row r="14" spans="1:67" s="81" customFormat="1" x14ac:dyDescent="0.25">
      <c r="A14" s="136" t="str">
        <f>Plantilla!A14</f>
        <v>#8</v>
      </c>
      <c r="B14" s="136" t="s">
        <v>1</v>
      </c>
      <c r="C14" s="90" t="str">
        <f>Plantilla!D14</f>
        <v>I. Stone</v>
      </c>
      <c r="D14" s="138">
        <f>Plantilla!E14</f>
        <v>18</v>
      </c>
      <c r="E14" s="143">
        <f ca="1">Plantilla!F14</f>
        <v>16</v>
      </c>
      <c r="F14" s="139" t="str">
        <f>Plantilla!G14</f>
        <v>RAP</v>
      </c>
      <c r="G14" s="338">
        <f>Plantilla!H14</f>
        <v>6</v>
      </c>
      <c r="H14" s="102">
        <f>Plantilla!I14</f>
        <v>1.2</v>
      </c>
      <c r="I14" s="189">
        <f>Plantilla!X14</f>
        <v>0</v>
      </c>
      <c r="J14" s="189">
        <f>Plantilla!Y14</f>
        <v>3</v>
      </c>
      <c r="K14" s="189">
        <f>Plantilla!Z14</f>
        <v>6</v>
      </c>
      <c r="L14" s="189">
        <f>Plantilla!AA14</f>
        <v>2</v>
      </c>
      <c r="M14" s="189">
        <f>Plantilla!AB14</f>
        <v>6</v>
      </c>
      <c r="N14" s="189">
        <f>Plantilla!AC14</f>
        <v>9</v>
      </c>
      <c r="O14" s="189">
        <f>Plantilla!AD14</f>
        <v>2</v>
      </c>
      <c r="P14" s="151">
        <f t="shared" si="20"/>
        <v>18</v>
      </c>
      <c r="Q14" s="152">
        <f t="shared" ca="1" si="21"/>
        <v>23</v>
      </c>
      <c r="R14" s="92">
        <f t="shared" si="6"/>
        <v>1.2</v>
      </c>
      <c r="S14" s="205">
        <f t="shared" si="34"/>
        <v>0</v>
      </c>
      <c r="T14" s="205">
        <f>J14+T$2/3</f>
        <v>3.3333333333333335</v>
      </c>
      <c r="U14" s="205">
        <f t="shared" ref="U14" si="37">K14+U$2/4</f>
        <v>6.25</v>
      </c>
      <c r="V14" s="205">
        <f t="shared" si="35"/>
        <v>2</v>
      </c>
      <c r="W14" s="205">
        <f t="shared" si="36"/>
        <v>6</v>
      </c>
      <c r="X14" s="205">
        <f>N14+X$2/6</f>
        <v>9.1666666666666661</v>
      </c>
      <c r="Y14" s="205">
        <f t="shared" ref="Y14:Y22" si="38">O14+Y$2/1</f>
        <v>3</v>
      </c>
      <c r="Z14" s="161">
        <f t="shared" si="8"/>
        <v>0</v>
      </c>
      <c r="AA14" s="161">
        <f t="shared" si="9"/>
        <v>0.33333333333333348</v>
      </c>
      <c r="AB14" s="161">
        <f t="shared" si="10"/>
        <v>0.25</v>
      </c>
      <c r="AC14" s="161">
        <f t="shared" si="11"/>
        <v>0</v>
      </c>
      <c r="AD14" s="161">
        <f t="shared" si="12"/>
        <v>0</v>
      </c>
      <c r="AE14" s="161">
        <f t="shared" si="13"/>
        <v>0.16666666666666607</v>
      </c>
      <c r="AF14" s="161">
        <f t="shared" si="14"/>
        <v>1</v>
      </c>
      <c r="AH14" s="208" t="s">
        <v>64</v>
      </c>
      <c r="AI14" s="79" t="str">
        <f>C12</f>
        <v>W. Gelifini</v>
      </c>
      <c r="AJ14" s="169">
        <v>0</v>
      </c>
      <c r="AK14" s="169">
        <v>0</v>
      </c>
      <c r="AL14" s="169">
        <v>0</v>
      </c>
      <c r="AM14" s="167">
        <f>AB12*0.25</f>
        <v>0</v>
      </c>
      <c r="AN14" s="167">
        <f>(AD12*0.142)+(AC12*0.221)+(AE12*0.26)</f>
        <v>0</v>
      </c>
      <c r="AO14" s="167">
        <f>AN14</f>
        <v>0</v>
      </c>
      <c r="AP14" s="167">
        <f>(AD12*0.369)+(AE12*1)</f>
        <v>0</v>
      </c>
      <c r="AQ14" s="172">
        <f>(0.5*AE12+0.3*AF12)/10</f>
        <v>0</v>
      </c>
      <c r="AR14" s="172">
        <f>(0.4*AA12+0.3*AF12)/10</f>
        <v>0</v>
      </c>
      <c r="AS14" s="170">
        <v>0</v>
      </c>
      <c r="AT14" s="170">
        <v>0</v>
      </c>
      <c r="AV14" s="208" t="s">
        <v>302</v>
      </c>
      <c r="AW14" s="79" t="s">
        <v>340</v>
      </c>
      <c r="AX14" s="169">
        <v>0</v>
      </c>
      <c r="AY14" s="169">
        <v>0</v>
      </c>
      <c r="AZ14" s="169">
        <v>0</v>
      </c>
      <c r="BA14" s="167">
        <f>AB22*0.25</f>
        <v>6.25E-2</v>
      </c>
      <c r="BB14" s="167">
        <v>0</v>
      </c>
      <c r="BC14" s="167">
        <f>(AD22*0.209)+(AC22*0.607)+(AE22*0.524)</f>
        <v>8.7333333333333027E-2</v>
      </c>
      <c r="BD14" s="167">
        <f>(AD22*0.261)+(AE22*0.607)</f>
        <v>0.10116666666666631</v>
      </c>
      <c r="BE14" s="170">
        <f>AQ20</f>
        <v>3.8333333333333303E-2</v>
      </c>
      <c r="BF14" s="170">
        <f>AR20</f>
        <v>0.04</v>
      </c>
      <c r="BG14" s="170">
        <v>0</v>
      </c>
      <c r="BH14" s="170">
        <v>0</v>
      </c>
    </row>
    <row r="15" spans="1:67" s="75" customFormat="1" x14ac:dyDescent="0.25">
      <c r="A15" s="136" t="str">
        <f>Plantilla!A15</f>
        <v>#14</v>
      </c>
      <c r="B15" s="136" t="s">
        <v>1</v>
      </c>
      <c r="C15" s="90" t="str">
        <f>Plantilla!D15</f>
        <v>G. Piscaer</v>
      </c>
      <c r="D15" s="138">
        <f>Plantilla!E15</f>
        <v>18</v>
      </c>
      <c r="E15" s="143">
        <f ca="1">Plantilla!F15</f>
        <v>89</v>
      </c>
      <c r="F15" s="139"/>
      <c r="G15" s="338">
        <f>Plantilla!H15</f>
        <v>1</v>
      </c>
      <c r="H15" s="102">
        <f>Plantilla!I15</f>
        <v>1.8</v>
      </c>
      <c r="I15" s="189">
        <f>Plantilla!X15</f>
        <v>0</v>
      </c>
      <c r="J15" s="189">
        <f>Plantilla!Y15</f>
        <v>4</v>
      </c>
      <c r="K15" s="189">
        <f>Plantilla!Z15</f>
        <v>8.4</v>
      </c>
      <c r="L15" s="189">
        <f>Plantilla!AA15</f>
        <v>3</v>
      </c>
      <c r="M15" s="189">
        <f>Plantilla!AB15</f>
        <v>2</v>
      </c>
      <c r="N15" s="189">
        <f>Plantilla!AC15</f>
        <v>8</v>
      </c>
      <c r="O15" s="189">
        <f>Plantilla!AD15</f>
        <v>0</v>
      </c>
      <c r="P15" s="151">
        <f t="shared" si="20"/>
        <v>18</v>
      </c>
      <c r="Q15" s="152">
        <f t="shared" ca="1" si="21"/>
        <v>96</v>
      </c>
      <c r="R15" s="92">
        <f t="shared" si="6"/>
        <v>1.8</v>
      </c>
      <c r="S15" s="205">
        <f t="shared" si="34"/>
        <v>0</v>
      </c>
      <c r="T15" s="205">
        <f>J15+T$2/4</f>
        <v>4.25</v>
      </c>
      <c r="U15" s="205">
        <f>K15+U$2/5</f>
        <v>8.6</v>
      </c>
      <c r="V15" s="205">
        <f t="shared" si="35"/>
        <v>3</v>
      </c>
      <c r="W15" s="205">
        <f t="shared" si="36"/>
        <v>2</v>
      </c>
      <c r="X15" s="205">
        <f t="shared" ref="X15:X20" si="39">N15+X$2/5</f>
        <v>8.1999999999999993</v>
      </c>
      <c r="Y15" s="205">
        <f t="shared" si="38"/>
        <v>1</v>
      </c>
      <c r="Z15" s="161">
        <f t="shared" si="8"/>
        <v>0</v>
      </c>
      <c r="AA15" s="161">
        <f t="shared" si="9"/>
        <v>0.25</v>
      </c>
      <c r="AB15" s="161">
        <f t="shared" si="10"/>
        <v>0.19999999999999929</v>
      </c>
      <c r="AC15" s="161">
        <f t="shared" si="11"/>
        <v>0</v>
      </c>
      <c r="AD15" s="161">
        <f t="shared" si="12"/>
        <v>0</v>
      </c>
      <c r="AE15" s="161">
        <f t="shared" si="13"/>
        <v>0.19999999999999929</v>
      </c>
      <c r="AF15" s="161">
        <f t="shared" si="14"/>
        <v>1</v>
      </c>
      <c r="AH15" s="165"/>
      <c r="AI15" s="166"/>
      <c r="AJ15" s="166"/>
      <c r="AK15" s="166"/>
      <c r="AL15" s="166"/>
      <c r="AM15" s="166"/>
      <c r="AN15" s="166"/>
      <c r="AO15" s="166"/>
      <c r="AP15" s="166"/>
      <c r="AQ15" s="166"/>
      <c r="AR15" s="166"/>
      <c r="AS15" s="166"/>
      <c r="AT15" s="166"/>
      <c r="AV15"/>
      <c r="AW15"/>
      <c r="AX15"/>
      <c r="AY15"/>
      <c r="AZ15"/>
      <c r="BA15"/>
      <c r="BB15"/>
      <c r="BC15"/>
      <c r="BD15"/>
      <c r="BE15"/>
      <c r="BF15"/>
      <c r="BG15"/>
      <c r="BH15"/>
    </row>
    <row r="16" spans="1:67" s="82" customFormat="1" x14ac:dyDescent="0.25">
      <c r="A16" s="136" t="str">
        <f>Plantilla!A16</f>
        <v>#3</v>
      </c>
      <c r="B16" s="136" t="s">
        <v>1</v>
      </c>
      <c r="C16" s="90" t="str">
        <f>Plantilla!D16</f>
        <v>M. Bondarewski</v>
      </c>
      <c r="D16" s="138">
        <f>Plantilla!E16</f>
        <v>18</v>
      </c>
      <c r="E16" s="143">
        <f ca="1">Plantilla!F16</f>
        <v>89</v>
      </c>
      <c r="F16" s="139" t="str">
        <f>Plantilla!G16</f>
        <v>RAP</v>
      </c>
      <c r="G16" s="338">
        <f>Plantilla!H16</f>
        <v>1</v>
      </c>
      <c r="H16" s="102">
        <f>Plantilla!I16</f>
        <v>1.6</v>
      </c>
      <c r="I16" s="189">
        <f>Plantilla!X16</f>
        <v>0</v>
      </c>
      <c r="J16" s="189">
        <f>Plantilla!Y16</f>
        <v>2</v>
      </c>
      <c r="K16" s="189">
        <f>Plantilla!Z16</f>
        <v>8.6</v>
      </c>
      <c r="L16" s="189">
        <f>Plantilla!AA16</f>
        <v>5</v>
      </c>
      <c r="M16" s="189">
        <f>Plantilla!AB16</f>
        <v>4</v>
      </c>
      <c r="N16" s="189">
        <f>Plantilla!AC16</f>
        <v>8</v>
      </c>
      <c r="O16" s="189">
        <f>Plantilla!AD16</f>
        <v>6</v>
      </c>
      <c r="P16" s="151">
        <f t="shared" si="20"/>
        <v>18</v>
      </c>
      <c r="Q16" s="152">
        <f t="shared" ca="1" si="21"/>
        <v>96</v>
      </c>
      <c r="R16" s="92">
        <f t="shared" si="6"/>
        <v>1.6</v>
      </c>
      <c r="S16" s="205">
        <f t="shared" si="34"/>
        <v>0</v>
      </c>
      <c r="T16" s="205">
        <f>J16+T$2/3</f>
        <v>2.3333333333333335</v>
      </c>
      <c r="U16" s="205">
        <f>K16+U$2/5</f>
        <v>8.7999999999999989</v>
      </c>
      <c r="V16" s="205">
        <f t="shared" si="35"/>
        <v>5</v>
      </c>
      <c r="W16" s="205">
        <f t="shared" si="36"/>
        <v>4</v>
      </c>
      <c r="X16" s="205">
        <f t="shared" si="39"/>
        <v>8.1999999999999993</v>
      </c>
      <c r="Y16" s="205">
        <f t="shared" si="38"/>
        <v>7</v>
      </c>
      <c r="Z16" s="161">
        <f t="shared" si="8"/>
        <v>0</v>
      </c>
      <c r="AA16" s="161">
        <f t="shared" si="9"/>
        <v>0.33333333333333348</v>
      </c>
      <c r="AB16" s="161">
        <f t="shared" si="10"/>
        <v>0.19999999999999929</v>
      </c>
      <c r="AC16" s="161">
        <f t="shared" si="11"/>
        <v>0</v>
      </c>
      <c r="AD16" s="161">
        <f t="shared" si="12"/>
        <v>0</v>
      </c>
      <c r="AE16" s="161">
        <f t="shared" si="13"/>
        <v>0.19999999999999929</v>
      </c>
      <c r="AF16" s="161">
        <f t="shared" si="14"/>
        <v>1</v>
      </c>
      <c r="AH16" s="72"/>
      <c r="AI16" s="72"/>
      <c r="AJ16" s="173" t="e">
        <f>SUM(AJ18:AJ28)*$BM$3</f>
        <v>#REF!</v>
      </c>
      <c r="AK16" s="173">
        <f>SUM(AK18:AK28)*$BM$3</f>
        <v>0.14359333333333341</v>
      </c>
      <c r="AL16" s="173" t="e">
        <f>SUM(AL18:AL28)*$BM$2</f>
        <v>#REF!</v>
      </c>
      <c r="AM16" s="173" t="e">
        <f>SUM(AM18:AM28)*$BM$4</f>
        <v>#REF!</v>
      </c>
      <c r="AN16" s="173" t="e">
        <f>SUM(AN18:AN28)*$BM$5</f>
        <v>#REF!</v>
      </c>
      <c r="AO16" s="173">
        <f>SUM(AO18:AO28)*$BM$5</f>
        <v>2.3833333333333307E-2</v>
      </c>
      <c r="AP16" s="173" t="e">
        <f>SUM(AP18:AP28)*$BM$6</f>
        <v>#REF!</v>
      </c>
      <c r="AQ16" s="174" t="e">
        <f>SUM(AQ18:AQ28)</f>
        <v>#REF!</v>
      </c>
      <c r="AR16" s="174" t="e">
        <f>SUM(AR18:AR28)</f>
        <v>#REF!</v>
      </c>
      <c r="AS16" s="174">
        <f t="shared" ref="AS16:AT16" si="40">SUM(AS18:AS28)</f>
        <v>5.46875</v>
      </c>
      <c r="AT16" s="174">
        <f t="shared" si="40"/>
        <v>9.375E-2</v>
      </c>
      <c r="AV16" s="72"/>
      <c r="AW16" s="72"/>
      <c r="AX16" s="173">
        <f>SUM(AX18:AX28)*$BM$3</f>
        <v>0.13498000000000002</v>
      </c>
      <c r="AY16" s="173" t="e">
        <f>SUM(AY18:AY28)*$BM$3</f>
        <v>#REF!</v>
      </c>
      <c r="AZ16" s="173" t="e">
        <f>SUM(AZ18:AZ28)*$BM$2</f>
        <v>#REF!</v>
      </c>
      <c r="BA16" s="173" t="e">
        <f>SUM(BA18:BA28)*$BM$4</f>
        <v>#REF!</v>
      </c>
      <c r="BB16" s="173">
        <f>SUM(BB18:BB28)*$BM$5</f>
        <v>1.3000000000000012E-2</v>
      </c>
      <c r="BC16" s="173" t="e">
        <f>SUM(BC18:BC28)*$BM$5</f>
        <v>#REF!</v>
      </c>
      <c r="BD16" s="173">
        <f>SUM(BD18:BD28)*$BM$6</f>
        <v>3.8000000000000034E-2</v>
      </c>
      <c r="BE16" s="174" t="e">
        <f>SUM(BE18:BE28)</f>
        <v>#REF!</v>
      </c>
      <c r="BF16" s="174" t="e">
        <f>SUM(BF18:BF28)</f>
        <v>#REF!</v>
      </c>
      <c r="BG16" s="174" t="e">
        <f t="shared" ref="BG16:BH16" si="41">SUM(BG18:BG28)</f>
        <v>#REF!</v>
      </c>
      <c r="BH16" s="174" t="e">
        <f t="shared" si="41"/>
        <v>#REF!</v>
      </c>
    </row>
    <row r="17" spans="1:60" s="75" customFormat="1" x14ac:dyDescent="0.25">
      <c r="A17" s="136" t="str">
        <f>Plantilla!A17</f>
        <v>#18</v>
      </c>
      <c r="B17" s="136" t="s">
        <v>1</v>
      </c>
      <c r="C17" s="90" t="str">
        <f>Plantilla!D17</f>
        <v>J. Vartiainen</v>
      </c>
      <c r="D17" s="138">
        <f>Plantilla!E17</f>
        <v>19</v>
      </c>
      <c r="E17" s="143">
        <f ca="1">Plantilla!F17</f>
        <v>23</v>
      </c>
      <c r="F17" s="139"/>
      <c r="G17" s="338">
        <f>Plantilla!H17</f>
        <v>4</v>
      </c>
      <c r="H17" s="102">
        <f>Plantilla!I17</f>
        <v>0.3</v>
      </c>
      <c r="I17" s="189">
        <f>Plantilla!X17</f>
        <v>0</v>
      </c>
      <c r="J17" s="189">
        <f>Plantilla!Y17</f>
        <v>7</v>
      </c>
      <c r="K17" s="189">
        <f>Plantilla!Z17</f>
        <v>7.5111111111111111</v>
      </c>
      <c r="L17" s="189">
        <f>Plantilla!AA17</f>
        <v>1</v>
      </c>
      <c r="M17" s="189">
        <f>Plantilla!AB17</f>
        <v>1</v>
      </c>
      <c r="N17" s="189">
        <f>Plantilla!AC17</f>
        <v>6</v>
      </c>
      <c r="O17" s="189">
        <f>Plantilla!AD17</f>
        <v>1</v>
      </c>
      <c r="P17" s="151">
        <f t="shared" si="20"/>
        <v>19</v>
      </c>
      <c r="Q17" s="152">
        <f t="shared" ca="1" si="21"/>
        <v>30</v>
      </c>
      <c r="R17" s="92">
        <f t="shared" si="6"/>
        <v>0.3</v>
      </c>
      <c r="S17" s="205">
        <f t="shared" si="34"/>
        <v>0</v>
      </c>
      <c r="T17" s="205">
        <f>J17+T$2/5</f>
        <v>7.2</v>
      </c>
      <c r="U17" s="205">
        <f>K17+U$2/5</f>
        <v>7.7111111111111112</v>
      </c>
      <c r="V17" s="205">
        <f t="shared" si="35"/>
        <v>1</v>
      </c>
      <c r="W17" s="205">
        <f t="shared" si="36"/>
        <v>1</v>
      </c>
      <c r="X17" s="205">
        <f>N17+X$2/4</f>
        <v>6.25</v>
      </c>
      <c r="Y17" s="205">
        <f t="shared" si="38"/>
        <v>2</v>
      </c>
      <c r="Z17" s="161">
        <f t="shared" si="8"/>
        <v>0</v>
      </c>
      <c r="AA17" s="161">
        <f t="shared" si="9"/>
        <v>0.20000000000000018</v>
      </c>
      <c r="AB17" s="161">
        <f t="shared" si="10"/>
        <v>0.20000000000000018</v>
      </c>
      <c r="AC17" s="161">
        <f t="shared" si="11"/>
        <v>0</v>
      </c>
      <c r="AD17" s="161">
        <f t="shared" si="12"/>
        <v>0</v>
      </c>
      <c r="AE17" s="161">
        <f t="shared" si="13"/>
        <v>0.25</v>
      </c>
      <c r="AF17" s="161">
        <f t="shared" si="14"/>
        <v>1</v>
      </c>
      <c r="AH17" s="675" t="s">
        <v>338</v>
      </c>
      <c r="AI17" s="676"/>
      <c r="AJ17" s="117" t="s">
        <v>204</v>
      </c>
      <c r="AK17" s="117" t="s">
        <v>205</v>
      </c>
      <c r="AL17" s="117" t="s">
        <v>215</v>
      </c>
      <c r="AM17" s="117" t="s">
        <v>206</v>
      </c>
      <c r="AN17" s="117" t="s">
        <v>207</v>
      </c>
      <c r="AO17" s="117" t="s">
        <v>208</v>
      </c>
      <c r="AP17" s="117" t="s">
        <v>209</v>
      </c>
      <c r="AQ17" s="117" t="s">
        <v>351</v>
      </c>
      <c r="AR17" s="117" t="s">
        <v>352</v>
      </c>
      <c r="AS17" s="117" t="s">
        <v>257</v>
      </c>
      <c r="AT17" s="117" t="s">
        <v>279</v>
      </c>
      <c r="AV17" s="675" t="s">
        <v>301</v>
      </c>
      <c r="AW17" s="676"/>
      <c r="AX17" s="117" t="s">
        <v>204</v>
      </c>
      <c r="AY17" s="117" t="s">
        <v>205</v>
      </c>
      <c r="AZ17" s="117" t="s">
        <v>215</v>
      </c>
      <c r="BA17" s="117" t="s">
        <v>206</v>
      </c>
      <c r="BB17" s="117" t="s">
        <v>207</v>
      </c>
      <c r="BC17" s="117" t="s">
        <v>208</v>
      </c>
      <c r="BD17" s="117" t="s">
        <v>209</v>
      </c>
      <c r="BE17" s="117" t="s">
        <v>351</v>
      </c>
      <c r="BF17" s="117" t="s">
        <v>352</v>
      </c>
      <c r="BG17" s="117" t="s">
        <v>257</v>
      </c>
      <c r="BH17" s="117" t="s">
        <v>279</v>
      </c>
    </row>
    <row r="18" spans="1:60" s="70" customFormat="1" x14ac:dyDescent="0.25">
      <c r="A18" s="136" t="str">
        <f>Plantilla!A18</f>
        <v>#16</v>
      </c>
      <c r="B18" s="136" t="s">
        <v>1</v>
      </c>
      <c r="C18" s="90" t="str">
        <f>Plantilla!D18</f>
        <v>R. Forsyth</v>
      </c>
      <c r="D18" s="138">
        <f>Plantilla!E18</f>
        <v>19</v>
      </c>
      <c r="E18" s="143">
        <f ca="1">Plantilla!F18</f>
        <v>18</v>
      </c>
      <c r="F18" s="139" t="str">
        <f>Plantilla!G18</f>
        <v>POT</v>
      </c>
      <c r="G18" s="338">
        <f>Plantilla!H18</f>
        <v>4</v>
      </c>
      <c r="H18" s="102">
        <f>Plantilla!I18</f>
        <v>1.8</v>
      </c>
      <c r="I18" s="189">
        <f>Plantilla!X18</f>
        <v>0</v>
      </c>
      <c r="J18" s="189">
        <f>Plantilla!Y18</f>
        <v>7</v>
      </c>
      <c r="K18" s="189">
        <f>Plantilla!Z18</f>
        <v>7.6</v>
      </c>
      <c r="L18" s="189">
        <f>Plantilla!AA18</f>
        <v>2</v>
      </c>
      <c r="M18" s="189">
        <f>Plantilla!AB18</f>
        <v>4</v>
      </c>
      <c r="N18" s="189">
        <f>Plantilla!AC18</f>
        <v>6</v>
      </c>
      <c r="O18" s="189">
        <f>Plantilla!AD18</f>
        <v>2</v>
      </c>
      <c r="P18" s="151">
        <f t="shared" si="20"/>
        <v>19</v>
      </c>
      <c r="Q18" s="152">
        <f t="shared" ca="1" si="21"/>
        <v>25</v>
      </c>
      <c r="R18" s="92">
        <f t="shared" si="6"/>
        <v>1.8</v>
      </c>
      <c r="S18" s="205">
        <f t="shared" si="34"/>
        <v>0</v>
      </c>
      <c r="T18" s="205">
        <f>J18+T$2/5</f>
        <v>7.2</v>
      </c>
      <c r="U18" s="205">
        <f>K18+U$2/5</f>
        <v>7.8</v>
      </c>
      <c r="V18" s="205">
        <f t="shared" si="35"/>
        <v>2</v>
      </c>
      <c r="W18" s="205">
        <f t="shared" si="36"/>
        <v>4</v>
      </c>
      <c r="X18" s="205">
        <f>N18+X$2/4</f>
        <v>6.25</v>
      </c>
      <c r="Y18" s="205">
        <f t="shared" si="38"/>
        <v>3</v>
      </c>
      <c r="Z18" s="161">
        <f t="shared" si="8"/>
        <v>0</v>
      </c>
      <c r="AA18" s="161">
        <f t="shared" si="9"/>
        <v>0.20000000000000018</v>
      </c>
      <c r="AB18" s="161">
        <f t="shared" si="10"/>
        <v>0.20000000000000018</v>
      </c>
      <c r="AC18" s="161">
        <f t="shared" si="11"/>
        <v>0</v>
      </c>
      <c r="AD18" s="161">
        <f t="shared" si="12"/>
        <v>0</v>
      </c>
      <c r="AE18" s="161">
        <f t="shared" si="13"/>
        <v>0.25</v>
      </c>
      <c r="AF18" s="161">
        <f t="shared" si="14"/>
        <v>1</v>
      </c>
      <c r="AH18" s="162" t="s">
        <v>1</v>
      </c>
      <c r="AI18" s="99" t="str">
        <f>C4</f>
        <v>D. Gehmacher</v>
      </c>
      <c r="AJ18" s="167">
        <f>AJ4</f>
        <v>0</v>
      </c>
      <c r="AK18" s="167">
        <f t="shared" ref="AK18:AT18" si="42">AK4</f>
        <v>0</v>
      </c>
      <c r="AL18" s="167">
        <f t="shared" si="42"/>
        <v>0</v>
      </c>
      <c r="AM18" s="167">
        <f t="shared" si="42"/>
        <v>0</v>
      </c>
      <c r="AN18" s="167">
        <f t="shared" si="42"/>
        <v>0</v>
      </c>
      <c r="AO18" s="167">
        <f t="shared" si="42"/>
        <v>0</v>
      </c>
      <c r="AP18" s="167">
        <f t="shared" si="42"/>
        <v>0</v>
      </c>
      <c r="AQ18" s="232">
        <f t="shared" si="42"/>
        <v>0</v>
      </c>
      <c r="AR18" s="232">
        <f t="shared" si="42"/>
        <v>0</v>
      </c>
      <c r="AS18" s="170">
        <f t="shared" si="42"/>
        <v>0</v>
      </c>
      <c r="AT18" s="170">
        <f t="shared" si="42"/>
        <v>0</v>
      </c>
      <c r="AV18" s="162" t="s">
        <v>1</v>
      </c>
      <c r="AW18" s="99" t="str">
        <f>C4</f>
        <v>D. Gehmacher</v>
      </c>
      <c r="AX18" s="167">
        <f>AX4</f>
        <v>0</v>
      </c>
      <c r="AY18" s="167">
        <f t="shared" ref="AY18:BH18" si="43">AY4</f>
        <v>0</v>
      </c>
      <c r="AZ18" s="167">
        <f t="shared" si="43"/>
        <v>0</v>
      </c>
      <c r="BA18" s="167">
        <f t="shared" si="43"/>
        <v>0</v>
      </c>
      <c r="BB18" s="167">
        <f t="shared" si="43"/>
        <v>0</v>
      </c>
      <c r="BC18" s="167">
        <f t="shared" si="43"/>
        <v>0</v>
      </c>
      <c r="BD18" s="167">
        <f t="shared" si="43"/>
        <v>0</v>
      </c>
      <c r="BE18" s="232">
        <f t="shared" si="43"/>
        <v>0</v>
      </c>
      <c r="BF18" s="232">
        <f t="shared" si="43"/>
        <v>0</v>
      </c>
      <c r="BG18" s="170">
        <f t="shared" si="43"/>
        <v>0</v>
      </c>
      <c r="BH18" s="170">
        <f t="shared" si="43"/>
        <v>0</v>
      </c>
    </row>
    <row r="19" spans="1:60" s="70" customFormat="1" x14ac:dyDescent="0.25">
      <c r="A19" s="136" t="str">
        <f>Plantilla!A19</f>
        <v>#21</v>
      </c>
      <c r="B19" s="136" t="s">
        <v>1</v>
      </c>
      <c r="C19" s="90">
        <f>Plantilla!D19</f>
        <v>0</v>
      </c>
      <c r="D19" s="138">
        <f>Plantilla!E19</f>
        <v>19</v>
      </c>
      <c r="E19" s="143">
        <f ca="1">Plantilla!F19</f>
        <v>10</v>
      </c>
      <c r="F19" s="139"/>
      <c r="G19" s="338">
        <f>Plantilla!H19</f>
        <v>4</v>
      </c>
      <c r="H19" s="102">
        <f>Plantilla!I19</f>
        <v>1.8</v>
      </c>
      <c r="I19" s="189">
        <f>Plantilla!X19</f>
        <v>0</v>
      </c>
      <c r="J19" s="189">
        <f>Plantilla!Y19</f>
        <v>5</v>
      </c>
      <c r="K19" s="189">
        <f>Plantilla!Z19</f>
        <v>6.1583333333333332</v>
      </c>
      <c r="L19" s="189">
        <f>Plantilla!AA19</f>
        <v>2</v>
      </c>
      <c r="M19" s="189">
        <f>Plantilla!AB19</f>
        <v>3</v>
      </c>
      <c r="N19" s="189">
        <f>Plantilla!AC19</f>
        <v>9</v>
      </c>
      <c r="O19" s="189">
        <f>Plantilla!AD19</f>
        <v>1</v>
      </c>
      <c r="P19" s="151">
        <f t="shared" si="20"/>
        <v>19</v>
      </c>
      <c r="Q19" s="152">
        <f t="shared" ca="1" si="21"/>
        <v>17</v>
      </c>
      <c r="R19" s="92">
        <f t="shared" si="6"/>
        <v>1.8</v>
      </c>
      <c r="S19" s="205">
        <f t="shared" si="34"/>
        <v>0</v>
      </c>
      <c r="T19" s="205">
        <f>J19+T$2/4</f>
        <v>5.25</v>
      </c>
      <c r="U19" s="205">
        <f>K19+U$2/4</f>
        <v>6.4083333333333332</v>
      </c>
      <c r="V19" s="205">
        <f t="shared" si="35"/>
        <v>2</v>
      </c>
      <c r="W19" s="205">
        <f t="shared" si="36"/>
        <v>3</v>
      </c>
      <c r="X19" s="205">
        <f>N19+X$2/6</f>
        <v>9.1666666666666661</v>
      </c>
      <c r="Y19" s="205">
        <f t="shared" si="38"/>
        <v>2</v>
      </c>
      <c r="Z19" s="161">
        <f t="shared" si="8"/>
        <v>0</v>
      </c>
      <c r="AA19" s="161">
        <f t="shared" si="9"/>
        <v>0.25</v>
      </c>
      <c r="AB19" s="161">
        <f t="shared" si="10"/>
        <v>0.25</v>
      </c>
      <c r="AC19" s="161">
        <f t="shared" si="11"/>
        <v>0</v>
      </c>
      <c r="AD19" s="161">
        <f t="shared" si="12"/>
        <v>0</v>
      </c>
      <c r="AE19" s="161">
        <f t="shared" si="13"/>
        <v>0.16666666666666607</v>
      </c>
      <c r="AF19" s="161">
        <f t="shared" si="14"/>
        <v>1</v>
      </c>
      <c r="AH19" s="163" t="s">
        <v>260</v>
      </c>
      <c r="AI19" s="100">
        <f>C19</f>
        <v>0</v>
      </c>
      <c r="AJ19" s="168">
        <f>(AA19*0.919)</f>
        <v>0.22975000000000001</v>
      </c>
      <c r="AK19" s="168">
        <v>0</v>
      </c>
      <c r="AL19" s="168">
        <f>AA19*0.414</f>
        <v>0.10349999999999999</v>
      </c>
      <c r="AM19" s="168">
        <f>AB19*0.167</f>
        <v>4.1750000000000002E-2</v>
      </c>
      <c r="AN19" s="168">
        <f>AC19*0.588</f>
        <v>0</v>
      </c>
      <c r="AO19" s="168">
        <v>0</v>
      </c>
      <c r="AP19" s="168">
        <v>0</v>
      </c>
      <c r="AQ19" s="171">
        <f>AQ5</f>
        <v>3.8333333333333303E-2</v>
      </c>
      <c r="AR19" s="171">
        <f>AR5</f>
        <v>0.04</v>
      </c>
      <c r="AS19" s="171">
        <f>((T19+1)+(W19+1)*2)/8</f>
        <v>1.78125</v>
      </c>
      <c r="AT19" s="171">
        <f>((AA19)+(AD19)*2)/8</f>
        <v>3.125E-2</v>
      </c>
      <c r="AV19" s="163" t="s">
        <v>260</v>
      </c>
      <c r="AW19" s="100" t="str">
        <f>C8</f>
        <v>F. Lasprilla</v>
      </c>
      <c r="AX19" s="168">
        <f t="shared" ref="AX19:BD19" si="44">AJ5</f>
        <v>0.22975000000000001</v>
      </c>
      <c r="AY19" s="168">
        <f t="shared" si="44"/>
        <v>0</v>
      </c>
      <c r="AZ19" s="168">
        <f t="shared" si="44"/>
        <v>0.10349999999999999</v>
      </c>
      <c r="BA19" s="168">
        <f t="shared" si="44"/>
        <v>4.1750000000000002E-2</v>
      </c>
      <c r="BB19" s="168">
        <f t="shared" si="44"/>
        <v>0</v>
      </c>
      <c r="BC19" s="168">
        <f t="shared" si="44"/>
        <v>0</v>
      </c>
      <c r="BD19" s="168">
        <f t="shared" si="44"/>
        <v>0</v>
      </c>
      <c r="BE19" s="171">
        <f t="shared" ref="BE19" si="45">AQ5</f>
        <v>3.8333333333333303E-2</v>
      </c>
      <c r="BF19" s="171">
        <f>AR5</f>
        <v>0.04</v>
      </c>
      <c r="BG19" s="171">
        <f>AS5</f>
        <v>1.78125</v>
      </c>
      <c r="BH19" s="171">
        <f>AT5</f>
        <v>3.125E-2</v>
      </c>
    </row>
    <row r="20" spans="1:60" s="69" customFormat="1" x14ac:dyDescent="0.25">
      <c r="A20" s="136" t="str">
        <f>Plantilla!A20</f>
        <v>#19</v>
      </c>
      <c r="B20" s="136" t="s">
        <v>1</v>
      </c>
      <c r="C20" s="90" t="str">
        <f>Plantilla!D20</f>
        <v>V. Godoi</v>
      </c>
      <c r="D20" s="138">
        <f>Plantilla!E20</f>
        <v>25</v>
      </c>
      <c r="E20" s="143">
        <f ca="1">Plantilla!F20</f>
        <v>94</v>
      </c>
      <c r="F20" s="139">
        <f>Plantilla!G20</f>
        <v>0</v>
      </c>
      <c r="G20" s="338">
        <f>Plantilla!H20</f>
        <v>5</v>
      </c>
      <c r="H20" s="102">
        <f>Plantilla!I20</f>
        <v>4.5</v>
      </c>
      <c r="I20" s="189">
        <f>Plantilla!X20</f>
        <v>0</v>
      </c>
      <c r="J20" s="189">
        <f>Plantilla!Y20</f>
        <v>3</v>
      </c>
      <c r="K20" s="189">
        <f>Plantilla!Z20</f>
        <v>9.0769230769230766</v>
      </c>
      <c r="L20" s="189">
        <f>Plantilla!AA20</f>
        <v>9</v>
      </c>
      <c r="M20" s="189">
        <f>Plantilla!AB20</f>
        <v>5</v>
      </c>
      <c r="N20" s="189">
        <f>Plantilla!AC20</f>
        <v>5</v>
      </c>
      <c r="O20" s="189">
        <f>Plantilla!AD20</f>
        <v>1</v>
      </c>
      <c r="P20" s="151">
        <f t="shared" si="20"/>
        <v>25</v>
      </c>
      <c r="Q20" s="152">
        <f t="shared" ca="1" si="21"/>
        <v>101</v>
      </c>
      <c r="R20" s="92">
        <f t="shared" si="6"/>
        <v>4.5</v>
      </c>
      <c r="S20" s="205">
        <f t="shared" si="34"/>
        <v>0</v>
      </c>
      <c r="T20" s="205">
        <f>J20+T$2/3</f>
        <v>3.3333333333333335</v>
      </c>
      <c r="U20" s="205">
        <f>K20+U$2/5</f>
        <v>9.2769230769230759</v>
      </c>
      <c r="V20" s="205">
        <f t="shared" si="35"/>
        <v>9</v>
      </c>
      <c r="W20" s="205">
        <f t="shared" si="36"/>
        <v>5</v>
      </c>
      <c r="X20" s="205">
        <f t="shared" si="39"/>
        <v>5.2</v>
      </c>
      <c r="Y20" s="205">
        <f t="shared" si="38"/>
        <v>2</v>
      </c>
      <c r="Z20" s="161">
        <f t="shared" si="8"/>
        <v>0</v>
      </c>
      <c r="AA20" s="161">
        <f t="shared" si="9"/>
        <v>0.33333333333333348</v>
      </c>
      <c r="AB20" s="161">
        <f t="shared" si="10"/>
        <v>0.19999999999999929</v>
      </c>
      <c r="AC20" s="161">
        <f t="shared" si="11"/>
        <v>0</v>
      </c>
      <c r="AD20" s="161">
        <f t="shared" si="12"/>
        <v>0</v>
      </c>
      <c r="AE20" s="161">
        <f t="shared" si="13"/>
        <v>0.20000000000000018</v>
      </c>
      <c r="AF20" s="161">
        <f t="shared" si="14"/>
        <v>1</v>
      </c>
      <c r="AH20" s="208" t="s">
        <v>64</v>
      </c>
      <c r="AI20" s="79">
        <f>C22</f>
        <v>0</v>
      </c>
      <c r="AJ20" s="167">
        <v>0</v>
      </c>
      <c r="AK20" s="167">
        <v>0</v>
      </c>
      <c r="AL20" s="167">
        <v>0</v>
      </c>
      <c r="AM20" s="169">
        <f>AB22*0.25</f>
        <v>6.25E-2</v>
      </c>
      <c r="AN20" s="169">
        <f>(AD22*0.142)+(AC22*0.221)+(AE22*0.26)</f>
        <v>4.3333333333333182E-2</v>
      </c>
      <c r="AO20" s="167">
        <f>AN20</f>
        <v>4.3333333333333182E-2</v>
      </c>
      <c r="AP20" s="169">
        <f>(AD22*0.369)+(AE22*1)</f>
        <v>0.16666666666666607</v>
      </c>
      <c r="AQ20" s="172">
        <f>(0.5*AE22+0.3*AF22)/10</f>
        <v>3.8333333333333303E-2</v>
      </c>
      <c r="AR20" s="172">
        <f>(0.4*AA22+0.3*AF22)/10</f>
        <v>0.04</v>
      </c>
      <c r="AS20" s="171">
        <f>((T22+1)+(W22+1)*2)/8</f>
        <v>1.90625</v>
      </c>
      <c r="AT20" s="171">
        <f>((AA22)+(AD22)*2)/8</f>
        <v>3.125E-2</v>
      </c>
      <c r="AV20" s="164" t="s">
        <v>303</v>
      </c>
      <c r="AW20" s="79" t="str">
        <f>C7</f>
        <v>B. Bartolache</v>
      </c>
      <c r="AX20" s="169">
        <f>AA7*0.754</f>
        <v>0</v>
      </c>
      <c r="AY20" s="169">
        <v>0</v>
      </c>
      <c r="AZ20" s="169">
        <f>AA7*0.708</f>
        <v>0</v>
      </c>
      <c r="BA20" s="169">
        <f>AB7*0.165</f>
        <v>0</v>
      </c>
      <c r="BB20" s="169">
        <f>AC7*0.286</f>
        <v>0</v>
      </c>
      <c r="BC20" s="169">
        <v>0</v>
      </c>
      <c r="BD20" s="169">
        <v>0</v>
      </c>
      <c r="BE20" s="172">
        <f>BE6</f>
        <v>0</v>
      </c>
      <c r="BF20" s="172">
        <f>BF6</f>
        <v>0</v>
      </c>
      <c r="BG20" s="171">
        <f>((T7+1)+(W7+1)*2)/8</f>
        <v>3.8562499999999997</v>
      </c>
      <c r="BH20" s="171">
        <f>((AA7)+(AD7)*2)/8</f>
        <v>0</v>
      </c>
    </row>
    <row r="21" spans="1:60" s="78" customFormat="1" x14ac:dyDescent="0.25">
      <c r="A21" s="136" t="str">
        <f>Plantilla!A21</f>
        <v>#20</v>
      </c>
      <c r="B21" s="136" t="s">
        <v>1</v>
      </c>
      <c r="C21" s="90" t="str">
        <f>Plantilla!D21</f>
        <v>P. Tuderek</v>
      </c>
      <c r="D21" s="138">
        <f>Plantilla!E21</f>
        <v>18</v>
      </c>
      <c r="E21" s="143">
        <f ca="1">Plantilla!F21</f>
        <v>75</v>
      </c>
      <c r="F21" s="139"/>
      <c r="G21" s="338">
        <f>Plantilla!H21</f>
        <v>4</v>
      </c>
      <c r="H21" s="102">
        <f>Plantilla!I21</f>
        <v>0.6</v>
      </c>
      <c r="I21" s="189">
        <f>Plantilla!X21</f>
        <v>0</v>
      </c>
      <c r="J21" s="189">
        <f>Plantilla!Y21</f>
        <v>6</v>
      </c>
      <c r="K21" s="189">
        <f>Plantilla!Z21</f>
        <v>6.2833333333333332</v>
      </c>
      <c r="L21" s="189">
        <f>Plantilla!AA21</f>
        <v>2</v>
      </c>
      <c r="M21" s="189">
        <f>Plantilla!AB21</f>
        <v>3</v>
      </c>
      <c r="N21" s="189">
        <f>Plantilla!AC21</f>
        <v>6</v>
      </c>
      <c r="O21" s="189">
        <f>Plantilla!AD21</f>
        <v>8</v>
      </c>
      <c r="P21" s="151">
        <f t="shared" si="20"/>
        <v>18</v>
      </c>
      <c r="Q21" s="152">
        <f t="shared" ca="1" si="21"/>
        <v>82</v>
      </c>
      <c r="R21" s="92">
        <f t="shared" si="6"/>
        <v>0.6</v>
      </c>
      <c r="S21" s="205">
        <f t="shared" si="34"/>
        <v>0</v>
      </c>
      <c r="T21" s="205">
        <f>J21+T$2/5</f>
        <v>6.2</v>
      </c>
      <c r="U21" s="205">
        <f>K21+U$2/4</f>
        <v>6.5333333333333332</v>
      </c>
      <c r="V21" s="205">
        <f t="shared" si="35"/>
        <v>2</v>
      </c>
      <c r="W21" s="205">
        <f t="shared" si="36"/>
        <v>3</v>
      </c>
      <c r="X21" s="205">
        <f>N21+X$2/4</f>
        <v>6.25</v>
      </c>
      <c r="Y21" s="205">
        <f t="shared" si="38"/>
        <v>9</v>
      </c>
      <c r="Z21" s="161">
        <f t="shared" si="8"/>
        <v>0</v>
      </c>
      <c r="AA21" s="161">
        <f t="shared" si="9"/>
        <v>0.20000000000000018</v>
      </c>
      <c r="AB21" s="161">
        <f t="shared" si="10"/>
        <v>0.25</v>
      </c>
      <c r="AC21" s="161">
        <f t="shared" si="11"/>
        <v>0</v>
      </c>
      <c r="AD21" s="161">
        <f t="shared" si="12"/>
        <v>0</v>
      </c>
      <c r="AE21" s="161">
        <f t="shared" si="13"/>
        <v>0.25</v>
      </c>
      <c r="AF21" s="161">
        <f t="shared" si="14"/>
        <v>1</v>
      </c>
      <c r="AH21" s="164" t="s">
        <v>260</v>
      </c>
      <c r="AI21" s="79" t="str">
        <f>C8</f>
        <v>F. Lasprilla</v>
      </c>
      <c r="AJ21" s="169">
        <v>0</v>
      </c>
      <c r="AK21" s="169">
        <f>AA16*0.919</f>
        <v>0.30633333333333346</v>
      </c>
      <c r="AL21" s="169">
        <f>AA8*0.414</f>
        <v>0</v>
      </c>
      <c r="AM21" s="169">
        <f>AB8*0.167</f>
        <v>0</v>
      </c>
      <c r="AN21" s="169">
        <v>0</v>
      </c>
      <c r="AO21" s="169">
        <f>AC8*0.588</f>
        <v>0</v>
      </c>
      <c r="AP21" s="169">
        <v>0</v>
      </c>
      <c r="AQ21" s="172">
        <f>AQ5</f>
        <v>3.8333333333333303E-2</v>
      </c>
      <c r="AR21" s="172">
        <f>AR5</f>
        <v>0.04</v>
      </c>
      <c r="AS21" s="172">
        <f>AS5</f>
        <v>1.78125</v>
      </c>
      <c r="AT21" s="172">
        <f>AT5</f>
        <v>3.125E-2</v>
      </c>
      <c r="AV21" s="164" t="s">
        <v>276</v>
      </c>
      <c r="AW21" s="79" t="str">
        <f>C15</f>
        <v>G. Piscaer</v>
      </c>
      <c r="AX21" s="169">
        <f t="shared" ref="AX21:BD21" si="46">AJ6</f>
        <v>9.4500000000000001E-2</v>
      </c>
      <c r="AY21" s="169">
        <f t="shared" si="46"/>
        <v>9.4500000000000001E-2</v>
      </c>
      <c r="AZ21" s="169">
        <f t="shared" si="46"/>
        <v>0.25</v>
      </c>
      <c r="BA21" s="169">
        <f t="shared" si="46"/>
        <v>4.7199999999999832E-2</v>
      </c>
      <c r="BB21" s="169">
        <f t="shared" si="46"/>
        <v>0</v>
      </c>
      <c r="BC21" s="169">
        <f t="shared" si="46"/>
        <v>0</v>
      </c>
      <c r="BD21" s="169">
        <f t="shared" si="46"/>
        <v>0</v>
      </c>
      <c r="BE21" s="172">
        <f t="shared" ref="BE21" si="47">AQ6</f>
        <v>3.9999999999999966E-2</v>
      </c>
      <c r="BF21" s="172">
        <f t="shared" ref="BF21:BH22" si="48">AR6</f>
        <v>0.04</v>
      </c>
      <c r="BG21" s="171">
        <f t="shared" si="48"/>
        <v>1.40625</v>
      </c>
      <c r="BH21" s="171">
        <f t="shared" si="48"/>
        <v>3.125E-2</v>
      </c>
    </row>
    <row r="22" spans="1:60" s="75" customFormat="1" x14ac:dyDescent="0.25">
      <c r="A22" s="136" t="str">
        <f>Plantilla!A22</f>
        <v>#22</v>
      </c>
      <c r="B22" s="136" t="s">
        <v>1</v>
      </c>
      <c r="C22" s="90">
        <f>Plantilla!D22</f>
        <v>0</v>
      </c>
      <c r="D22" s="138">
        <f>Plantilla!E22</f>
        <v>18</v>
      </c>
      <c r="E22" s="143">
        <f ca="1">Plantilla!F22</f>
        <v>107</v>
      </c>
      <c r="F22" s="139" t="str">
        <f>Plantilla!G22</f>
        <v>RAP</v>
      </c>
      <c r="G22" s="338">
        <f>Plantilla!H22</f>
        <v>4</v>
      </c>
      <c r="H22" s="102">
        <f>Plantilla!I22</f>
        <v>0.5</v>
      </c>
      <c r="I22" s="189">
        <f>Plantilla!X22</f>
        <v>0</v>
      </c>
      <c r="J22" s="189">
        <f>Plantilla!Y22</f>
        <v>4</v>
      </c>
      <c r="K22" s="189">
        <f>Plantilla!Z22</f>
        <v>5.2857142857142856</v>
      </c>
      <c r="L22" s="189">
        <f>Plantilla!AA22</f>
        <v>3</v>
      </c>
      <c r="M22" s="189">
        <f>Plantilla!AB22</f>
        <v>4</v>
      </c>
      <c r="N22" s="189">
        <f>Plantilla!AC22</f>
        <v>9</v>
      </c>
      <c r="O22" s="189">
        <f>Plantilla!AD22</f>
        <v>8</v>
      </c>
      <c r="P22" s="151">
        <f t="shared" si="20"/>
        <v>18</v>
      </c>
      <c r="Q22" s="152">
        <f t="shared" ca="1" si="21"/>
        <v>114</v>
      </c>
      <c r="R22" s="92">
        <f t="shared" si="6"/>
        <v>0.5</v>
      </c>
      <c r="S22" s="205">
        <f t="shared" si="34"/>
        <v>0</v>
      </c>
      <c r="T22" s="205">
        <f>J22+T$2/4</f>
        <v>4.25</v>
      </c>
      <c r="U22" s="205">
        <f>K22+U$2/4</f>
        <v>5.5357142857142856</v>
      </c>
      <c r="V22" s="205">
        <f t="shared" si="35"/>
        <v>3</v>
      </c>
      <c r="W22" s="205">
        <f t="shared" si="36"/>
        <v>4</v>
      </c>
      <c r="X22" s="205">
        <f>N22+X$2/6</f>
        <v>9.1666666666666661</v>
      </c>
      <c r="Y22" s="205">
        <f t="shared" si="38"/>
        <v>9</v>
      </c>
      <c r="Z22" s="161">
        <f t="shared" si="8"/>
        <v>0</v>
      </c>
      <c r="AA22" s="161">
        <f t="shared" si="9"/>
        <v>0.25</v>
      </c>
      <c r="AB22" s="161">
        <f t="shared" si="10"/>
        <v>0.25</v>
      </c>
      <c r="AC22" s="161">
        <f t="shared" si="11"/>
        <v>0</v>
      </c>
      <c r="AD22" s="161">
        <f t="shared" si="12"/>
        <v>0</v>
      </c>
      <c r="AE22" s="161">
        <f t="shared" si="13"/>
        <v>0.16666666666666607</v>
      </c>
      <c r="AF22" s="161">
        <f t="shared" si="14"/>
        <v>1</v>
      </c>
      <c r="AH22" s="207" t="s">
        <v>304</v>
      </c>
      <c r="AI22" s="99" t="e">
        <f>AI8</f>
        <v>#REF!</v>
      </c>
      <c r="AJ22" s="167" t="e">
        <f>AJ8</f>
        <v>#REF!</v>
      </c>
      <c r="AK22" s="167">
        <f t="shared" ref="AK22:AP22" si="49">AK8</f>
        <v>0</v>
      </c>
      <c r="AL22" s="167" t="e">
        <f t="shared" si="49"/>
        <v>#REF!</v>
      </c>
      <c r="AM22" s="167" t="e">
        <f t="shared" si="49"/>
        <v>#REF!</v>
      </c>
      <c r="AN22" s="167" t="e">
        <f>AN8</f>
        <v>#REF!</v>
      </c>
      <c r="AO22" s="167">
        <f t="shared" si="49"/>
        <v>0</v>
      </c>
      <c r="AP22" s="167" t="e">
        <f t="shared" si="49"/>
        <v>#REF!</v>
      </c>
      <c r="AQ22" s="170" t="e">
        <f>AQ8</f>
        <v>#REF!</v>
      </c>
      <c r="AR22" s="170" t="e">
        <f t="shared" ref="AR22:AT22" si="50">AR8</f>
        <v>#REF!</v>
      </c>
      <c r="AS22" s="170">
        <f t="shared" si="50"/>
        <v>0</v>
      </c>
      <c r="AT22" s="170">
        <f t="shared" si="50"/>
        <v>0</v>
      </c>
      <c r="AV22" s="164" t="s">
        <v>303</v>
      </c>
      <c r="AW22" s="99" t="str">
        <f>C9</f>
        <v>E. Romweber</v>
      </c>
      <c r="AX22" s="167">
        <v>0</v>
      </c>
      <c r="AY22" s="167">
        <f>AA9*0.754</f>
        <v>0</v>
      </c>
      <c r="AZ22" s="167">
        <f>AA9*0.708</f>
        <v>0</v>
      </c>
      <c r="BA22" s="167">
        <f>AB9*0.165</f>
        <v>0</v>
      </c>
      <c r="BB22" s="167">
        <v>0</v>
      </c>
      <c r="BC22" s="167">
        <f>AC9*0.286</f>
        <v>0</v>
      </c>
      <c r="BD22" s="167">
        <v>0</v>
      </c>
      <c r="BE22" s="170">
        <f>AQ7</f>
        <v>0</v>
      </c>
      <c r="BF22" s="170">
        <f t="shared" si="48"/>
        <v>0</v>
      </c>
      <c r="BG22" s="170">
        <f t="shared" si="48"/>
        <v>3.7914166666666662</v>
      </c>
      <c r="BH22" s="170">
        <f t="shared" si="48"/>
        <v>0</v>
      </c>
    </row>
    <row r="23" spans="1:60" s="82" customFormat="1" x14ac:dyDescent="0.25">
      <c r="A23" s="136" t="str">
        <f>Plantilla!A23</f>
        <v>#11</v>
      </c>
      <c r="B23" s="136" t="s">
        <v>1</v>
      </c>
      <c r="C23" s="90" t="str">
        <f>Plantilla!D23</f>
        <v>K. Helms</v>
      </c>
      <c r="D23" s="138">
        <f>Plantilla!E23</f>
        <v>35</v>
      </c>
      <c r="E23" s="143">
        <f ca="1">Plantilla!F23</f>
        <v>38</v>
      </c>
      <c r="F23" s="139"/>
      <c r="G23" s="338">
        <f>Plantilla!H23</f>
        <v>2</v>
      </c>
      <c r="H23" s="102">
        <f>Plantilla!I23</f>
        <v>13.5</v>
      </c>
      <c r="I23" s="189">
        <f>Plantilla!X23</f>
        <v>0</v>
      </c>
      <c r="J23" s="189">
        <f>Plantilla!Y23</f>
        <v>7.2503030303030309</v>
      </c>
      <c r="K23" s="189">
        <f>Plantilla!Z23</f>
        <v>10.600000000000005</v>
      </c>
      <c r="L23" s="189">
        <f>Plantilla!AA23</f>
        <v>12.95</v>
      </c>
      <c r="M23" s="189">
        <f>Plantilla!AB23</f>
        <v>9.9499999999999993</v>
      </c>
      <c r="N23" s="189">
        <f>Plantilla!AC23</f>
        <v>3.95</v>
      </c>
      <c r="O23" s="189">
        <f>Plantilla!AD23</f>
        <v>18</v>
      </c>
      <c r="P23" s="151">
        <f t="shared" si="20"/>
        <v>35</v>
      </c>
      <c r="Q23" s="152">
        <f t="shared" ca="1" si="21"/>
        <v>45</v>
      </c>
      <c r="R23" s="92">
        <f t="shared" si="6"/>
        <v>13.5</v>
      </c>
      <c r="S23" s="205">
        <f t="shared" si="34"/>
        <v>0</v>
      </c>
      <c r="T23" s="205">
        <f t="shared" ref="T23:T27" si="51">J23</f>
        <v>7.2503030303030309</v>
      </c>
      <c r="U23" s="205">
        <f t="shared" ref="U23:U27" si="52">K23</f>
        <v>10.600000000000005</v>
      </c>
      <c r="V23" s="205">
        <f t="shared" si="35"/>
        <v>12.95</v>
      </c>
      <c r="W23" s="205">
        <f t="shared" si="36"/>
        <v>9.9499999999999993</v>
      </c>
      <c r="X23" s="205">
        <f t="shared" ref="X23:X27" si="53">N23</f>
        <v>3.95</v>
      </c>
      <c r="Y23" s="205">
        <f t="shared" ref="Y23:Y27" si="54">O23</f>
        <v>18</v>
      </c>
      <c r="Z23" s="161">
        <f t="shared" si="8"/>
        <v>0</v>
      </c>
      <c r="AA23" s="161">
        <f t="shared" si="9"/>
        <v>0</v>
      </c>
      <c r="AB23" s="161">
        <f t="shared" si="10"/>
        <v>0</v>
      </c>
      <c r="AC23" s="161">
        <f t="shared" si="11"/>
        <v>0</v>
      </c>
      <c r="AD23" s="161">
        <f t="shared" si="12"/>
        <v>0</v>
      </c>
      <c r="AE23" s="161">
        <f t="shared" si="13"/>
        <v>0</v>
      </c>
      <c r="AF23" s="161">
        <f t="shared" si="14"/>
        <v>0</v>
      </c>
      <c r="AH23" s="164" t="s">
        <v>221</v>
      </c>
      <c r="AI23" s="79" t="str">
        <f>C13</f>
        <v>I. Vanags</v>
      </c>
      <c r="AJ23" s="169">
        <f t="shared" ref="AJ23:AJ28" si="55">AJ9</f>
        <v>7.2749999999999995E-2</v>
      </c>
      <c r="AK23" s="169">
        <f t="shared" ref="AK23:AT23" si="56">AK9</f>
        <v>0</v>
      </c>
      <c r="AL23" s="169">
        <f t="shared" si="56"/>
        <v>8.6999999999999994E-2</v>
      </c>
      <c r="AM23" s="169">
        <f t="shared" si="56"/>
        <v>0.17620000000000016</v>
      </c>
      <c r="AN23" s="169">
        <f t="shared" si="56"/>
        <v>0</v>
      </c>
      <c r="AO23" s="169">
        <f t="shared" si="56"/>
        <v>0</v>
      </c>
      <c r="AP23" s="169">
        <f t="shared" si="56"/>
        <v>0</v>
      </c>
      <c r="AQ23" s="172">
        <f t="shared" si="56"/>
        <v>4.0000000000000008E-2</v>
      </c>
      <c r="AR23" s="172">
        <f t="shared" si="56"/>
        <v>0.04</v>
      </c>
      <c r="AS23" s="172">
        <f t="shared" si="56"/>
        <v>0</v>
      </c>
      <c r="AT23" s="172">
        <f t="shared" si="56"/>
        <v>0</v>
      </c>
      <c r="AV23" s="164" t="s">
        <v>260</v>
      </c>
      <c r="AW23" s="79" t="e">
        <f>#REF!</f>
        <v>#REF!</v>
      </c>
      <c r="AX23" s="169">
        <v>0</v>
      </c>
      <c r="AY23" s="169" t="e">
        <f>#REF!*0.919</f>
        <v>#REF!</v>
      </c>
      <c r="AZ23" s="169" t="e">
        <f>#REF!*0.414</f>
        <v>#REF!</v>
      </c>
      <c r="BA23" s="169" t="e">
        <f>#REF!*0.167</f>
        <v>#REF!</v>
      </c>
      <c r="BB23" s="169">
        <v>0</v>
      </c>
      <c r="BC23" s="169" t="e">
        <f>#REF!*0.588</f>
        <v>#REF!</v>
      </c>
      <c r="BD23" s="169">
        <v>0</v>
      </c>
      <c r="BE23" s="172" t="e">
        <f>AQ8</f>
        <v>#REF!</v>
      </c>
      <c r="BF23" s="172" t="e">
        <f>AR8</f>
        <v>#REF!</v>
      </c>
      <c r="BG23" s="172" t="e">
        <f>((#REF!+1)+(#REF!+1)*2)/8</f>
        <v>#REF!</v>
      </c>
      <c r="BH23" s="172" t="e">
        <f>((#REF!)+(#REF!)*2)/8</f>
        <v>#REF!</v>
      </c>
    </row>
    <row r="24" spans="1:60" s="71" customFormat="1" x14ac:dyDescent="0.25">
      <c r="A24" s="136" t="str">
        <f>Plantilla!A24</f>
        <v>#10</v>
      </c>
      <c r="B24" s="136" t="s">
        <v>1</v>
      </c>
      <c r="C24" s="90" t="str">
        <f>Plantilla!D24</f>
        <v>S. Zobbe</v>
      </c>
      <c r="D24" s="138">
        <f>Plantilla!E24</f>
        <v>32</v>
      </c>
      <c r="E24" s="143">
        <f ca="1">Plantilla!F24</f>
        <v>53</v>
      </c>
      <c r="F24" s="139" t="str">
        <f>Plantilla!G24</f>
        <v>CAB</v>
      </c>
      <c r="G24" s="338">
        <f>Plantilla!H24</f>
        <v>2</v>
      </c>
      <c r="H24" s="102">
        <f>Plantilla!I24</f>
        <v>13</v>
      </c>
      <c r="I24" s="189">
        <f>Plantilla!X24</f>
        <v>0</v>
      </c>
      <c r="J24" s="189">
        <f>Plantilla!Y24</f>
        <v>8.3599999999999977</v>
      </c>
      <c r="K24" s="189">
        <f>Plantilla!Z24</f>
        <v>12.253412698412699</v>
      </c>
      <c r="L24" s="189">
        <f>Plantilla!AA24</f>
        <v>12.95</v>
      </c>
      <c r="M24" s="189">
        <f>Plantilla!AB24</f>
        <v>10.24</v>
      </c>
      <c r="N24" s="189">
        <f>Plantilla!AC24</f>
        <v>6.95</v>
      </c>
      <c r="O24" s="189">
        <f>Plantilla!AD24</f>
        <v>16</v>
      </c>
      <c r="P24" s="151">
        <f t="shared" si="20"/>
        <v>32</v>
      </c>
      <c r="Q24" s="152">
        <f t="shared" ca="1" si="21"/>
        <v>60</v>
      </c>
      <c r="R24" s="92">
        <f t="shared" si="6"/>
        <v>13</v>
      </c>
      <c r="S24" s="205">
        <f t="shared" si="34"/>
        <v>0</v>
      </c>
      <c r="T24" s="205">
        <f t="shared" si="51"/>
        <v>8.3599999999999977</v>
      </c>
      <c r="U24" s="205">
        <f t="shared" si="52"/>
        <v>12.253412698412699</v>
      </c>
      <c r="V24" s="205">
        <f t="shared" si="35"/>
        <v>12.95</v>
      </c>
      <c r="W24" s="205">
        <f t="shared" si="36"/>
        <v>10.24</v>
      </c>
      <c r="X24" s="205">
        <f t="shared" si="53"/>
        <v>6.95</v>
      </c>
      <c r="Y24" s="205">
        <f t="shared" si="54"/>
        <v>16</v>
      </c>
      <c r="Z24" s="161">
        <f t="shared" si="8"/>
        <v>0</v>
      </c>
      <c r="AA24" s="161">
        <f t="shared" si="9"/>
        <v>0</v>
      </c>
      <c r="AB24" s="161">
        <f t="shared" si="10"/>
        <v>0</v>
      </c>
      <c r="AC24" s="161">
        <f t="shared" si="11"/>
        <v>0</v>
      </c>
      <c r="AD24" s="161">
        <f t="shared" si="12"/>
        <v>0</v>
      </c>
      <c r="AE24" s="161">
        <f t="shared" si="13"/>
        <v>0</v>
      </c>
      <c r="AF24" s="161">
        <f t="shared" si="14"/>
        <v>0</v>
      </c>
      <c r="AH24" s="164" t="s">
        <v>306</v>
      </c>
      <c r="AI24" s="79" t="str">
        <f>AI10</f>
        <v>M. Bondarewski</v>
      </c>
      <c r="AJ24" s="169">
        <f t="shared" si="55"/>
        <v>1.900000000000001E-2</v>
      </c>
      <c r="AK24" s="169">
        <f t="shared" ref="AK24:AP24" si="57">AK10</f>
        <v>1.900000000000001E-2</v>
      </c>
      <c r="AL24" s="169">
        <f t="shared" si="57"/>
        <v>5.4000000000000027E-2</v>
      </c>
      <c r="AM24" s="169">
        <f t="shared" si="57"/>
        <v>0.18879999999999933</v>
      </c>
      <c r="AN24" s="169">
        <f t="shared" si="57"/>
        <v>0</v>
      </c>
      <c r="AO24" s="169">
        <f t="shared" si="57"/>
        <v>0</v>
      </c>
      <c r="AP24" s="169">
        <f t="shared" si="57"/>
        <v>6.1999999999999778E-2</v>
      </c>
      <c r="AQ24" s="172">
        <f>AQ10</f>
        <v>3.9999999999999966E-2</v>
      </c>
      <c r="AR24" s="172">
        <f t="shared" ref="AR24:AT24" si="58">AR10</f>
        <v>4.3333333333333335E-2</v>
      </c>
      <c r="AS24" s="172">
        <f t="shared" si="58"/>
        <v>0</v>
      </c>
      <c r="AT24" s="172">
        <f t="shared" si="58"/>
        <v>0</v>
      </c>
      <c r="AV24" s="208" t="s">
        <v>305</v>
      </c>
      <c r="AW24" s="79" t="str">
        <f>C11</f>
        <v>E. Gross</v>
      </c>
      <c r="AX24" s="167">
        <f>AK12</f>
        <v>0</v>
      </c>
      <c r="AY24" s="167">
        <f>AJ12</f>
        <v>0</v>
      </c>
      <c r="AZ24" s="167">
        <f>AL12</f>
        <v>0</v>
      </c>
      <c r="BA24" s="167">
        <f>AM12</f>
        <v>0</v>
      </c>
      <c r="BB24" s="167">
        <f>AO12</f>
        <v>0</v>
      </c>
      <c r="BC24" s="167">
        <v>0</v>
      </c>
      <c r="BD24" s="167">
        <f>AP12</f>
        <v>0</v>
      </c>
      <c r="BE24" s="170">
        <f>AQ12</f>
        <v>0</v>
      </c>
      <c r="BF24" s="170">
        <f t="shared" ref="BF24:BH24" si="59">AR12</f>
        <v>0</v>
      </c>
      <c r="BG24" s="170">
        <f t="shared" si="59"/>
        <v>0</v>
      </c>
      <c r="BH24" s="170">
        <f t="shared" si="59"/>
        <v>0</v>
      </c>
    </row>
    <row r="25" spans="1:60" s="69" customFormat="1" x14ac:dyDescent="0.25">
      <c r="A25" s="136" t="str">
        <f>Plantilla!A25</f>
        <v>#5</v>
      </c>
      <c r="B25" s="136" t="s">
        <v>1</v>
      </c>
      <c r="C25" s="90" t="str">
        <f>Plantilla!D25</f>
        <v>L. Bauman</v>
      </c>
      <c r="D25" s="138">
        <f>Plantilla!E25</f>
        <v>35</v>
      </c>
      <c r="E25" s="143">
        <f ca="1">Plantilla!F25</f>
        <v>53</v>
      </c>
      <c r="F25" s="139"/>
      <c r="G25" s="338">
        <f>Plantilla!H25</f>
        <v>0</v>
      </c>
      <c r="H25" s="102">
        <f>Plantilla!I25</f>
        <v>12</v>
      </c>
      <c r="I25" s="189">
        <f>Plantilla!X25</f>
        <v>0</v>
      </c>
      <c r="J25" s="189">
        <f>Plantilla!Y25</f>
        <v>5.95</v>
      </c>
      <c r="K25" s="189">
        <f>Plantilla!Z25</f>
        <v>14.1</v>
      </c>
      <c r="L25" s="189">
        <f>Plantilla!AA25</f>
        <v>2.95</v>
      </c>
      <c r="M25" s="189">
        <f>Plantilla!AB25</f>
        <v>8.9499999999999993</v>
      </c>
      <c r="N25" s="189">
        <f>Plantilla!AC25</f>
        <v>5.95</v>
      </c>
      <c r="O25" s="189">
        <f>Plantilla!AD25</f>
        <v>16.95</v>
      </c>
      <c r="P25" s="151">
        <f t="shared" si="20"/>
        <v>35</v>
      </c>
      <c r="Q25" s="152">
        <f t="shared" ca="1" si="21"/>
        <v>60</v>
      </c>
      <c r="R25" s="92">
        <f t="shared" si="6"/>
        <v>12</v>
      </c>
      <c r="S25" s="205">
        <f t="shared" si="34"/>
        <v>0</v>
      </c>
      <c r="T25" s="205">
        <f t="shared" si="51"/>
        <v>5.95</v>
      </c>
      <c r="U25" s="205">
        <f t="shared" si="52"/>
        <v>14.1</v>
      </c>
      <c r="V25" s="205">
        <f t="shared" si="35"/>
        <v>2.95</v>
      </c>
      <c r="W25" s="205">
        <f t="shared" si="36"/>
        <v>8.9499999999999993</v>
      </c>
      <c r="X25" s="205">
        <f t="shared" si="53"/>
        <v>5.95</v>
      </c>
      <c r="Y25" s="205">
        <f t="shared" si="54"/>
        <v>16.95</v>
      </c>
      <c r="Z25" s="161">
        <f t="shared" si="8"/>
        <v>0</v>
      </c>
      <c r="AA25" s="161">
        <f t="shared" si="9"/>
        <v>0</v>
      </c>
      <c r="AB25" s="161">
        <f t="shared" si="10"/>
        <v>0</v>
      </c>
      <c r="AC25" s="161">
        <f t="shared" si="11"/>
        <v>0</v>
      </c>
      <c r="AD25" s="161">
        <f t="shared" si="12"/>
        <v>0</v>
      </c>
      <c r="AE25" s="161">
        <f t="shared" si="13"/>
        <v>0</v>
      </c>
      <c r="AF25" s="161">
        <f t="shared" si="14"/>
        <v>0</v>
      </c>
      <c r="AH25" s="164" t="s">
        <v>221</v>
      </c>
      <c r="AI25" s="79" t="str">
        <f>C14</f>
        <v>I. Stone</v>
      </c>
      <c r="AJ25" s="169">
        <f t="shared" si="55"/>
        <v>0</v>
      </c>
      <c r="AK25" s="169">
        <f t="shared" ref="AK25:AT25" si="60">AK11</f>
        <v>9.7000000000000031E-2</v>
      </c>
      <c r="AL25" s="169">
        <f t="shared" si="60"/>
        <v>0.11600000000000005</v>
      </c>
      <c r="AM25" s="169">
        <f t="shared" si="60"/>
        <v>0.22025</v>
      </c>
      <c r="AN25" s="169">
        <f t="shared" si="60"/>
        <v>0</v>
      </c>
      <c r="AO25" s="169">
        <f t="shared" si="60"/>
        <v>0</v>
      </c>
      <c r="AP25" s="169">
        <f t="shared" si="60"/>
        <v>0</v>
      </c>
      <c r="AQ25" s="172">
        <f t="shared" si="60"/>
        <v>3.8333333333333303E-2</v>
      </c>
      <c r="AR25" s="172">
        <f t="shared" si="60"/>
        <v>4.3333333333333335E-2</v>
      </c>
      <c r="AS25" s="172">
        <f t="shared" si="60"/>
        <v>0</v>
      </c>
      <c r="AT25" s="172">
        <f t="shared" si="60"/>
        <v>0</v>
      </c>
      <c r="AV25" s="164" t="s">
        <v>221</v>
      </c>
      <c r="AW25" s="79" t="str">
        <f>C13</f>
        <v>I. Vanags</v>
      </c>
      <c r="AX25" s="169">
        <f t="shared" ref="AX25:BD25" si="61">AJ9</f>
        <v>7.2749999999999995E-2</v>
      </c>
      <c r="AY25" s="169">
        <f t="shared" si="61"/>
        <v>0</v>
      </c>
      <c r="AZ25" s="169">
        <f t="shared" si="61"/>
        <v>8.6999999999999994E-2</v>
      </c>
      <c r="BA25" s="169">
        <f t="shared" si="61"/>
        <v>0.17620000000000016</v>
      </c>
      <c r="BB25" s="169">
        <f t="shared" si="61"/>
        <v>0</v>
      </c>
      <c r="BC25" s="169">
        <f t="shared" si="61"/>
        <v>0</v>
      </c>
      <c r="BD25" s="169">
        <f t="shared" si="61"/>
        <v>0</v>
      </c>
      <c r="BE25" s="172">
        <f t="shared" ref="BE25" si="62">AQ9</f>
        <v>4.0000000000000008E-2</v>
      </c>
      <c r="BF25" s="172">
        <f>AR9</f>
        <v>0.04</v>
      </c>
      <c r="BG25" s="172">
        <f>AS9</f>
        <v>0</v>
      </c>
      <c r="BH25" s="172">
        <f>AT9</f>
        <v>0</v>
      </c>
    </row>
    <row r="26" spans="1:60" s="82" customFormat="1" ht="14.25" customHeight="1" x14ac:dyDescent="0.25">
      <c r="A26" s="136" t="str">
        <f>Plantilla!A26</f>
        <v>#9</v>
      </c>
      <c r="B26" s="136" t="s">
        <v>1</v>
      </c>
      <c r="C26" s="90" t="str">
        <f>Plantilla!D26</f>
        <v>J. Limon</v>
      </c>
      <c r="D26" s="138">
        <f>Plantilla!E26</f>
        <v>34</v>
      </c>
      <c r="E26" s="143">
        <f ca="1">Plantilla!F26</f>
        <v>90</v>
      </c>
      <c r="F26" s="139" t="str">
        <f>Plantilla!G26</f>
        <v>RAP</v>
      </c>
      <c r="G26" s="338">
        <f>Plantilla!H26</f>
        <v>3</v>
      </c>
      <c r="H26" s="102">
        <f>Plantilla!I26</f>
        <v>14.3</v>
      </c>
      <c r="I26" s="189">
        <f>Plantilla!X26</f>
        <v>0</v>
      </c>
      <c r="J26" s="189">
        <f>Plantilla!Y26</f>
        <v>6.8376190476190493</v>
      </c>
      <c r="K26" s="189">
        <f>Plantilla!Z26</f>
        <v>8.9499999999999993</v>
      </c>
      <c r="L26" s="189">
        <f>Plantilla!AA26</f>
        <v>8.7399999999999967</v>
      </c>
      <c r="M26" s="189">
        <f>Plantilla!AB26</f>
        <v>9.9499999999999993</v>
      </c>
      <c r="N26" s="189">
        <f>Plantilla!AC26</f>
        <v>6.95</v>
      </c>
      <c r="O26" s="189">
        <f>Plantilla!AD26</f>
        <v>18.999999999999993</v>
      </c>
      <c r="P26" s="151">
        <f t="shared" si="20"/>
        <v>34</v>
      </c>
      <c r="Q26" s="152">
        <f t="shared" ca="1" si="21"/>
        <v>97</v>
      </c>
      <c r="R26" s="92">
        <f t="shared" si="6"/>
        <v>14.3</v>
      </c>
      <c r="S26" s="205">
        <f t="shared" si="34"/>
        <v>0</v>
      </c>
      <c r="T26" s="205">
        <f t="shared" si="51"/>
        <v>6.8376190476190493</v>
      </c>
      <c r="U26" s="205">
        <f t="shared" si="52"/>
        <v>8.9499999999999993</v>
      </c>
      <c r="V26" s="205">
        <f t="shared" si="35"/>
        <v>8.7399999999999967</v>
      </c>
      <c r="W26" s="205">
        <f t="shared" si="36"/>
        <v>9.9499999999999993</v>
      </c>
      <c r="X26" s="205">
        <f t="shared" si="53"/>
        <v>6.95</v>
      </c>
      <c r="Y26" s="205">
        <f t="shared" si="54"/>
        <v>18.999999999999993</v>
      </c>
      <c r="Z26" s="161">
        <f t="shared" si="8"/>
        <v>0</v>
      </c>
      <c r="AA26" s="161">
        <f t="shared" si="9"/>
        <v>0</v>
      </c>
      <c r="AB26" s="161">
        <f t="shared" si="10"/>
        <v>0</v>
      </c>
      <c r="AC26" s="161">
        <f t="shared" si="11"/>
        <v>0</v>
      </c>
      <c r="AD26" s="161">
        <f t="shared" si="12"/>
        <v>0</v>
      </c>
      <c r="AE26" s="161">
        <f t="shared" si="13"/>
        <v>0</v>
      </c>
      <c r="AF26" s="161">
        <f t="shared" si="14"/>
        <v>0</v>
      </c>
      <c r="AH26" s="208" t="s">
        <v>305</v>
      </c>
      <c r="AI26" s="79" t="str">
        <f>AI12</f>
        <v>E. Gross</v>
      </c>
      <c r="AJ26" s="169">
        <f t="shared" si="55"/>
        <v>0</v>
      </c>
      <c r="AK26" s="169">
        <f t="shared" ref="AK26:AP26" si="63">AK12</f>
        <v>0</v>
      </c>
      <c r="AL26" s="169">
        <f t="shared" si="63"/>
        <v>0</v>
      </c>
      <c r="AM26" s="169">
        <f t="shared" si="63"/>
        <v>0</v>
      </c>
      <c r="AN26" s="169">
        <f t="shared" si="63"/>
        <v>0</v>
      </c>
      <c r="AO26" s="169">
        <f t="shared" si="63"/>
        <v>0</v>
      </c>
      <c r="AP26" s="169">
        <f t="shared" si="63"/>
        <v>0</v>
      </c>
      <c r="AQ26" s="172">
        <f>AQ12</f>
        <v>0</v>
      </c>
      <c r="AR26" s="172">
        <f t="shared" ref="AR26:AT26" si="64">AR12</f>
        <v>0</v>
      </c>
      <c r="AS26" s="172">
        <f t="shared" si="64"/>
        <v>0</v>
      </c>
      <c r="AT26" s="172">
        <f t="shared" si="64"/>
        <v>0</v>
      </c>
      <c r="AV26" s="164" t="s">
        <v>221</v>
      </c>
      <c r="AW26" s="79" t="str">
        <f>C14</f>
        <v>I. Stone</v>
      </c>
      <c r="AX26" s="169">
        <f t="shared" ref="AX26:BD26" si="65">AJ11</f>
        <v>0</v>
      </c>
      <c r="AY26" s="169">
        <f t="shared" si="65"/>
        <v>9.7000000000000031E-2</v>
      </c>
      <c r="AZ26" s="169">
        <f t="shared" si="65"/>
        <v>0.11600000000000005</v>
      </c>
      <c r="BA26" s="169">
        <f t="shared" si="65"/>
        <v>0.22025</v>
      </c>
      <c r="BB26" s="169">
        <f t="shared" si="65"/>
        <v>0</v>
      </c>
      <c r="BC26" s="169">
        <f t="shared" si="65"/>
        <v>0</v>
      </c>
      <c r="BD26" s="169">
        <f t="shared" si="65"/>
        <v>0</v>
      </c>
      <c r="BE26" s="172">
        <f t="shared" ref="BE26" si="66">AQ11</f>
        <v>3.8333333333333303E-2</v>
      </c>
      <c r="BF26" s="172">
        <f>AR11</f>
        <v>4.3333333333333335E-2</v>
      </c>
      <c r="BG26" s="172">
        <f>AS11</f>
        <v>0</v>
      </c>
      <c r="BH26" s="172">
        <f>AT11</f>
        <v>0</v>
      </c>
    </row>
    <row r="27" spans="1:60" x14ac:dyDescent="0.25">
      <c r="A27" s="136" t="str">
        <f>Plantilla!A27</f>
        <v>#15</v>
      </c>
      <c r="B27" s="136" t="s">
        <v>1</v>
      </c>
      <c r="C27" s="90" t="str">
        <f>Plantilla!D27</f>
        <v>P .Trivadi</v>
      </c>
      <c r="D27" s="138">
        <f>Plantilla!E27</f>
        <v>32</v>
      </c>
      <c r="E27" s="143">
        <f ca="1">Plantilla!F27</f>
        <v>9</v>
      </c>
      <c r="F27" s="139"/>
      <c r="G27" s="338">
        <f>Plantilla!H27</f>
        <v>5</v>
      </c>
      <c r="H27" s="102">
        <f>Plantilla!I27</f>
        <v>6.2</v>
      </c>
      <c r="I27" s="189">
        <f>Plantilla!X27</f>
        <v>0</v>
      </c>
      <c r="J27" s="189">
        <f>Plantilla!Y27</f>
        <v>4.0199999999999996</v>
      </c>
      <c r="K27" s="189">
        <f>Plantilla!Z27</f>
        <v>5.95</v>
      </c>
      <c r="L27" s="189">
        <f>Plantilla!AA27</f>
        <v>5.5099999999999989</v>
      </c>
      <c r="M27" s="189">
        <f>Plantilla!AB27</f>
        <v>10.95</v>
      </c>
      <c r="N27" s="189">
        <f>Plantilla!AC27</f>
        <v>7.95</v>
      </c>
      <c r="O27" s="189">
        <f>Plantilla!AD27</f>
        <v>14</v>
      </c>
      <c r="P27" s="151">
        <f t="shared" si="20"/>
        <v>32</v>
      </c>
      <c r="Q27" s="152">
        <f t="shared" ca="1" si="21"/>
        <v>16</v>
      </c>
      <c r="R27" s="92">
        <f t="shared" si="6"/>
        <v>6.2</v>
      </c>
      <c r="S27" s="205">
        <f t="shared" si="34"/>
        <v>0</v>
      </c>
      <c r="T27" s="205">
        <f t="shared" si="51"/>
        <v>4.0199999999999996</v>
      </c>
      <c r="U27" s="205">
        <f t="shared" si="52"/>
        <v>5.95</v>
      </c>
      <c r="V27" s="205">
        <f t="shared" si="35"/>
        <v>5.5099999999999989</v>
      </c>
      <c r="W27" s="205">
        <f t="shared" si="36"/>
        <v>10.95</v>
      </c>
      <c r="X27" s="205">
        <f t="shared" si="53"/>
        <v>7.95</v>
      </c>
      <c r="Y27" s="205">
        <f t="shared" si="54"/>
        <v>14</v>
      </c>
      <c r="Z27" s="161">
        <f t="shared" si="8"/>
        <v>0</v>
      </c>
      <c r="AA27" s="161">
        <f t="shared" si="9"/>
        <v>0</v>
      </c>
      <c r="AB27" s="161">
        <f t="shared" si="10"/>
        <v>0</v>
      </c>
      <c r="AC27" s="161">
        <f t="shared" si="11"/>
        <v>0</v>
      </c>
      <c r="AD27" s="161">
        <f t="shared" si="12"/>
        <v>0</v>
      </c>
      <c r="AE27" s="161">
        <f t="shared" si="13"/>
        <v>0</v>
      </c>
      <c r="AF27" s="161">
        <f t="shared" si="14"/>
        <v>0</v>
      </c>
      <c r="AH27" s="207" t="s">
        <v>64</v>
      </c>
      <c r="AI27" s="99" t="str">
        <f>C20</f>
        <v>V. Godoi</v>
      </c>
      <c r="AJ27" s="167">
        <f t="shared" si="55"/>
        <v>0</v>
      </c>
      <c r="AK27" s="167">
        <f t="shared" ref="AK27:AT27" si="67">AK13</f>
        <v>0</v>
      </c>
      <c r="AL27" s="167">
        <f t="shared" si="67"/>
        <v>0</v>
      </c>
      <c r="AM27" s="167">
        <f t="shared" si="67"/>
        <v>4.9999999999999822E-2</v>
      </c>
      <c r="AN27" s="167">
        <f t="shared" si="67"/>
        <v>5.2000000000000046E-2</v>
      </c>
      <c r="AO27" s="167">
        <f t="shared" si="67"/>
        <v>5.2000000000000046E-2</v>
      </c>
      <c r="AP27" s="167">
        <f t="shared" si="67"/>
        <v>0.20000000000000018</v>
      </c>
      <c r="AQ27" s="232">
        <f t="shared" si="67"/>
        <v>0.13</v>
      </c>
      <c r="AR27" s="232">
        <f t="shared" si="67"/>
        <v>4.3333333333333335E-2</v>
      </c>
      <c r="AS27" s="170">
        <f t="shared" si="67"/>
        <v>0</v>
      </c>
      <c r="AT27" s="170">
        <f t="shared" si="67"/>
        <v>0</v>
      </c>
      <c r="AV27" s="207" t="s">
        <v>305</v>
      </c>
      <c r="AW27" s="99" t="str">
        <f>C12</f>
        <v>W. Gelifini</v>
      </c>
      <c r="AX27" s="169">
        <v>0</v>
      </c>
      <c r="AY27" s="169">
        <f>AA12*0.18</f>
        <v>0</v>
      </c>
      <c r="AZ27" s="169">
        <f>AA12*0.068</f>
        <v>0</v>
      </c>
      <c r="BA27" s="169">
        <f>AB12*0.305</f>
        <v>0</v>
      </c>
      <c r="BB27" s="169">
        <v>0</v>
      </c>
      <c r="BC27" s="169">
        <f>(AC12*1)+(AD12*0.286)</f>
        <v>0</v>
      </c>
      <c r="BD27" s="169">
        <f>AD12*0.135</f>
        <v>0</v>
      </c>
      <c r="BE27" s="172">
        <f>AQ14</f>
        <v>0</v>
      </c>
      <c r="BF27" s="172">
        <f t="shared" ref="BF27:BH27" si="68">AR14</f>
        <v>0</v>
      </c>
      <c r="BG27" s="172">
        <f t="shared" si="68"/>
        <v>0</v>
      </c>
      <c r="BH27" s="172">
        <f t="shared" si="68"/>
        <v>0</v>
      </c>
    </row>
    <row r="28" spans="1:60" x14ac:dyDescent="0.25">
      <c r="A28" s="136"/>
      <c r="B28" s="136"/>
      <c r="C28" s="90"/>
      <c r="D28" s="138"/>
      <c r="E28" s="143"/>
      <c r="F28" s="139"/>
      <c r="G28" s="338"/>
      <c r="H28" s="102"/>
      <c r="I28" s="189"/>
      <c r="J28" s="189"/>
      <c r="K28" s="189"/>
      <c r="L28" s="189"/>
      <c r="M28" s="189"/>
      <c r="N28" s="189"/>
      <c r="O28" s="189"/>
      <c r="P28" s="151"/>
      <c r="Q28" s="152"/>
      <c r="R28" s="92"/>
      <c r="S28" s="205"/>
      <c r="T28" s="205"/>
      <c r="U28" s="205"/>
      <c r="V28" s="205"/>
      <c r="W28" s="205"/>
      <c r="X28" s="205"/>
      <c r="Y28" s="205"/>
      <c r="Z28" s="161"/>
      <c r="AA28" s="161"/>
      <c r="AB28" s="161"/>
      <c r="AC28" s="161"/>
      <c r="AD28" s="161"/>
      <c r="AE28" s="161"/>
      <c r="AF28" s="161"/>
      <c r="AH28" s="208" t="s">
        <v>64</v>
      </c>
      <c r="AI28" s="79" t="str">
        <f>AI14</f>
        <v>W. Gelifini</v>
      </c>
      <c r="AJ28" s="169">
        <f t="shared" si="55"/>
        <v>0</v>
      </c>
      <c r="AK28" s="169">
        <f t="shared" ref="AK28:AP28" si="69">AK14</f>
        <v>0</v>
      </c>
      <c r="AL28" s="169">
        <f t="shared" si="69"/>
        <v>0</v>
      </c>
      <c r="AM28" s="169">
        <f t="shared" si="69"/>
        <v>0</v>
      </c>
      <c r="AN28" s="169">
        <f t="shared" si="69"/>
        <v>0</v>
      </c>
      <c r="AO28" s="169">
        <f t="shared" si="69"/>
        <v>0</v>
      </c>
      <c r="AP28" s="169">
        <f t="shared" si="69"/>
        <v>0</v>
      </c>
      <c r="AQ28" s="170">
        <f>AQ14</f>
        <v>0</v>
      </c>
      <c r="AR28" s="170">
        <f t="shared" ref="AR28:AT28" si="70">AR14</f>
        <v>0</v>
      </c>
      <c r="AS28" s="170">
        <f t="shared" si="70"/>
        <v>0</v>
      </c>
      <c r="AT28" s="170">
        <f t="shared" si="70"/>
        <v>0</v>
      </c>
      <c r="AV28" s="208" t="s">
        <v>64</v>
      </c>
      <c r="AW28" s="79" t="str">
        <f>C20</f>
        <v>V. Godoi</v>
      </c>
      <c r="AX28" s="167">
        <f t="shared" ref="AX28:BD28" si="71">AJ13</f>
        <v>0</v>
      </c>
      <c r="AY28" s="167">
        <f t="shared" si="71"/>
        <v>0</v>
      </c>
      <c r="AZ28" s="167">
        <f t="shared" si="71"/>
        <v>0</v>
      </c>
      <c r="BA28" s="167">
        <f t="shared" si="71"/>
        <v>4.9999999999999822E-2</v>
      </c>
      <c r="BB28" s="167">
        <f t="shared" si="71"/>
        <v>5.2000000000000046E-2</v>
      </c>
      <c r="BC28" s="167">
        <f t="shared" si="71"/>
        <v>5.2000000000000046E-2</v>
      </c>
      <c r="BD28" s="167">
        <f t="shared" si="71"/>
        <v>0.20000000000000018</v>
      </c>
      <c r="BE28" s="232">
        <f t="shared" ref="BE28" si="72">AQ13</f>
        <v>0.13</v>
      </c>
      <c r="BF28" s="232">
        <f>AR13</f>
        <v>4.3333333333333335E-2</v>
      </c>
      <c r="BG28" s="170">
        <f>AS13</f>
        <v>0</v>
      </c>
      <c r="BH28" s="170">
        <f>AT13</f>
        <v>0</v>
      </c>
    </row>
    <row r="29" spans="1:60" x14ac:dyDescent="0.25">
      <c r="A29" s="136"/>
      <c r="B29" s="136"/>
      <c r="C29" s="90"/>
      <c r="D29" s="138"/>
      <c r="E29" s="143"/>
      <c r="F29" s="139"/>
      <c r="G29" s="338"/>
      <c r="H29" s="102"/>
      <c r="I29" s="189"/>
      <c r="J29" s="189"/>
      <c r="K29" s="189"/>
      <c r="L29" s="189"/>
      <c r="M29" s="189"/>
      <c r="N29" s="189"/>
      <c r="O29" s="189"/>
      <c r="P29" s="151"/>
      <c r="Q29" s="152"/>
      <c r="R29" s="92"/>
      <c r="S29" s="205"/>
      <c r="T29" s="205"/>
      <c r="U29" s="205"/>
      <c r="V29" s="205"/>
      <c r="W29" s="205"/>
      <c r="X29" s="205"/>
      <c r="Y29" s="205"/>
      <c r="Z29" s="161"/>
      <c r="AA29" s="161"/>
      <c r="AB29" s="161"/>
      <c r="AC29" s="161"/>
      <c r="AD29" s="161"/>
      <c r="AE29" s="161"/>
      <c r="AF29" s="161"/>
      <c r="AH29" s="165"/>
      <c r="AI29" s="166"/>
      <c r="AJ29" s="166"/>
      <c r="AK29" s="166"/>
      <c r="AL29" s="166"/>
      <c r="AM29" s="166"/>
      <c r="AN29" s="166"/>
      <c r="AO29" s="166"/>
      <c r="AP29" s="166"/>
      <c r="AQ29" s="166"/>
      <c r="AR29" s="166"/>
      <c r="AS29" s="166"/>
      <c r="AT29" s="166"/>
    </row>
    <row r="30" spans="1:60" x14ac:dyDescent="0.25">
      <c r="F30" s="330"/>
      <c r="S30" s="49"/>
      <c r="T30" s="49"/>
      <c r="U30" s="49"/>
      <c r="V30" s="49"/>
      <c r="W30" s="49"/>
      <c r="X30" s="49"/>
      <c r="Y30" s="49"/>
    </row>
    <row r="31" spans="1:60" x14ac:dyDescent="0.25">
      <c r="S31" s="49"/>
      <c r="T31" s="49"/>
      <c r="U31" s="49"/>
      <c r="V31" s="49"/>
      <c r="W31" s="49"/>
      <c r="X31" s="49"/>
      <c r="Y31" s="49"/>
    </row>
    <row r="32" spans="1:60" x14ac:dyDescent="0.25">
      <c r="S32" s="49"/>
      <c r="T32" s="49"/>
      <c r="U32" s="49"/>
      <c r="V32" s="49"/>
      <c r="W32" s="49"/>
      <c r="X32" s="49"/>
      <c r="Y32" s="49"/>
    </row>
    <row r="33" spans="19:25" x14ac:dyDescent="0.25">
      <c r="S33" s="49"/>
      <c r="T33" s="49"/>
      <c r="U33" s="49"/>
      <c r="V33" s="49"/>
      <c r="W33" s="49"/>
      <c r="X33" s="49"/>
      <c r="Y33" s="49"/>
    </row>
  </sheetData>
  <mergeCells count="6">
    <mergeCell ref="D2:F2"/>
    <mergeCell ref="AH1:AT1"/>
    <mergeCell ref="AH3:AI3"/>
    <mergeCell ref="AH17:AI17"/>
    <mergeCell ref="AV3:AW3"/>
    <mergeCell ref="AV17:AW17"/>
  </mergeCells>
  <conditionalFormatting sqref="Z4:AF29">
    <cfRule type="cellIs" dxfId="37" priority="92" operator="greaterThan">
      <formula>0</formula>
    </cfRule>
  </conditionalFormatting>
  <conditionalFormatting sqref="AJ4:AP13 AJ14:AL14">
    <cfRule type="cellIs" dxfId="36" priority="91" operator="greaterThan">
      <formula>0</formula>
    </cfRule>
  </conditionalFormatting>
  <conditionalFormatting sqref="AX16:BD16">
    <cfRule type="cellIs" dxfId="35" priority="43" operator="greaterThan">
      <formula>0</formula>
    </cfRule>
  </conditionalFormatting>
  <conditionalFormatting sqref="AJ19:AP19 AJ24:AP24 AJ21:AP22 AM20:AN20 AP20">
    <cfRule type="cellIs" dxfId="34" priority="48" operator="greaterThan">
      <formula>0</formula>
    </cfRule>
  </conditionalFormatting>
  <conditionalFormatting sqref="AX6:BD7 AX12:BD13">
    <cfRule type="cellIs" dxfId="33" priority="46" operator="greaterThan">
      <formula>0</formula>
    </cfRule>
  </conditionalFormatting>
  <conditionalFormatting sqref="AJ18:AP18">
    <cfRule type="cellIs" dxfId="32" priority="42" operator="greaterThan">
      <formula>0</formula>
    </cfRule>
  </conditionalFormatting>
  <conditionalFormatting sqref="AX20:BD20 AX22:BD22">
    <cfRule type="cellIs" dxfId="31" priority="44" operator="greaterThan">
      <formula>0</formula>
    </cfRule>
  </conditionalFormatting>
  <conditionalFormatting sqref="AX4:BD4">
    <cfRule type="cellIs" dxfId="30" priority="41" operator="greaterThan">
      <formula>0</formula>
    </cfRule>
  </conditionalFormatting>
  <conditionalFormatting sqref="AX18:BD18">
    <cfRule type="cellIs" dxfId="29" priority="40" operator="greaterThan">
      <formula>0</formula>
    </cfRule>
  </conditionalFormatting>
  <conditionalFormatting sqref="AX21:BD21">
    <cfRule type="cellIs" dxfId="28" priority="37" operator="greaterThan">
      <formula>0</formula>
    </cfRule>
  </conditionalFormatting>
  <conditionalFormatting sqref="AX19:BD19">
    <cfRule type="cellIs" dxfId="27" priority="38" operator="greaterThan">
      <formula>0</formula>
    </cfRule>
  </conditionalFormatting>
  <conditionalFormatting sqref="AJ23:AP23">
    <cfRule type="cellIs" dxfId="26" priority="35" operator="greaterThan">
      <formula>0</formula>
    </cfRule>
  </conditionalFormatting>
  <conditionalFormatting sqref="AX9:BD9">
    <cfRule type="cellIs" dxfId="25" priority="34" operator="greaterThan">
      <formula>0</formula>
    </cfRule>
  </conditionalFormatting>
  <conditionalFormatting sqref="AX23:BD23">
    <cfRule type="cellIs" dxfId="24" priority="33" operator="greaterThan">
      <formula>0</formula>
    </cfRule>
  </conditionalFormatting>
  <conditionalFormatting sqref="AX10:BD10">
    <cfRule type="cellIs" dxfId="23" priority="32" operator="greaterThan">
      <formula>0</formula>
    </cfRule>
  </conditionalFormatting>
  <conditionalFormatting sqref="AX24:BD24">
    <cfRule type="cellIs" dxfId="22" priority="31" operator="greaterThan">
      <formula>0</formula>
    </cfRule>
  </conditionalFormatting>
  <conditionalFormatting sqref="AJ25:AP25">
    <cfRule type="cellIs" dxfId="21" priority="30" operator="greaterThan">
      <formula>0</formula>
    </cfRule>
  </conditionalFormatting>
  <conditionalFormatting sqref="AX11:BD11">
    <cfRule type="cellIs" dxfId="20" priority="29" operator="greaterThan">
      <formula>0</formula>
    </cfRule>
  </conditionalFormatting>
  <conditionalFormatting sqref="AJ26:AP26">
    <cfRule type="cellIs" dxfId="19" priority="27" operator="greaterThan">
      <formula>0</formula>
    </cfRule>
  </conditionalFormatting>
  <conditionalFormatting sqref="AX26:BD26">
    <cfRule type="cellIs" dxfId="18" priority="26" operator="greaterThan">
      <formula>0</formula>
    </cfRule>
  </conditionalFormatting>
  <conditionalFormatting sqref="AJ27:AP27">
    <cfRule type="cellIs" dxfId="17" priority="25" operator="greaterThan">
      <formula>0</formula>
    </cfRule>
  </conditionalFormatting>
  <conditionalFormatting sqref="AX27:BD27">
    <cfRule type="cellIs" dxfId="16" priority="24" operator="greaterThan">
      <formula>0</formula>
    </cfRule>
  </conditionalFormatting>
  <conditionalFormatting sqref="AM14:AP14">
    <cfRule type="cellIs" dxfId="15" priority="23" operator="greaterThan">
      <formula>0</formula>
    </cfRule>
  </conditionalFormatting>
  <conditionalFormatting sqref="AJ28:AP28">
    <cfRule type="cellIs" dxfId="14" priority="22" operator="greaterThan">
      <formula>0</formula>
    </cfRule>
  </conditionalFormatting>
  <conditionalFormatting sqref="AX14:AZ14">
    <cfRule type="cellIs" dxfId="13" priority="20" operator="greaterThan">
      <formula>0</formula>
    </cfRule>
  </conditionalFormatting>
  <conditionalFormatting sqref="AX28:BD28">
    <cfRule type="cellIs" dxfId="12" priority="18" operator="greaterThan">
      <formula>0</formula>
    </cfRule>
  </conditionalFormatting>
  <conditionalFormatting sqref="AX25:BD25">
    <cfRule type="cellIs" dxfId="11" priority="17" operator="greaterThan">
      <formula>0</formula>
    </cfRule>
  </conditionalFormatting>
  <conditionalFormatting sqref="AJ20:AL20">
    <cfRule type="cellIs" dxfId="10" priority="9" operator="greaterThan">
      <formula>0</formula>
    </cfRule>
  </conditionalFormatting>
  <conditionalFormatting sqref="AO20">
    <cfRule type="cellIs" dxfId="9" priority="8" operator="greaterThan">
      <formula>0</formula>
    </cfRule>
  </conditionalFormatting>
  <conditionalFormatting sqref="BA14:BD14">
    <cfRule type="cellIs" dxfId="8" priority="7" operator="greaterThan">
      <formula>0</formula>
    </cfRule>
  </conditionalFormatting>
  <conditionalFormatting sqref="AX2:BD2">
    <cfRule type="cellIs" dxfId="7" priority="6" operator="greaterThan">
      <formula>0</formula>
    </cfRule>
  </conditionalFormatting>
  <conditionalFormatting sqref="AJ2:AP2">
    <cfRule type="cellIs" dxfId="6" priority="5" operator="greaterThan">
      <formula>0</formula>
    </cfRule>
  </conditionalFormatting>
  <conditionalFormatting sqref="AJ16:AP16">
    <cfRule type="cellIs" dxfId="5" priority="4" operator="greaterThan">
      <formula>0</formula>
    </cfRule>
  </conditionalFormatting>
  <conditionalFormatting sqref="AX8:BD8">
    <cfRule type="cellIs" dxfId="4" priority="2" operator="greaterThan">
      <formula>0</formula>
    </cfRule>
  </conditionalFormatting>
  <conditionalFormatting sqref="AX5:BD5">
    <cfRule type="cellIs" dxfId="3" priority="3" operator="greaterThan">
      <formula>0</formula>
    </cfRule>
  </conditionalFormatting>
  <conditionalFormatting sqref="I4:O29">
    <cfRule type="cellIs" dxfId="2" priority="3585" operator="greaterThan">
      <formula>8</formula>
    </cfRule>
    <cfRule type="colorScale" priority="3586">
      <colorScale>
        <cfvo type="min"/>
        <cfvo type="max"/>
        <color rgb="FFFFEF9C"/>
        <color rgb="FFFF7128"/>
      </colorScale>
    </cfRule>
  </conditionalFormatting>
  <conditionalFormatting sqref="S4:Y29">
    <cfRule type="colorScale" priority="3589">
      <colorScale>
        <cfvo type="min"/>
        <cfvo type="max"/>
        <color rgb="FFFFEF9C"/>
        <color rgb="FF63BE7B"/>
      </colorScale>
    </cfRule>
  </conditionalFormatting>
  <conditionalFormatting sqref="H4:H29">
    <cfRule type="colorScale" priority="359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Plantilla</vt:lpstr>
      <vt:lpstr>AcademiaJedi</vt:lpstr>
      <vt:lpstr>Planning</vt:lpstr>
      <vt:lpstr>Evaluacion</vt:lpstr>
      <vt:lpstr>Economia</vt:lpstr>
      <vt:lpstr>Calculadora_Tactica</vt:lpstr>
      <vt:lpstr>Capitan</vt:lpstr>
      <vt:lpstr>Entrenador</vt:lpstr>
      <vt:lpstr>ENTRENAMIENTO_Rendimiento</vt:lpstr>
      <vt:lpstr>Resumen_Rend</vt:lpstr>
      <vt:lpstr>352</vt:lpstr>
      <vt:lpstr>541</vt:lpstr>
      <vt:lpstr>DEF</vt:lpstr>
      <vt:lpstr>JUG</vt:lpstr>
      <vt:lpstr>PAS</vt:lpstr>
      <vt:lpstr>LAT</vt:lpstr>
      <vt:lpstr>Hall_of_Fame</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2019-06-28T13:37:11Z</dcterms:modified>
</cp:coreProperties>
</file>