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firstSheet="2" activeTab="4"/>
  </bookViews>
  <sheets>
    <sheet name="Resistencia" sheetId="6" r:id="rId1"/>
    <sheet name="TL_v1" sheetId="7" r:id="rId2"/>
    <sheet name="CA_v1" sheetId="14" r:id="rId3"/>
    <sheet name="Planning_Entrenador" sheetId="11" r:id="rId4"/>
    <sheet name="PLANTILLA" sheetId="1" r:id="rId5"/>
    <sheet name="CAPITAN" sheetId="12" r:id="rId6"/>
    <sheet name="Evaluacion Jugadores" sheetId="3" r:id="rId7"/>
    <sheet name="CambioENTRENADOR" sheetId="9" r:id="rId8"/>
    <sheet name="Rendimiento_ENTRENAMIENTO" sheetId="10" r:id="rId9"/>
    <sheet name="Gomis" sheetId="15" r:id="rId10"/>
    <sheet name="Peñuela" sheetId="16" r:id="rId11"/>
    <sheet name="Minaya" sheetId="17" r:id="rId12"/>
    <sheet name="Cubas" sheetId="18" r:id="rId13"/>
    <sheet name="Riquelme" sheetId="20" r:id="rId14"/>
    <sheet name="Abraldes" sheetId="19" r:id="rId15"/>
    <sheet name="Calculador de Sueldo" sheetId="2" r:id="rId16"/>
    <sheet name="Empleados" sheetId="4" r:id="rId17"/>
  </sheets>
  <calcPr calcId="152511"/>
</workbook>
</file>

<file path=xl/calcChain.xml><?xml version="1.0" encoding="utf-8"?>
<calcChain xmlns="http://schemas.openxmlformats.org/spreadsheetml/2006/main">
  <c r="AC21" i="1" l="1"/>
  <c r="AC20" i="1"/>
  <c r="AC19" i="1"/>
  <c r="AC22" i="1"/>
  <c r="AC15" i="1"/>
  <c r="AC14" i="1"/>
  <c r="AC13" i="1"/>
  <c r="AC12" i="1"/>
  <c r="AC18" i="1"/>
  <c r="AC17" i="1"/>
  <c r="AC16" i="1"/>
  <c r="AC5" i="1"/>
  <c r="AC6" i="1"/>
  <c r="AC10" i="1"/>
  <c r="AC9" i="1"/>
  <c r="AC11" i="1"/>
  <c r="AC8" i="1"/>
  <c r="AC7" i="1"/>
  <c r="AC4" i="1"/>
  <c r="U15" i="1" l="1"/>
  <c r="AR15" i="1"/>
  <c r="W15" i="1"/>
  <c r="R15" i="1"/>
  <c r="S15" i="1"/>
  <c r="P15" i="1"/>
  <c r="N15" i="1"/>
  <c r="AI15" i="1" s="1"/>
  <c r="J15" i="1"/>
  <c r="K15" i="1"/>
  <c r="L15" i="1"/>
  <c r="AM15" i="1" l="1"/>
  <c r="AL15" i="1"/>
  <c r="AK15" i="1"/>
  <c r="AN15" i="1"/>
  <c r="AH15" i="1"/>
  <c r="AG15" i="1"/>
  <c r="AJ15" i="1"/>
  <c r="C1" i="20"/>
  <c r="C1" i="19"/>
  <c r="C1" i="18"/>
  <c r="C1" i="17"/>
  <c r="I1" i="15"/>
  <c r="C1" i="16"/>
  <c r="E19" i="10" l="1"/>
  <c r="H19" i="10"/>
  <c r="K19" i="10" s="1"/>
  <c r="I19" i="10"/>
  <c r="L19" i="10" s="1"/>
  <c r="J19" i="10"/>
  <c r="M19" i="10"/>
  <c r="N19" i="10"/>
  <c r="O19" i="10"/>
  <c r="P19" i="10"/>
  <c r="Q19" i="10"/>
  <c r="AH19" i="10" s="1"/>
  <c r="R19" i="10"/>
  <c r="S19" i="10"/>
  <c r="AD19" i="10"/>
  <c r="AE19" i="10"/>
  <c r="AF19" i="10"/>
  <c r="AJ19" i="10"/>
  <c r="E20" i="10"/>
  <c r="H20" i="10"/>
  <c r="I20" i="10"/>
  <c r="L20" i="10" s="1"/>
  <c r="J20" i="10"/>
  <c r="M20" i="10"/>
  <c r="AD20" i="10" s="1"/>
  <c r="N20" i="10"/>
  <c r="AE20" i="10" s="1"/>
  <c r="O20" i="10"/>
  <c r="P20" i="10"/>
  <c r="Q20" i="10"/>
  <c r="AH20" i="10" s="1"/>
  <c r="R20" i="10"/>
  <c r="S20" i="10"/>
  <c r="AJ20" i="10" s="1"/>
  <c r="AF20" i="10"/>
  <c r="E21" i="10"/>
  <c r="H21" i="10"/>
  <c r="I21" i="10"/>
  <c r="J21" i="10"/>
  <c r="M21" i="10"/>
  <c r="AD21" i="10" s="1"/>
  <c r="N21" i="10"/>
  <c r="AE21" i="10" s="1"/>
  <c r="O21" i="10"/>
  <c r="AF21" i="10" s="1"/>
  <c r="P21" i="10"/>
  <c r="Q21" i="10"/>
  <c r="AH21" i="10" s="1"/>
  <c r="R21" i="10"/>
  <c r="S21" i="10"/>
  <c r="AJ21" i="10" s="1"/>
  <c r="K21" i="10" l="1"/>
  <c r="K20" i="10"/>
  <c r="L21" i="10"/>
  <c r="AC20" i="10"/>
  <c r="AC19" i="10"/>
  <c r="AC21" i="10"/>
  <c r="AR22" i="1" l="1"/>
  <c r="AN22" i="1"/>
  <c r="AL22" i="1"/>
  <c r="AK22" i="1"/>
  <c r="AJ22" i="1"/>
  <c r="AI22" i="1"/>
  <c r="AH22" i="1"/>
  <c r="AG22" i="1"/>
  <c r="AM22" i="1"/>
  <c r="W22" i="1"/>
  <c r="U22" i="1"/>
  <c r="S22" i="1"/>
  <c r="R22" i="1"/>
  <c r="P22" i="1"/>
  <c r="L22" i="1"/>
  <c r="K22" i="1"/>
  <c r="J22" i="1"/>
  <c r="AR21" i="1"/>
  <c r="AB21" i="1"/>
  <c r="W21" i="1"/>
  <c r="U21" i="1"/>
  <c r="S21" i="1"/>
  <c r="R21" i="1"/>
  <c r="P21" i="1"/>
  <c r="N21" i="1"/>
  <c r="AK21" i="1" s="1"/>
  <c r="L21" i="1"/>
  <c r="K21" i="1"/>
  <c r="J21" i="1"/>
  <c r="AR20" i="1"/>
  <c r="AB20" i="1"/>
  <c r="W20" i="1"/>
  <c r="U20" i="1"/>
  <c r="S20" i="1"/>
  <c r="R20" i="1"/>
  <c r="P20" i="1"/>
  <c r="N20" i="1"/>
  <c r="AI20" i="1" s="1"/>
  <c r="L20" i="1"/>
  <c r="K20" i="1"/>
  <c r="J20" i="1"/>
  <c r="AR19" i="1"/>
  <c r="AB19" i="1"/>
  <c r="W19" i="1"/>
  <c r="U19" i="1"/>
  <c r="S19" i="1"/>
  <c r="R19" i="1"/>
  <c r="P19" i="1"/>
  <c r="N19" i="1"/>
  <c r="AK19" i="1" s="1"/>
  <c r="L19" i="1"/>
  <c r="K19" i="1"/>
  <c r="J19" i="1"/>
  <c r="AR18" i="1"/>
  <c r="AB18" i="1"/>
  <c r="W18" i="1"/>
  <c r="U18" i="1"/>
  <c r="S18" i="1"/>
  <c r="R18" i="1"/>
  <c r="P18" i="1"/>
  <c r="N18" i="1"/>
  <c r="AI18" i="1" s="1"/>
  <c r="L18" i="1"/>
  <c r="K18" i="1"/>
  <c r="J18" i="1"/>
  <c r="AR17" i="1"/>
  <c r="AB17" i="1"/>
  <c r="W17" i="1"/>
  <c r="U17" i="1"/>
  <c r="S17" i="1"/>
  <c r="R17" i="1"/>
  <c r="P17" i="1"/>
  <c r="N17" i="1"/>
  <c r="AK17" i="1" s="1"/>
  <c r="L17" i="1"/>
  <c r="K17" i="1"/>
  <c r="J17" i="1"/>
  <c r="AR16" i="1"/>
  <c r="AN16" i="1"/>
  <c r="AM16" i="1"/>
  <c r="AL16" i="1"/>
  <c r="AJ16" i="1"/>
  <c r="AI16" i="1"/>
  <c r="AH16" i="1"/>
  <c r="AG16" i="1"/>
  <c r="AB16" i="1"/>
  <c r="AK16" i="1" s="1"/>
  <c r="W16" i="1"/>
  <c r="U16" i="1"/>
  <c r="S16" i="1"/>
  <c r="R16" i="1"/>
  <c r="P16" i="1"/>
  <c r="L16" i="1"/>
  <c r="K16" i="1"/>
  <c r="J16" i="1"/>
  <c r="AR14" i="1"/>
  <c r="AB14" i="1"/>
  <c r="W14" i="1"/>
  <c r="U14" i="1"/>
  <c r="S14" i="1"/>
  <c r="R14" i="1"/>
  <c r="P14" i="1"/>
  <c r="N14" i="1"/>
  <c r="AI14" i="1" s="1"/>
  <c r="L14" i="1"/>
  <c r="K14" i="1"/>
  <c r="J14" i="1"/>
  <c r="AR13" i="1"/>
  <c r="AB13" i="1"/>
  <c r="W13" i="1"/>
  <c r="U13" i="1"/>
  <c r="S13" i="1"/>
  <c r="R13" i="1"/>
  <c r="P13" i="1"/>
  <c r="N13" i="1"/>
  <c r="AK13" i="1" s="1"/>
  <c r="L13" i="1"/>
  <c r="K13" i="1"/>
  <c r="J13" i="1"/>
  <c r="AR12" i="1"/>
  <c r="AB12" i="1"/>
  <c r="W12" i="1"/>
  <c r="U12" i="1"/>
  <c r="S12" i="1"/>
  <c r="R12" i="1"/>
  <c r="P12" i="1"/>
  <c r="N12" i="1"/>
  <c r="AI12" i="1" s="1"/>
  <c r="L12" i="1"/>
  <c r="K12" i="1"/>
  <c r="J12" i="1"/>
  <c r="AR11" i="1"/>
  <c r="W11" i="1"/>
  <c r="U11" i="1"/>
  <c r="S11" i="1"/>
  <c r="R11" i="1"/>
  <c r="P11" i="1"/>
  <c r="N11" i="1"/>
  <c r="AK11" i="1" s="1"/>
  <c r="L11" i="1"/>
  <c r="K11" i="1"/>
  <c r="J11" i="1"/>
  <c r="AR10" i="1"/>
  <c r="AB10" i="1"/>
  <c r="W10" i="1"/>
  <c r="U10" i="1"/>
  <c r="S10" i="1"/>
  <c r="R10" i="1"/>
  <c r="P10" i="1"/>
  <c r="N10" i="1"/>
  <c r="AL10" i="1" s="1"/>
  <c r="L10" i="1"/>
  <c r="K10" i="1"/>
  <c r="J10" i="1"/>
  <c r="AR9" i="1"/>
  <c r="AB9" i="1"/>
  <c r="W9" i="1"/>
  <c r="U9" i="1"/>
  <c r="S9" i="1"/>
  <c r="R9" i="1"/>
  <c r="P9" i="1"/>
  <c r="N9" i="1"/>
  <c r="AI9" i="1" s="1"/>
  <c r="L9" i="1"/>
  <c r="K9" i="1"/>
  <c r="J9" i="1"/>
  <c r="AR8" i="1"/>
  <c r="AB8" i="1"/>
  <c r="W8" i="1"/>
  <c r="U8" i="1"/>
  <c r="S8" i="1"/>
  <c r="R8" i="1"/>
  <c r="P8" i="1"/>
  <c r="N8" i="1"/>
  <c r="AK8" i="1" s="1"/>
  <c r="L8" i="1"/>
  <c r="K8" i="1"/>
  <c r="J8" i="1"/>
  <c r="AR7" i="1"/>
  <c r="AB7" i="1"/>
  <c r="W7" i="1"/>
  <c r="U7" i="1"/>
  <c r="S7" i="1"/>
  <c r="R7" i="1"/>
  <c r="P7" i="1"/>
  <c r="N7" i="1"/>
  <c r="L7" i="1"/>
  <c r="K7" i="1"/>
  <c r="J7" i="1"/>
  <c r="AR6" i="1"/>
  <c r="AN6" i="1"/>
  <c r="AM6" i="1"/>
  <c r="AL6" i="1"/>
  <c r="AK6" i="1"/>
  <c r="AJ6" i="1"/>
  <c r="AI6" i="1"/>
  <c r="AH6" i="1"/>
  <c r="AG6" i="1"/>
  <c r="W6" i="1"/>
  <c r="U6" i="1"/>
  <c r="S6" i="1"/>
  <c r="R6" i="1"/>
  <c r="P6" i="1"/>
  <c r="L6" i="1"/>
  <c r="K6" i="1"/>
  <c r="J6" i="1"/>
  <c r="AR5" i="1"/>
  <c r="AB5" i="1"/>
  <c r="W5" i="1"/>
  <c r="U5" i="1"/>
  <c r="S5" i="1"/>
  <c r="R5" i="1"/>
  <c r="P5" i="1"/>
  <c r="N5" i="1"/>
  <c r="AI5" i="1" s="1"/>
  <c r="L5" i="1"/>
  <c r="K5" i="1"/>
  <c r="J5" i="1"/>
  <c r="AR4" i="1"/>
  <c r="W4" i="1"/>
  <c r="U4" i="1"/>
  <c r="S4" i="1"/>
  <c r="R4" i="1"/>
  <c r="P4" i="1"/>
  <c r="N4" i="1"/>
  <c r="AK4" i="1" s="1"/>
  <c r="L4" i="1"/>
  <c r="K4" i="1"/>
  <c r="J4" i="1"/>
  <c r="AR23" i="1"/>
  <c r="AM10" i="1" l="1"/>
  <c r="AM12" i="1"/>
  <c r="AM14" i="1"/>
  <c r="AM17" i="1"/>
  <c r="AM21" i="1"/>
  <c r="AM7" i="1"/>
  <c r="AN9" i="1"/>
  <c r="AL21" i="1"/>
  <c r="AJ9" i="1"/>
  <c r="AN11" i="1"/>
  <c r="AM5" i="1"/>
  <c r="AJ10" i="1"/>
  <c r="AH11" i="1"/>
  <c r="AL17" i="1"/>
  <c r="AM18" i="1"/>
  <c r="AN20" i="1"/>
  <c r="AN5" i="1"/>
  <c r="AM9" i="1"/>
  <c r="AJ11" i="1"/>
  <c r="AN18" i="1"/>
  <c r="AM19" i="1"/>
  <c r="AM20" i="1"/>
  <c r="AL4" i="1"/>
  <c r="AN13" i="1"/>
  <c r="AL19" i="1"/>
  <c r="AN4" i="1"/>
  <c r="AH12" i="1"/>
  <c r="AH14" i="1"/>
  <c r="AH19" i="1"/>
  <c r="AH21" i="1"/>
  <c r="AN21" i="1"/>
  <c r="AH4" i="1"/>
  <c r="AL7" i="1"/>
  <c r="AK10" i="1"/>
  <c r="AH10" i="1"/>
  <c r="AN10" i="1"/>
  <c r="AJ12" i="1"/>
  <c r="AJ13" i="1"/>
  <c r="AJ14" i="1"/>
  <c r="AI17" i="1"/>
  <c r="AH18" i="1"/>
  <c r="AI19" i="1"/>
  <c r="AH20" i="1"/>
  <c r="AI21" i="1"/>
  <c r="AH13" i="1"/>
  <c r="AI13" i="1"/>
  <c r="AH17" i="1"/>
  <c r="AN17" i="1"/>
  <c r="AN19" i="1"/>
  <c r="AH5" i="1"/>
  <c r="AI7" i="1"/>
  <c r="AJ4" i="1"/>
  <c r="AJ5" i="1"/>
  <c r="AH9" i="1"/>
  <c r="AI10" i="1"/>
  <c r="AL11" i="1"/>
  <c r="AN12" i="1"/>
  <c r="AM13" i="1"/>
  <c r="AL13" i="1"/>
  <c r="AN14" i="1"/>
  <c r="AJ17" i="1"/>
  <c r="AJ18" i="1"/>
  <c r="AJ19" i="1"/>
  <c r="AJ20" i="1"/>
  <c r="AJ21" i="1"/>
  <c r="AL8" i="1"/>
  <c r="AI4" i="1"/>
  <c r="AM4" i="1"/>
  <c r="AG5" i="1"/>
  <c r="AK5" i="1"/>
  <c r="AJ7" i="1"/>
  <c r="AN7" i="1"/>
  <c r="AI8" i="1"/>
  <c r="AM8" i="1"/>
  <c r="AG9" i="1"/>
  <c r="AK9" i="1"/>
  <c r="AI11" i="1"/>
  <c r="AM11" i="1"/>
  <c r="AG12" i="1"/>
  <c r="AK12" i="1"/>
  <c r="AG14" i="1"/>
  <c r="AK14" i="1"/>
  <c r="AG18" i="1"/>
  <c r="AK18" i="1"/>
  <c r="AG20" i="1"/>
  <c r="AK20" i="1"/>
  <c r="AH8" i="1"/>
  <c r="AL5" i="1"/>
  <c r="AG7" i="1"/>
  <c r="AK7" i="1"/>
  <c r="AJ8" i="1"/>
  <c r="AN8" i="1"/>
  <c r="AL9" i="1"/>
  <c r="AL12" i="1"/>
  <c r="AL14" i="1"/>
  <c r="AL18" i="1"/>
  <c r="AL20" i="1"/>
  <c r="AG4" i="1"/>
  <c r="AH7" i="1"/>
  <c r="AG8" i="1"/>
  <c r="AG10" i="1"/>
  <c r="AG11" i="1"/>
  <c r="AG13" i="1"/>
  <c r="AG17" i="1"/>
  <c r="AG19" i="1"/>
  <c r="AG21" i="1"/>
  <c r="AG7" i="10" l="1"/>
  <c r="AI7" i="10"/>
  <c r="A18" i="10"/>
  <c r="B18" i="10"/>
  <c r="D18" i="10"/>
  <c r="E18" i="10"/>
  <c r="H18" i="10"/>
  <c r="I18" i="10"/>
  <c r="AC18" i="10" s="1"/>
  <c r="J18" i="10"/>
  <c r="M18" i="10"/>
  <c r="N18" i="10"/>
  <c r="AE18" i="10" s="1"/>
  <c r="O18" i="10"/>
  <c r="AF18" i="10" s="1"/>
  <c r="P18" i="10"/>
  <c r="Q18" i="10"/>
  <c r="R18" i="10"/>
  <c r="S18" i="10"/>
  <c r="AJ18" i="10" s="1"/>
  <c r="AD18" i="10"/>
  <c r="AH18" i="10"/>
  <c r="L18" i="10" l="1"/>
  <c r="K18" i="10"/>
  <c r="J3" i="3" l="1"/>
  <c r="K3" i="3"/>
  <c r="Q3" i="3"/>
  <c r="AG17" i="10" l="1"/>
  <c r="AI17" i="10"/>
  <c r="AG16" i="10"/>
  <c r="AI16" i="10"/>
  <c r="AG15" i="10"/>
  <c r="AI15" i="10"/>
  <c r="AG14" i="10"/>
  <c r="AI14" i="10"/>
  <c r="AG13" i="10"/>
  <c r="AI13" i="10"/>
  <c r="AG12" i="10"/>
  <c r="AI12" i="10"/>
  <c r="AG11" i="10"/>
  <c r="AI11" i="10"/>
  <c r="AG10" i="10"/>
  <c r="AI10" i="10"/>
  <c r="AG8" i="10"/>
  <c r="AI8" i="10"/>
  <c r="AG6" i="10"/>
  <c r="AG5" i="10"/>
  <c r="AI4" i="10"/>
  <c r="Y17" i="10"/>
  <c r="Y16" i="10"/>
  <c r="Y15" i="10"/>
  <c r="Y14" i="10"/>
  <c r="Y11" i="10"/>
  <c r="A5" i="10"/>
  <c r="B5" i="10"/>
  <c r="D5" i="10"/>
  <c r="E5" i="10"/>
  <c r="G5" i="10"/>
  <c r="H5" i="10"/>
  <c r="I5" i="10"/>
  <c r="J5" i="10"/>
  <c r="M5" i="10"/>
  <c r="N5" i="10"/>
  <c r="AE5" i="10" s="1"/>
  <c r="O5" i="10"/>
  <c r="AF5" i="10" s="1"/>
  <c r="P5" i="10"/>
  <c r="Q5" i="10"/>
  <c r="R5" i="10"/>
  <c r="S5" i="10"/>
  <c r="A6" i="10"/>
  <c r="B6" i="10"/>
  <c r="D6" i="10"/>
  <c r="E6" i="10"/>
  <c r="G6" i="10"/>
  <c r="H6" i="10"/>
  <c r="I6" i="10"/>
  <c r="J6" i="10"/>
  <c r="M6" i="10"/>
  <c r="N6" i="10"/>
  <c r="AE6" i="10" s="1"/>
  <c r="O6" i="10"/>
  <c r="AF6" i="10" s="1"/>
  <c r="P6" i="10"/>
  <c r="Q6" i="10"/>
  <c r="R6" i="10"/>
  <c r="S6" i="10"/>
  <c r="A7" i="10"/>
  <c r="B7" i="10"/>
  <c r="D7" i="10"/>
  <c r="E7" i="10"/>
  <c r="G7" i="10"/>
  <c r="H7" i="10"/>
  <c r="I7" i="10"/>
  <c r="J7" i="10"/>
  <c r="M7" i="10"/>
  <c r="N7" i="10"/>
  <c r="AE7" i="10" s="1"/>
  <c r="O7" i="10"/>
  <c r="AF7" i="10" s="1"/>
  <c r="P7" i="10"/>
  <c r="Q7" i="10"/>
  <c r="R7" i="10"/>
  <c r="S7" i="10"/>
  <c r="A8" i="10"/>
  <c r="B8" i="10"/>
  <c r="D8" i="10"/>
  <c r="E8" i="10"/>
  <c r="G8" i="10"/>
  <c r="H8" i="10"/>
  <c r="I8" i="10"/>
  <c r="J8" i="10"/>
  <c r="M8" i="10"/>
  <c r="N8" i="10"/>
  <c r="AE8" i="10" s="1"/>
  <c r="O8" i="10"/>
  <c r="AF8" i="10" s="1"/>
  <c r="P8" i="10"/>
  <c r="Q8" i="10"/>
  <c r="R8" i="10"/>
  <c r="S8" i="10"/>
  <c r="A9" i="10"/>
  <c r="B9" i="10"/>
  <c r="D9" i="10"/>
  <c r="E9" i="10"/>
  <c r="G9" i="10"/>
  <c r="H9" i="10"/>
  <c r="I9" i="10"/>
  <c r="J9" i="10"/>
  <c r="M9" i="10"/>
  <c r="N9" i="10"/>
  <c r="AE9" i="10" s="1"/>
  <c r="O9" i="10"/>
  <c r="AF9" i="10" s="1"/>
  <c r="P9" i="10"/>
  <c r="Q9" i="10"/>
  <c r="R9" i="10"/>
  <c r="S9" i="10"/>
  <c r="A10" i="10"/>
  <c r="B10" i="10"/>
  <c r="D10" i="10"/>
  <c r="E10" i="10"/>
  <c r="G10" i="10"/>
  <c r="H10" i="10"/>
  <c r="I10" i="10"/>
  <c r="J10" i="10"/>
  <c r="M10" i="10"/>
  <c r="N10" i="10"/>
  <c r="AE10" i="10" s="1"/>
  <c r="O10" i="10"/>
  <c r="AF10" i="10" s="1"/>
  <c r="P10" i="10"/>
  <c r="Q10" i="10"/>
  <c r="R10" i="10"/>
  <c r="S10" i="10"/>
  <c r="A11" i="10"/>
  <c r="B11" i="10"/>
  <c r="D11" i="10"/>
  <c r="E11" i="10"/>
  <c r="G11" i="10"/>
  <c r="H11" i="10"/>
  <c r="I11" i="10"/>
  <c r="J11" i="10"/>
  <c r="M11" i="10"/>
  <c r="N11" i="10"/>
  <c r="AE11" i="10" s="1"/>
  <c r="O11" i="10"/>
  <c r="AF11" i="10" s="1"/>
  <c r="P11" i="10"/>
  <c r="Q11" i="10"/>
  <c r="R11" i="10"/>
  <c r="S11" i="10"/>
  <c r="A12" i="10"/>
  <c r="B12" i="10"/>
  <c r="D12" i="10"/>
  <c r="E12" i="10"/>
  <c r="G12" i="10"/>
  <c r="H12" i="10"/>
  <c r="I12" i="10"/>
  <c r="J12" i="10"/>
  <c r="M12" i="10"/>
  <c r="N12" i="10"/>
  <c r="AE12" i="10" s="1"/>
  <c r="O12" i="10"/>
  <c r="AF12" i="10" s="1"/>
  <c r="P12" i="10"/>
  <c r="Q12" i="10"/>
  <c r="R12" i="10"/>
  <c r="S12" i="10"/>
  <c r="A13" i="10"/>
  <c r="B13" i="10"/>
  <c r="D13" i="10"/>
  <c r="E13" i="10"/>
  <c r="G13" i="10"/>
  <c r="H13" i="10"/>
  <c r="I13" i="10"/>
  <c r="J13" i="10"/>
  <c r="M13" i="10"/>
  <c r="N13" i="10"/>
  <c r="AE13" i="10" s="1"/>
  <c r="O13" i="10"/>
  <c r="AF13" i="10" s="1"/>
  <c r="P13" i="10"/>
  <c r="Q13" i="10"/>
  <c r="R13" i="10"/>
  <c r="S13" i="10"/>
  <c r="A14" i="10"/>
  <c r="B14" i="10"/>
  <c r="D14" i="10"/>
  <c r="E14" i="10"/>
  <c r="G14" i="10"/>
  <c r="H14" i="10"/>
  <c r="I14" i="10"/>
  <c r="J14" i="10"/>
  <c r="M14" i="10"/>
  <c r="N14" i="10"/>
  <c r="AE14" i="10" s="1"/>
  <c r="O14" i="10"/>
  <c r="AF14" i="10" s="1"/>
  <c r="P14" i="10"/>
  <c r="Q14" i="10"/>
  <c r="R14" i="10"/>
  <c r="S14" i="10"/>
  <c r="A15" i="10"/>
  <c r="B15" i="10"/>
  <c r="D15" i="10"/>
  <c r="E15" i="10"/>
  <c r="G15" i="10"/>
  <c r="H15" i="10"/>
  <c r="I15" i="10"/>
  <c r="J15" i="10"/>
  <c r="M15" i="10"/>
  <c r="N15" i="10"/>
  <c r="AE15" i="10" s="1"/>
  <c r="O15" i="10"/>
  <c r="AF15" i="10" s="1"/>
  <c r="P15" i="10"/>
  <c r="Q15" i="10"/>
  <c r="R15" i="10"/>
  <c r="S15" i="10"/>
  <c r="A16" i="10"/>
  <c r="B16" i="10"/>
  <c r="D16" i="10"/>
  <c r="E16" i="10"/>
  <c r="G16" i="10"/>
  <c r="H16" i="10"/>
  <c r="I16" i="10"/>
  <c r="J16" i="10"/>
  <c r="M16" i="10"/>
  <c r="N16" i="10"/>
  <c r="AE16" i="10" s="1"/>
  <c r="O16" i="10"/>
  <c r="AF16" i="10" s="1"/>
  <c r="P16" i="10"/>
  <c r="Q16" i="10"/>
  <c r="R16" i="10"/>
  <c r="S16" i="10"/>
  <c r="A17" i="10"/>
  <c r="B17" i="10"/>
  <c r="D17" i="10"/>
  <c r="E17" i="10"/>
  <c r="G17" i="10"/>
  <c r="H17" i="10"/>
  <c r="I17" i="10"/>
  <c r="J17" i="10"/>
  <c r="M17" i="10"/>
  <c r="N17" i="10"/>
  <c r="AE17" i="10" s="1"/>
  <c r="O17" i="10"/>
  <c r="AF17" i="10" s="1"/>
  <c r="P17" i="10"/>
  <c r="Q17" i="10"/>
  <c r="R17" i="10"/>
  <c r="S17" i="10"/>
  <c r="A19" i="10"/>
  <c r="B19" i="10"/>
  <c r="D19" i="10"/>
  <c r="A20" i="10"/>
  <c r="B20" i="10"/>
  <c r="D20" i="10"/>
  <c r="A21" i="10"/>
  <c r="B21" i="10"/>
  <c r="D21" i="10"/>
  <c r="A22" i="10"/>
  <c r="B22" i="10"/>
  <c r="C22" i="10"/>
  <c r="D22" i="10"/>
  <c r="S4" i="10"/>
  <c r="R4" i="10"/>
  <c r="Q4" i="10"/>
  <c r="AH4" i="10" s="1"/>
  <c r="P4" i="10"/>
  <c r="O4" i="10"/>
  <c r="AF4" i="10" s="1"/>
  <c r="N4" i="10"/>
  <c r="AE4" i="10" s="1"/>
  <c r="M4" i="10"/>
  <c r="J4" i="10"/>
  <c r="I4" i="10"/>
  <c r="H4" i="10"/>
  <c r="G4" i="10"/>
  <c r="E4" i="10"/>
  <c r="D4" i="10"/>
  <c r="B4" i="10"/>
  <c r="A4" i="10"/>
  <c r="A4" i="3"/>
  <c r="B4" i="3"/>
  <c r="D4" i="3"/>
  <c r="E4" i="3"/>
  <c r="I4" i="3" s="1"/>
  <c r="F4" i="3"/>
  <c r="G4" i="3" s="1"/>
  <c r="J4" i="3"/>
  <c r="K4" i="3"/>
  <c r="L4" i="3"/>
  <c r="M4" i="3"/>
  <c r="N4" i="3"/>
  <c r="O4" i="3"/>
  <c r="P4" i="3"/>
  <c r="Q4" i="3"/>
  <c r="A5" i="3"/>
  <c r="B5" i="3"/>
  <c r="D5" i="3"/>
  <c r="E5" i="3"/>
  <c r="I5" i="3" s="1"/>
  <c r="F5" i="3"/>
  <c r="H5" i="3" s="1"/>
  <c r="J5" i="3"/>
  <c r="K5" i="3"/>
  <c r="L5" i="3"/>
  <c r="M5" i="3"/>
  <c r="N5" i="3"/>
  <c r="O5" i="3"/>
  <c r="P5" i="3"/>
  <c r="Q5" i="3"/>
  <c r="A6" i="3"/>
  <c r="B6" i="3"/>
  <c r="D6" i="3"/>
  <c r="E6" i="3"/>
  <c r="I6" i="3" s="1"/>
  <c r="F6" i="3"/>
  <c r="G6" i="3" s="1"/>
  <c r="J6" i="3"/>
  <c r="K6" i="3"/>
  <c r="L6" i="3"/>
  <c r="M6" i="3"/>
  <c r="N6" i="3"/>
  <c r="O6" i="3"/>
  <c r="P6" i="3"/>
  <c r="Q6" i="3"/>
  <c r="A7" i="3"/>
  <c r="B7" i="3"/>
  <c r="D7" i="3"/>
  <c r="E7" i="3"/>
  <c r="I7" i="3" s="1"/>
  <c r="F7" i="3"/>
  <c r="G7" i="3" s="1"/>
  <c r="J7" i="3"/>
  <c r="K7" i="3"/>
  <c r="L7" i="3"/>
  <c r="M7" i="3"/>
  <c r="N7" i="3"/>
  <c r="O7" i="3"/>
  <c r="P7" i="3"/>
  <c r="Q7" i="3"/>
  <c r="A8" i="3"/>
  <c r="B8" i="3"/>
  <c r="D8" i="3"/>
  <c r="E8" i="3"/>
  <c r="I8" i="3" s="1"/>
  <c r="F8" i="3"/>
  <c r="G8" i="3" s="1"/>
  <c r="J8" i="3"/>
  <c r="K8" i="3"/>
  <c r="L8" i="3"/>
  <c r="M8" i="3"/>
  <c r="N8" i="3"/>
  <c r="O8" i="3"/>
  <c r="P8" i="3"/>
  <c r="Q8" i="3"/>
  <c r="A9" i="3"/>
  <c r="B9" i="3"/>
  <c r="D9" i="3"/>
  <c r="E9" i="3"/>
  <c r="I9" i="3" s="1"/>
  <c r="F9" i="3"/>
  <c r="G9" i="3" s="1"/>
  <c r="J9" i="3"/>
  <c r="K9" i="3"/>
  <c r="L9" i="3"/>
  <c r="M9" i="3"/>
  <c r="N9" i="3"/>
  <c r="O9" i="3"/>
  <c r="P9" i="3"/>
  <c r="Q9" i="3"/>
  <c r="A10" i="3"/>
  <c r="B10" i="3"/>
  <c r="D10" i="3"/>
  <c r="E10" i="3"/>
  <c r="I10" i="3" s="1"/>
  <c r="F10" i="3"/>
  <c r="G10" i="3" s="1"/>
  <c r="J10" i="3"/>
  <c r="K10" i="3"/>
  <c r="L10" i="3"/>
  <c r="M10" i="3"/>
  <c r="N10" i="3"/>
  <c r="O10" i="3"/>
  <c r="P10" i="3"/>
  <c r="Q10" i="3"/>
  <c r="A11" i="3"/>
  <c r="B11" i="3"/>
  <c r="D11" i="3"/>
  <c r="E11" i="3"/>
  <c r="I11" i="3" s="1"/>
  <c r="F11" i="3"/>
  <c r="G11" i="3" s="1"/>
  <c r="J11" i="3"/>
  <c r="K11" i="3"/>
  <c r="L11" i="3"/>
  <c r="M11" i="3"/>
  <c r="N11" i="3"/>
  <c r="O11" i="3"/>
  <c r="P11" i="3"/>
  <c r="Q11" i="3"/>
  <c r="A12" i="3"/>
  <c r="B12" i="3"/>
  <c r="D12" i="3"/>
  <c r="E12" i="3"/>
  <c r="I12" i="3" s="1"/>
  <c r="F12" i="3"/>
  <c r="G12" i="3" s="1"/>
  <c r="J12" i="3"/>
  <c r="K12" i="3"/>
  <c r="L12" i="3"/>
  <c r="M12" i="3"/>
  <c r="N12" i="3"/>
  <c r="O12" i="3"/>
  <c r="P12" i="3"/>
  <c r="Q12" i="3"/>
  <c r="A13" i="3"/>
  <c r="B13" i="3"/>
  <c r="D13" i="3"/>
  <c r="E13" i="3"/>
  <c r="I13" i="3" s="1"/>
  <c r="F13" i="3"/>
  <c r="G13" i="3" s="1"/>
  <c r="J13" i="3"/>
  <c r="K13" i="3"/>
  <c r="L13" i="3"/>
  <c r="M13" i="3"/>
  <c r="N13" i="3"/>
  <c r="O13" i="3"/>
  <c r="P13" i="3"/>
  <c r="Q13" i="3"/>
  <c r="A14" i="3"/>
  <c r="B14" i="3"/>
  <c r="D14" i="3"/>
  <c r="E14" i="3"/>
  <c r="I14" i="3" s="1"/>
  <c r="F14" i="3"/>
  <c r="G14" i="3" s="1"/>
  <c r="J14" i="3"/>
  <c r="K14" i="3"/>
  <c r="L14" i="3"/>
  <c r="M14" i="3"/>
  <c r="N14" i="3"/>
  <c r="O14" i="3"/>
  <c r="P14" i="3"/>
  <c r="Q14" i="3"/>
  <c r="A15" i="3"/>
  <c r="B15" i="3"/>
  <c r="D15" i="3"/>
  <c r="E15" i="3"/>
  <c r="I15" i="3" s="1"/>
  <c r="F15" i="3"/>
  <c r="G15" i="3" s="1"/>
  <c r="J15" i="3"/>
  <c r="K15" i="3"/>
  <c r="L15" i="3"/>
  <c r="M15" i="3"/>
  <c r="N15" i="3"/>
  <c r="O15" i="3"/>
  <c r="P15" i="3"/>
  <c r="Q15" i="3"/>
  <c r="A16" i="3"/>
  <c r="B16" i="3"/>
  <c r="D16" i="3"/>
  <c r="E16" i="3"/>
  <c r="I16" i="3" s="1"/>
  <c r="F16" i="3"/>
  <c r="G16" i="3" s="1"/>
  <c r="J16" i="3"/>
  <c r="K16" i="3"/>
  <c r="L16" i="3"/>
  <c r="M16" i="3"/>
  <c r="N16" i="3"/>
  <c r="O16" i="3"/>
  <c r="P16" i="3"/>
  <c r="Q16" i="3"/>
  <c r="A17" i="3"/>
  <c r="B17" i="3"/>
  <c r="D17" i="3"/>
  <c r="E17" i="3"/>
  <c r="I17" i="3" s="1"/>
  <c r="F17" i="3"/>
  <c r="G17" i="3" s="1"/>
  <c r="J17" i="3"/>
  <c r="K17" i="3"/>
  <c r="L17" i="3"/>
  <c r="M17" i="3"/>
  <c r="N17" i="3"/>
  <c r="O17" i="3"/>
  <c r="P17" i="3"/>
  <c r="Q17" i="3"/>
  <c r="A18" i="3"/>
  <c r="B18" i="3"/>
  <c r="D18" i="3"/>
  <c r="E18" i="3"/>
  <c r="I18" i="3" s="1"/>
  <c r="F18" i="3"/>
  <c r="G18" i="3" s="1"/>
  <c r="J18" i="3"/>
  <c r="K18" i="3"/>
  <c r="L18" i="3"/>
  <c r="M18" i="3"/>
  <c r="N18" i="3"/>
  <c r="O18" i="3"/>
  <c r="P18" i="3"/>
  <c r="Q18" i="3"/>
  <c r="A19" i="3"/>
  <c r="B19" i="3"/>
  <c r="D19" i="3"/>
  <c r="E19" i="3"/>
  <c r="F19" i="3"/>
  <c r="G19" i="3" s="1"/>
  <c r="J19" i="3"/>
  <c r="K19" i="3"/>
  <c r="L19" i="3"/>
  <c r="M19" i="3"/>
  <c r="N19" i="3"/>
  <c r="O19" i="3"/>
  <c r="P19" i="3"/>
  <c r="Q19" i="3"/>
  <c r="P3" i="3"/>
  <c r="O3" i="3"/>
  <c r="N3" i="3"/>
  <c r="M3" i="3"/>
  <c r="L3" i="3"/>
  <c r="F3" i="3"/>
  <c r="E3" i="3"/>
  <c r="I3" i="3" s="1"/>
  <c r="D3" i="3"/>
  <c r="B3" i="3"/>
  <c r="A3" i="3"/>
  <c r="A4" i="12"/>
  <c r="O3" i="12" s="1"/>
  <c r="B4" i="12"/>
  <c r="C4" i="12"/>
  <c r="G4" i="12" s="1"/>
  <c r="H4" i="12" s="1"/>
  <c r="S3" i="12" s="1"/>
  <c r="D4" i="12"/>
  <c r="E4" i="12" s="1"/>
  <c r="P3" i="12" s="1"/>
  <c r="A5" i="12"/>
  <c r="B5" i="12"/>
  <c r="C5" i="12"/>
  <c r="G5" i="12" s="1"/>
  <c r="H5" i="12" s="1"/>
  <c r="D5" i="12"/>
  <c r="E5" i="12" s="1"/>
  <c r="F5" i="12" s="1"/>
  <c r="A6" i="12"/>
  <c r="B6" i="12"/>
  <c r="C6" i="12"/>
  <c r="G6" i="12" s="1"/>
  <c r="H6" i="12" s="1"/>
  <c r="D6" i="12"/>
  <c r="E6" i="12" s="1"/>
  <c r="A7" i="12"/>
  <c r="O12" i="12" s="1"/>
  <c r="B7" i="12"/>
  <c r="C7" i="12"/>
  <c r="G7" i="12" s="1"/>
  <c r="H7" i="12" s="1"/>
  <c r="D7" i="12"/>
  <c r="E7" i="12" s="1"/>
  <c r="P12" i="12" s="1"/>
  <c r="A8" i="12"/>
  <c r="B8" i="12"/>
  <c r="C8" i="12"/>
  <c r="G8" i="12" s="1"/>
  <c r="H8" i="12" s="1"/>
  <c r="D8" i="12"/>
  <c r="E8" i="12" s="1"/>
  <c r="A9" i="12"/>
  <c r="B9" i="12"/>
  <c r="C9" i="12"/>
  <c r="G9" i="12" s="1"/>
  <c r="H9" i="12" s="1"/>
  <c r="D9" i="12"/>
  <c r="E9" i="12" s="1"/>
  <c r="F9" i="12" s="1"/>
  <c r="A10" i="12"/>
  <c r="B10" i="12"/>
  <c r="C10" i="12"/>
  <c r="G10" i="12" s="1"/>
  <c r="H10" i="12" s="1"/>
  <c r="D10" i="12"/>
  <c r="E10" i="12" s="1"/>
  <c r="A11" i="12"/>
  <c r="O6" i="12" s="1"/>
  <c r="B11" i="12"/>
  <c r="C11" i="12"/>
  <c r="G11" i="12" s="1"/>
  <c r="H11" i="12" s="1"/>
  <c r="S6" i="12" s="1"/>
  <c r="D11" i="12"/>
  <c r="E11" i="12" s="1"/>
  <c r="P6" i="12" s="1"/>
  <c r="A12" i="12"/>
  <c r="B12" i="12"/>
  <c r="C12" i="12"/>
  <c r="G12" i="12" s="1"/>
  <c r="H12" i="12" s="1"/>
  <c r="D12" i="12"/>
  <c r="E12" i="12" s="1"/>
  <c r="A13" i="12"/>
  <c r="B13" i="12"/>
  <c r="C13" i="12"/>
  <c r="G13" i="12" s="1"/>
  <c r="H13" i="12" s="1"/>
  <c r="D13" i="12"/>
  <c r="E13" i="12" s="1"/>
  <c r="F13" i="12" s="1"/>
  <c r="A14" i="12"/>
  <c r="B14" i="12"/>
  <c r="C14" i="12"/>
  <c r="G14" i="12" s="1"/>
  <c r="H14" i="12" s="1"/>
  <c r="D14" i="12"/>
  <c r="E14" i="12" s="1"/>
  <c r="A15" i="12"/>
  <c r="B15" i="12"/>
  <c r="C15" i="12"/>
  <c r="G15" i="12" s="1"/>
  <c r="H15" i="12" s="1"/>
  <c r="D15" i="12"/>
  <c r="E15" i="12" s="1"/>
  <c r="F15" i="12" s="1"/>
  <c r="A16" i="12"/>
  <c r="B16" i="12"/>
  <c r="C16" i="12"/>
  <c r="G16" i="12" s="1"/>
  <c r="H16" i="12" s="1"/>
  <c r="D16" i="12"/>
  <c r="E16" i="12" s="1"/>
  <c r="A17" i="12"/>
  <c r="B17" i="12"/>
  <c r="C17" i="12"/>
  <c r="G17" i="12" s="1"/>
  <c r="H17" i="12" s="1"/>
  <c r="D17" i="12"/>
  <c r="E17" i="12" s="1"/>
  <c r="F17" i="12" s="1"/>
  <c r="A18" i="12"/>
  <c r="B18" i="12"/>
  <c r="C18" i="12"/>
  <c r="G18" i="12" s="1"/>
  <c r="H18" i="12" s="1"/>
  <c r="D18" i="12"/>
  <c r="E18" i="12" s="1"/>
  <c r="A19" i="12"/>
  <c r="B19" i="12"/>
  <c r="C19" i="12"/>
  <c r="G19" i="12" s="1"/>
  <c r="H19" i="12" s="1"/>
  <c r="D19" i="12"/>
  <c r="E19" i="12" s="1"/>
  <c r="F19" i="12" s="1"/>
  <c r="A20" i="12"/>
  <c r="B20" i="12"/>
  <c r="C20" i="12"/>
  <c r="G20" i="12" s="1"/>
  <c r="H20" i="12" s="1"/>
  <c r="D20" i="12"/>
  <c r="E20" i="12" s="1"/>
  <c r="A21" i="12"/>
  <c r="B21" i="12"/>
  <c r="C21" i="12"/>
  <c r="G21" i="12" s="1"/>
  <c r="H21" i="12" s="1"/>
  <c r="D21" i="12"/>
  <c r="E21" i="12" s="1"/>
  <c r="F21" i="12" s="1"/>
  <c r="D3" i="12"/>
  <c r="C3" i="12"/>
  <c r="B3" i="12"/>
  <c r="A3" i="12"/>
  <c r="AK18" i="3" l="1"/>
  <c r="AG18" i="3"/>
  <c r="R18" i="3"/>
  <c r="AO18" i="3" s="1"/>
  <c r="H16" i="3"/>
  <c r="K8" i="10"/>
  <c r="BA19" i="3"/>
  <c r="BC19" i="3" s="1"/>
  <c r="H9" i="3"/>
  <c r="L13" i="10"/>
  <c r="L5" i="10"/>
  <c r="S19" i="3"/>
  <c r="T19" i="3"/>
  <c r="R19" i="3"/>
  <c r="AO19" i="3" s="1"/>
  <c r="S18" i="3"/>
  <c r="T18" i="3"/>
  <c r="H12" i="3"/>
  <c r="F7" i="12"/>
  <c r="Q12" i="12" s="1"/>
  <c r="W18" i="3"/>
  <c r="Y18" i="3" s="1"/>
  <c r="BZ18" i="3"/>
  <c r="G5" i="3"/>
  <c r="K14" i="10"/>
  <c r="K6" i="10"/>
  <c r="H17" i="3"/>
  <c r="H8" i="3"/>
  <c r="L11" i="10"/>
  <c r="L8" i="10"/>
  <c r="AH19" i="3"/>
  <c r="BQ18" i="3"/>
  <c r="BE18" i="3"/>
  <c r="AA18" i="3"/>
  <c r="CC18" i="3"/>
  <c r="BX18" i="3"/>
  <c r="BT18" i="3"/>
  <c r="BP18" i="3"/>
  <c r="BL18" i="3"/>
  <c r="BH18" i="3"/>
  <c r="BD18" i="3"/>
  <c r="AX18" i="3"/>
  <c r="AS18" i="3"/>
  <c r="AN18" i="3"/>
  <c r="AJ18" i="3"/>
  <c r="AE18" i="3"/>
  <c r="Z18" i="3"/>
  <c r="AB18" i="3" s="1"/>
  <c r="U18" i="3"/>
  <c r="V18" i="3" s="1"/>
  <c r="BU18" i="3"/>
  <c r="BI18" i="3"/>
  <c r="AZ18" i="3"/>
  <c r="X19" i="3"/>
  <c r="H13" i="3"/>
  <c r="BR19" i="3"/>
  <c r="CB18" i="3"/>
  <c r="CD18" i="3" s="1"/>
  <c r="BW18" i="3"/>
  <c r="BS18" i="3"/>
  <c r="BO18" i="3"/>
  <c r="BK18" i="3"/>
  <c r="BG18" i="3"/>
  <c r="BB18" i="3"/>
  <c r="AW18" i="3"/>
  <c r="AY18" i="3" s="1"/>
  <c r="AQ18" i="3"/>
  <c r="AM18" i="3"/>
  <c r="AI18" i="3"/>
  <c r="AD18" i="3"/>
  <c r="AF18" i="3" s="1"/>
  <c r="X18" i="3"/>
  <c r="CE18" i="3"/>
  <c r="BY18" i="3"/>
  <c r="CA18" i="3" s="1"/>
  <c r="BM18" i="3"/>
  <c r="AT18" i="3"/>
  <c r="AV18" i="3" s="1"/>
  <c r="I19" i="3"/>
  <c r="H4" i="3"/>
  <c r="BV18" i="3"/>
  <c r="BR18" i="3"/>
  <c r="BN18" i="3"/>
  <c r="BJ18" i="3"/>
  <c r="BF18" i="3"/>
  <c r="BA18" i="3"/>
  <c r="BC18" i="3" s="1"/>
  <c r="AU18" i="3"/>
  <c r="AP18" i="3"/>
  <c r="AR18" i="3" s="1"/>
  <c r="AL18" i="3"/>
  <c r="AH18" i="3"/>
  <c r="AC18" i="3"/>
  <c r="L16" i="10"/>
  <c r="L12" i="10"/>
  <c r="L7" i="10"/>
  <c r="K5" i="10"/>
  <c r="J15" i="12"/>
  <c r="K16" i="10"/>
  <c r="BN19" i="3"/>
  <c r="AU19" i="3"/>
  <c r="AC19" i="3"/>
  <c r="BZ19" i="3"/>
  <c r="BJ19" i="3"/>
  <c r="AP19" i="3"/>
  <c r="AR19" i="3" s="1"/>
  <c r="W19" i="3"/>
  <c r="Y19" i="3" s="1"/>
  <c r="BV19" i="3"/>
  <c r="BF19" i="3"/>
  <c r="AL19" i="3"/>
  <c r="CE19" i="3"/>
  <c r="BY19" i="3"/>
  <c r="CA19" i="3" s="1"/>
  <c r="BU19" i="3"/>
  <c r="BQ19" i="3"/>
  <c r="BM19" i="3"/>
  <c r="BI19" i="3"/>
  <c r="BE19" i="3"/>
  <c r="AZ19" i="3"/>
  <c r="AT19" i="3"/>
  <c r="AV19" i="3" s="1"/>
  <c r="AK19" i="3"/>
  <c r="AG19" i="3"/>
  <c r="AA19" i="3"/>
  <c r="V19" i="3"/>
  <c r="CC19" i="3"/>
  <c r="BX19" i="3"/>
  <c r="BT19" i="3"/>
  <c r="BP19" i="3"/>
  <c r="BL19" i="3"/>
  <c r="BH19" i="3"/>
  <c r="BD19" i="3"/>
  <c r="AX19" i="3"/>
  <c r="AS19" i="3"/>
  <c r="AN19" i="3"/>
  <c r="AJ19" i="3"/>
  <c r="AE19" i="3"/>
  <c r="Z19" i="3"/>
  <c r="AB19" i="3" s="1"/>
  <c r="U19" i="3"/>
  <c r="CB19" i="3"/>
  <c r="CD19" i="3" s="1"/>
  <c r="BW19" i="3"/>
  <c r="BS19" i="3"/>
  <c r="BO19" i="3"/>
  <c r="BK19" i="3"/>
  <c r="BG19" i="3"/>
  <c r="BB19" i="3"/>
  <c r="AW19" i="3"/>
  <c r="AY19" i="3" s="1"/>
  <c r="AQ19" i="3"/>
  <c r="AM19" i="3"/>
  <c r="AI19" i="3"/>
  <c r="AD19" i="3"/>
  <c r="AF19" i="3" s="1"/>
  <c r="K13" i="10"/>
  <c r="K11" i="10"/>
  <c r="K17" i="10"/>
  <c r="K15" i="10"/>
  <c r="K12" i="10"/>
  <c r="L17" i="10"/>
  <c r="L15" i="10"/>
  <c r="K10" i="10"/>
  <c r="L9" i="10"/>
  <c r="K7" i="10"/>
  <c r="L14" i="10"/>
  <c r="L10" i="10"/>
  <c r="K9" i="10"/>
  <c r="L6" i="10"/>
  <c r="H19" i="3"/>
  <c r="H15" i="3"/>
  <c r="H11" i="3"/>
  <c r="H7" i="3"/>
  <c r="H18" i="3"/>
  <c r="H14" i="3"/>
  <c r="H10" i="3"/>
  <c r="H6" i="3"/>
  <c r="J21" i="12"/>
  <c r="J13" i="12"/>
  <c r="J5" i="12"/>
  <c r="R3" i="12"/>
  <c r="J19" i="12"/>
  <c r="R6" i="12"/>
  <c r="S12" i="12"/>
  <c r="J17" i="12"/>
  <c r="F11" i="12"/>
  <c r="Q6" i="12" s="1"/>
  <c r="J9" i="12"/>
  <c r="R12" i="12"/>
  <c r="I4" i="12"/>
  <c r="F4" i="12"/>
  <c r="Q3" i="12" s="1"/>
  <c r="I18" i="12"/>
  <c r="F18" i="12"/>
  <c r="J18" i="12" s="1"/>
  <c r="I10" i="12"/>
  <c r="F10" i="12"/>
  <c r="J10" i="12" s="1"/>
  <c r="I12" i="12"/>
  <c r="F12" i="12"/>
  <c r="J12" i="12" s="1"/>
  <c r="I16" i="12"/>
  <c r="F16" i="12"/>
  <c r="J16" i="12" s="1"/>
  <c r="I8" i="12"/>
  <c r="F8" i="12"/>
  <c r="J8" i="12" s="1"/>
  <c r="I20" i="12"/>
  <c r="F20" i="12"/>
  <c r="J20" i="12" s="1"/>
  <c r="I14" i="12"/>
  <c r="F14" i="12"/>
  <c r="J14" i="12" s="1"/>
  <c r="I6" i="12"/>
  <c r="F6" i="12"/>
  <c r="J6" i="12" s="1"/>
  <c r="I19" i="12"/>
  <c r="I17" i="12"/>
  <c r="I15" i="12"/>
  <c r="I13" i="12"/>
  <c r="I11" i="12"/>
  <c r="I9" i="12"/>
  <c r="I7" i="12"/>
  <c r="I5" i="12"/>
  <c r="I21" i="12"/>
  <c r="J7" i="12" l="1"/>
  <c r="J4" i="12"/>
  <c r="J11" i="12"/>
  <c r="I2" i="1"/>
  <c r="O2" i="1"/>
  <c r="Q2" i="1"/>
  <c r="V2" i="1"/>
  <c r="T2" i="1"/>
  <c r="AO62" i="14" l="1"/>
  <c r="AN62" i="14"/>
  <c r="AM62" i="14"/>
  <c r="AL62" i="14"/>
  <c r="AH62" i="14"/>
  <c r="AF62" i="14"/>
  <c r="AE62" i="14"/>
  <c r="AD62" i="14"/>
  <c r="Z62" i="14"/>
  <c r="N62" i="14"/>
  <c r="AO61" i="14"/>
  <c r="AN61" i="14"/>
  <c r="AM61" i="14"/>
  <c r="AL61" i="14"/>
  <c r="AH61" i="14"/>
  <c r="AF61" i="14"/>
  <c r="AE61" i="14"/>
  <c r="AD61" i="14"/>
  <c r="Z61" i="14"/>
  <c r="N61" i="14"/>
  <c r="AO60" i="14"/>
  <c r="AN60" i="14"/>
  <c r="AM60" i="14"/>
  <c r="AL60" i="14"/>
  <c r="AH60" i="14"/>
  <c r="AF60" i="14"/>
  <c r="AE60" i="14"/>
  <c r="AD60" i="14"/>
  <c r="Z60" i="14"/>
  <c r="N60" i="14"/>
  <c r="AH59" i="14"/>
  <c r="AG59" i="14"/>
  <c r="T59" i="14"/>
  <c r="AN59" i="14" s="1"/>
  <c r="E59" i="14"/>
  <c r="AH58" i="14"/>
  <c r="AG58" i="14"/>
  <c r="E58" i="14"/>
  <c r="AH57" i="14"/>
  <c r="AG57" i="14"/>
  <c r="E57" i="14"/>
  <c r="AN56" i="14"/>
  <c r="AM56" i="14"/>
  <c r="AK56" i="14"/>
  <c r="AJ56" i="14"/>
  <c r="AH56" i="14"/>
  <c r="AF56" i="14"/>
  <c r="AE56" i="14"/>
  <c r="AC56" i="14"/>
  <c r="AB56" i="14"/>
  <c r="Z56" i="14"/>
  <c r="N56" i="14"/>
  <c r="AN55" i="14"/>
  <c r="AM55" i="14"/>
  <c r="AK55" i="14"/>
  <c r="AJ55" i="14"/>
  <c r="AH55" i="14"/>
  <c r="AF55" i="14"/>
  <c r="AE55" i="14"/>
  <c r="AC55" i="14"/>
  <c r="AB55" i="14"/>
  <c r="Z55" i="14"/>
  <c r="N55" i="14"/>
  <c r="N54" i="14"/>
  <c r="F54" i="14"/>
  <c r="E54" i="14"/>
  <c r="AH53" i="14"/>
  <c r="H53" i="14"/>
  <c r="AB53" i="14" s="1"/>
  <c r="E53" i="14"/>
  <c r="D53" i="14"/>
  <c r="C53" i="14"/>
  <c r="AS52" i="14"/>
  <c r="AH52" i="14"/>
  <c r="AB52" i="14"/>
  <c r="H52" i="14"/>
  <c r="E52" i="14"/>
  <c r="D52" i="14"/>
  <c r="AH51" i="14"/>
  <c r="AB51" i="14"/>
  <c r="H51" i="14"/>
  <c r="E51" i="14"/>
  <c r="D51" i="14"/>
  <c r="C51" i="14"/>
  <c r="AH50" i="14"/>
  <c r="K50" i="14"/>
  <c r="AE50" i="14" s="1"/>
  <c r="H50" i="14"/>
  <c r="AB50" i="14" s="1"/>
  <c r="E50" i="14"/>
  <c r="D50" i="14"/>
  <c r="C50" i="14"/>
  <c r="AH49" i="14"/>
  <c r="H49" i="14"/>
  <c r="AB49" i="14" s="1"/>
  <c r="E49" i="14"/>
  <c r="D49" i="14"/>
  <c r="C49" i="14"/>
  <c r="AH48" i="14"/>
  <c r="AG48" i="14"/>
  <c r="E48" i="14"/>
  <c r="AH47" i="14"/>
  <c r="AG47" i="14"/>
  <c r="H47" i="14"/>
  <c r="AB47" i="14" s="1"/>
  <c r="E47" i="14"/>
  <c r="D47" i="14"/>
  <c r="F44" i="14"/>
  <c r="E44" i="14"/>
  <c r="D44" i="14"/>
  <c r="C44" i="14"/>
  <c r="B44" i="14"/>
  <c r="B62" i="14" s="1"/>
  <c r="T43" i="14"/>
  <c r="AN43" i="14" s="1"/>
  <c r="F43" i="14"/>
  <c r="E43" i="14"/>
  <c r="D43" i="14"/>
  <c r="C43" i="14"/>
  <c r="B43" i="14"/>
  <c r="B61" i="14" s="1"/>
  <c r="F42" i="14"/>
  <c r="E42" i="14"/>
  <c r="D42" i="14"/>
  <c r="C42" i="14"/>
  <c r="B42" i="14"/>
  <c r="B60" i="14" s="1"/>
  <c r="AH41" i="14"/>
  <c r="N59" i="14" s="1"/>
  <c r="AB41" i="14"/>
  <c r="H59" i="14" s="1"/>
  <c r="AB59" i="14" s="1"/>
  <c r="R41" i="14"/>
  <c r="AL41" i="14" s="1"/>
  <c r="R59" i="14" s="1"/>
  <c r="AL59" i="14" s="1"/>
  <c r="E41" i="14"/>
  <c r="D41" i="14"/>
  <c r="D59" i="14" s="1"/>
  <c r="C41" i="14"/>
  <c r="C59" i="14" s="1"/>
  <c r="B41" i="14"/>
  <c r="B59" i="14" s="1"/>
  <c r="AM40" i="14"/>
  <c r="S58" i="14" s="1"/>
  <c r="AM58" i="14" s="1"/>
  <c r="AH40" i="14"/>
  <c r="N58" i="14" s="1"/>
  <c r="AB40" i="14"/>
  <c r="H58" i="14" s="1"/>
  <c r="AB58" i="14" s="1"/>
  <c r="L40" i="14"/>
  <c r="AF40" i="14" s="1"/>
  <c r="L58" i="14" s="1"/>
  <c r="AF58" i="14" s="1"/>
  <c r="J40" i="14"/>
  <c r="AD40" i="14" s="1"/>
  <c r="J58" i="14" s="1"/>
  <c r="AD58" i="14" s="1"/>
  <c r="E40" i="14"/>
  <c r="D40" i="14"/>
  <c r="D58" i="14" s="1"/>
  <c r="C40" i="14"/>
  <c r="C58" i="14" s="1"/>
  <c r="B40" i="14"/>
  <c r="B58" i="14" s="1"/>
  <c r="AH39" i="14"/>
  <c r="N57" i="14" s="1"/>
  <c r="AB39" i="14"/>
  <c r="H57" i="14" s="1"/>
  <c r="AB57" i="14" s="1"/>
  <c r="J39" i="14"/>
  <c r="AD39" i="14" s="1"/>
  <c r="J57" i="14" s="1"/>
  <c r="AD57" i="14" s="1"/>
  <c r="E39" i="14"/>
  <c r="D39" i="14"/>
  <c r="D57" i="14" s="1"/>
  <c r="C39" i="14"/>
  <c r="C57" i="14" s="1"/>
  <c r="B39" i="14"/>
  <c r="B57" i="14" s="1"/>
  <c r="J38" i="14"/>
  <c r="AD38" i="14" s="1"/>
  <c r="J56" i="14" s="1"/>
  <c r="AD56" i="14" s="1"/>
  <c r="F38" i="14"/>
  <c r="E38" i="14"/>
  <c r="D38" i="14"/>
  <c r="B38" i="14"/>
  <c r="B56" i="14" s="1"/>
  <c r="F37" i="14"/>
  <c r="E37" i="14"/>
  <c r="D37" i="14"/>
  <c r="B37" i="14"/>
  <c r="B55" i="14" s="1"/>
  <c r="AO36" i="14"/>
  <c r="U54" i="14" s="1"/>
  <c r="AO54" i="14" s="1"/>
  <c r="F36" i="14"/>
  <c r="E36" i="14"/>
  <c r="D36" i="14"/>
  <c r="B36" i="14"/>
  <c r="AM35" i="14"/>
  <c r="S53" i="14" s="1"/>
  <c r="AM53" i="14" s="1"/>
  <c r="AL35" i="14"/>
  <c r="R53" i="14" s="1"/>
  <c r="AL53" i="14" s="1"/>
  <c r="AK35" i="14"/>
  <c r="Q53" i="14" s="1"/>
  <c r="AK53" i="14" s="1"/>
  <c r="AJ35" i="14"/>
  <c r="P53" i="14" s="1"/>
  <c r="AJ53" i="14" s="1"/>
  <c r="AH35" i="14"/>
  <c r="N53" i="14" s="1"/>
  <c r="AE35" i="14"/>
  <c r="K53" i="14" s="1"/>
  <c r="AE53" i="14" s="1"/>
  <c r="AD35" i="14"/>
  <c r="J53" i="14" s="1"/>
  <c r="AD53" i="14" s="1"/>
  <c r="AC35" i="14"/>
  <c r="I53" i="14" s="1"/>
  <c r="AC53" i="14" s="1"/>
  <c r="T35" i="14"/>
  <c r="AN35" i="14" s="1"/>
  <c r="T53" i="14" s="1"/>
  <c r="AN53" i="14" s="1"/>
  <c r="N35" i="14"/>
  <c r="B35" i="14"/>
  <c r="B53" i="14" s="1"/>
  <c r="AM34" i="14"/>
  <c r="S52" i="14" s="1"/>
  <c r="AM52" i="14" s="1"/>
  <c r="AL34" i="14"/>
  <c r="R52" i="14" s="1"/>
  <c r="AL52" i="14" s="1"/>
  <c r="AK34" i="14"/>
  <c r="Q52" i="14" s="1"/>
  <c r="AK52" i="14" s="1"/>
  <c r="AH34" i="14"/>
  <c r="N52" i="14" s="1"/>
  <c r="AE34" i="14"/>
  <c r="K52" i="14" s="1"/>
  <c r="AE52" i="14" s="1"/>
  <c r="AD34" i="14"/>
  <c r="J52" i="14" s="1"/>
  <c r="AD52" i="14" s="1"/>
  <c r="AC34" i="14"/>
  <c r="I52" i="14" s="1"/>
  <c r="AC52" i="14" s="1"/>
  <c r="Z34" i="14"/>
  <c r="F52" i="14" s="1"/>
  <c r="Z52" i="14" s="1"/>
  <c r="U34" i="14"/>
  <c r="AO34" i="14" s="1"/>
  <c r="U52" i="14" s="1"/>
  <c r="AO52" i="14" s="1"/>
  <c r="N34" i="14"/>
  <c r="M34" i="14"/>
  <c r="AG34" i="14" s="1"/>
  <c r="M52" i="14" s="1"/>
  <c r="B34" i="14"/>
  <c r="B52" i="14" s="1"/>
  <c r="AS33" i="14"/>
  <c r="AR33" i="14"/>
  <c r="AM33" i="14"/>
  <c r="S51" i="14" s="1"/>
  <c r="AM51" i="14" s="1"/>
  <c r="AL33" i="14"/>
  <c r="R51" i="14" s="1"/>
  <c r="AL51" i="14" s="1"/>
  <c r="AK33" i="14"/>
  <c r="Q51" i="14" s="1"/>
  <c r="AK51" i="14" s="1"/>
  <c r="AJ33" i="14"/>
  <c r="P51" i="14" s="1"/>
  <c r="AJ51" i="14" s="1"/>
  <c r="AH33" i="14"/>
  <c r="N51" i="14" s="1"/>
  <c r="AE33" i="14"/>
  <c r="K51" i="14" s="1"/>
  <c r="AE51" i="14" s="1"/>
  <c r="AD33" i="14"/>
  <c r="J51" i="14" s="1"/>
  <c r="AD51" i="14" s="1"/>
  <c r="AC33" i="14"/>
  <c r="I51" i="14" s="1"/>
  <c r="AC51" i="14" s="1"/>
  <c r="Z33" i="14"/>
  <c r="F51" i="14" s="1"/>
  <c r="Z51" i="14" s="1"/>
  <c r="T33" i="14"/>
  <c r="AN33" i="14" s="1"/>
  <c r="T51" i="14" s="1"/>
  <c r="AN51" i="14" s="1"/>
  <c r="N33" i="14"/>
  <c r="L33" i="14"/>
  <c r="AF33" i="14" s="1"/>
  <c r="L51" i="14" s="1"/>
  <c r="AF51" i="14" s="1"/>
  <c r="B33" i="14"/>
  <c r="B51" i="14" s="1"/>
  <c r="AM32" i="14"/>
  <c r="S50" i="14" s="1"/>
  <c r="AM50" i="14" s="1"/>
  <c r="AL32" i="14"/>
  <c r="R50" i="14" s="1"/>
  <c r="AL50" i="14" s="1"/>
  <c r="AK32" i="14"/>
  <c r="Q50" i="14" s="1"/>
  <c r="AK50" i="14" s="1"/>
  <c r="AJ32" i="14"/>
  <c r="P50" i="14" s="1"/>
  <c r="AJ50" i="14" s="1"/>
  <c r="AH32" i="14"/>
  <c r="N50" i="14" s="1"/>
  <c r="AE32" i="14"/>
  <c r="AD32" i="14"/>
  <c r="J50" i="14" s="1"/>
  <c r="AD50" i="14" s="1"/>
  <c r="AC32" i="14"/>
  <c r="I50" i="14" s="1"/>
  <c r="AC50" i="14" s="1"/>
  <c r="Z32" i="14"/>
  <c r="F50" i="14" s="1"/>
  <c r="Z50" i="14" s="1"/>
  <c r="U32" i="14"/>
  <c r="AO32" i="14" s="1"/>
  <c r="U50" i="14" s="1"/>
  <c r="AO50" i="14" s="1"/>
  <c r="N32" i="14"/>
  <c r="M32" i="14"/>
  <c r="AG32" i="14" s="1"/>
  <c r="M50" i="14" s="1"/>
  <c r="B32" i="14"/>
  <c r="B50" i="14" s="1"/>
  <c r="AM31" i="14"/>
  <c r="S49" i="14" s="1"/>
  <c r="AM49" i="14" s="1"/>
  <c r="AL31" i="14"/>
  <c r="R49" i="14" s="1"/>
  <c r="AL49" i="14" s="1"/>
  <c r="AK31" i="14"/>
  <c r="Q49" i="14" s="1"/>
  <c r="AK49" i="14" s="1"/>
  <c r="AJ31" i="14"/>
  <c r="P49" i="14" s="1"/>
  <c r="AJ49" i="14" s="1"/>
  <c r="AH31" i="14"/>
  <c r="N49" i="14" s="1"/>
  <c r="AE31" i="14"/>
  <c r="K49" i="14" s="1"/>
  <c r="AE49" i="14" s="1"/>
  <c r="AD31" i="14"/>
  <c r="J49" i="14" s="1"/>
  <c r="AD49" i="14" s="1"/>
  <c r="AC31" i="14"/>
  <c r="I49" i="14" s="1"/>
  <c r="AC49" i="14" s="1"/>
  <c r="Z31" i="14"/>
  <c r="F49" i="14" s="1"/>
  <c r="Z49" i="14" s="1"/>
  <c r="N31" i="14"/>
  <c r="B31" i="14"/>
  <c r="B49" i="14" s="1"/>
  <c r="AO30" i="14"/>
  <c r="U48" i="14" s="1"/>
  <c r="AO48" i="14" s="1"/>
  <c r="AH30" i="14"/>
  <c r="N48" i="14" s="1"/>
  <c r="AB30" i="14"/>
  <c r="H48" i="14" s="1"/>
  <c r="AB48" i="14" s="1"/>
  <c r="S30" i="14"/>
  <c r="AM30" i="14" s="1"/>
  <c r="S48" i="14" s="1"/>
  <c r="AM48" i="14" s="1"/>
  <c r="O30" i="14"/>
  <c r="AI30" i="14" s="1"/>
  <c r="L30" i="14"/>
  <c r="AF30" i="14" s="1"/>
  <c r="L48" i="14" s="1"/>
  <c r="AF48" i="14" s="1"/>
  <c r="E30" i="14"/>
  <c r="D30" i="14"/>
  <c r="D48" i="14" s="1"/>
  <c r="C30" i="14"/>
  <c r="C48" i="14" s="1"/>
  <c r="B30" i="14"/>
  <c r="B48" i="14" s="1"/>
  <c r="AI29" i="14"/>
  <c r="O47" i="14" s="1"/>
  <c r="AH29" i="14"/>
  <c r="N47" i="14" s="1"/>
  <c r="AA29" i="14"/>
  <c r="G47" i="14" s="1"/>
  <c r="AA47" i="14" s="1"/>
  <c r="Z29" i="14"/>
  <c r="F47" i="14" s="1"/>
  <c r="Z47" i="14" s="1"/>
  <c r="T29" i="14"/>
  <c r="AN29" i="14" s="1"/>
  <c r="T47" i="14" s="1"/>
  <c r="AN47" i="14" s="1"/>
  <c r="P29" i="14"/>
  <c r="N29" i="14"/>
  <c r="K29" i="14"/>
  <c r="AE29" i="14" s="1"/>
  <c r="K47" i="14" s="1"/>
  <c r="AE47" i="14" s="1"/>
  <c r="B29" i="14"/>
  <c r="B47" i="14" s="1"/>
  <c r="Z28" i="14"/>
  <c r="Z46" i="14" s="1"/>
  <c r="Y28" i="14"/>
  <c r="Y46" i="14" s="1"/>
  <c r="F28" i="14"/>
  <c r="F46" i="14" s="1"/>
  <c r="E28" i="14"/>
  <c r="E46" i="14" s="1"/>
  <c r="D28" i="14"/>
  <c r="D46" i="14" s="1"/>
  <c r="AP26" i="14"/>
  <c r="AO26" i="14"/>
  <c r="U44" i="14" s="1"/>
  <c r="AO44" i="14" s="1"/>
  <c r="AN26" i="14"/>
  <c r="T44" i="14" s="1"/>
  <c r="AN44" i="14" s="1"/>
  <c r="AM26" i="14"/>
  <c r="S44" i="14" s="1"/>
  <c r="AM44" i="14" s="1"/>
  <c r="AL26" i="14"/>
  <c r="R44" i="14" s="1"/>
  <c r="AL44" i="14" s="1"/>
  <c r="AK26" i="14"/>
  <c r="Q44" i="14" s="1"/>
  <c r="AK44" i="14" s="1"/>
  <c r="Q62" i="14" s="1"/>
  <c r="AK62" i="14" s="1"/>
  <c r="AJ26" i="14"/>
  <c r="P44" i="14" s="1"/>
  <c r="AJ44" i="14" s="1"/>
  <c r="P62" i="14" s="1"/>
  <c r="AJ62" i="14" s="1"/>
  <c r="AI26" i="14"/>
  <c r="O44" i="14" s="1"/>
  <c r="AH26" i="14"/>
  <c r="N44" i="14" s="1"/>
  <c r="AG26" i="14"/>
  <c r="M44" i="14" s="1"/>
  <c r="AG44" i="14" s="1"/>
  <c r="AF26" i="14"/>
  <c r="L44" i="14" s="1"/>
  <c r="AF44" i="14" s="1"/>
  <c r="AE26" i="14"/>
  <c r="K44" i="14" s="1"/>
  <c r="AE44" i="14" s="1"/>
  <c r="AD26" i="14"/>
  <c r="J44" i="14" s="1"/>
  <c r="AD44" i="14" s="1"/>
  <c r="AC26" i="14"/>
  <c r="I44" i="14" s="1"/>
  <c r="AC44" i="14" s="1"/>
  <c r="I62" i="14" s="1"/>
  <c r="AC62" i="14" s="1"/>
  <c r="AB26" i="14"/>
  <c r="H44" i="14" s="1"/>
  <c r="AB44" i="14" s="1"/>
  <c r="H62" i="14" s="1"/>
  <c r="AB62" i="14" s="1"/>
  <c r="AA26" i="14"/>
  <c r="G44" i="14" s="1"/>
  <c r="AA44" i="14" s="1"/>
  <c r="G62" i="14" s="1"/>
  <c r="AA62" i="14" s="1"/>
  <c r="V26" i="14"/>
  <c r="AO25" i="14"/>
  <c r="U43" i="14" s="1"/>
  <c r="AO43" i="14" s="1"/>
  <c r="AN25" i="14"/>
  <c r="AM25" i="14"/>
  <c r="S43" i="14" s="1"/>
  <c r="AM43" i="14" s="1"/>
  <c r="AL25" i="14"/>
  <c r="R43" i="14" s="1"/>
  <c r="AL43" i="14" s="1"/>
  <c r="AK25" i="14"/>
  <c r="Q43" i="14" s="1"/>
  <c r="AK43" i="14" s="1"/>
  <c r="Q61" i="14" s="1"/>
  <c r="AK61" i="14" s="1"/>
  <c r="AJ25" i="14"/>
  <c r="P43" i="14" s="1"/>
  <c r="AJ43" i="14" s="1"/>
  <c r="P61" i="14" s="1"/>
  <c r="AJ61" i="14" s="1"/>
  <c r="AI25" i="14"/>
  <c r="O43" i="14" s="1"/>
  <c r="AH25" i="14"/>
  <c r="N43" i="14" s="1"/>
  <c r="AG25" i="14"/>
  <c r="M43" i="14" s="1"/>
  <c r="AG43" i="14" s="1"/>
  <c r="AF25" i="14"/>
  <c r="L43" i="14" s="1"/>
  <c r="AF43" i="14" s="1"/>
  <c r="AE25" i="14"/>
  <c r="K43" i="14" s="1"/>
  <c r="AE43" i="14" s="1"/>
  <c r="AD25" i="14"/>
  <c r="J43" i="14" s="1"/>
  <c r="AD43" i="14" s="1"/>
  <c r="AC25" i="14"/>
  <c r="I43" i="14" s="1"/>
  <c r="AC43" i="14" s="1"/>
  <c r="I61" i="14" s="1"/>
  <c r="AC61" i="14" s="1"/>
  <c r="AB25" i="14"/>
  <c r="H43" i="14" s="1"/>
  <c r="AB43" i="14" s="1"/>
  <c r="H61" i="14" s="1"/>
  <c r="AB61" i="14" s="1"/>
  <c r="AA25" i="14"/>
  <c r="G43" i="14" s="1"/>
  <c r="AA43" i="14" s="1"/>
  <c r="G61" i="14" s="1"/>
  <c r="AA61" i="14" s="1"/>
  <c r="V25" i="14"/>
  <c r="AO24" i="14"/>
  <c r="U42" i="14" s="1"/>
  <c r="AO42" i="14" s="1"/>
  <c r="AN24" i="14"/>
  <c r="T42" i="14" s="1"/>
  <c r="AN42" i="14" s="1"/>
  <c r="AM24" i="14"/>
  <c r="S42" i="14" s="1"/>
  <c r="AM42" i="14" s="1"/>
  <c r="AL24" i="14"/>
  <c r="R42" i="14" s="1"/>
  <c r="AL42" i="14" s="1"/>
  <c r="AK24" i="14"/>
  <c r="Q42" i="14" s="1"/>
  <c r="AK42" i="14" s="1"/>
  <c r="Q60" i="14" s="1"/>
  <c r="AK60" i="14" s="1"/>
  <c r="AJ24" i="14"/>
  <c r="P42" i="14" s="1"/>
  <c r="AJ42" i="14" s="1"/>
  <c r="P60" i="14" s="1"/>
  <c r="AJ60" i="14" s="1"/>
  <c r="AI24" i="14"/>
  <c r="O42" i="14" s="1"/>
  <c r="AH24" i="14"/>
  <c r="N42" i="14" s="1"/>
  <c r="AG24" i="14"/>
  <c r="M42" i="14" s="1"/>
  <c r="AG42" i="14" s="1"/>
  <c r="AF24" i="14"/>
  <c r="L42" i="14" s="1"/>
  <c r="AF42" i="14" s="1"/>
  <c r="AE24" i="14"/>
  <c r="K42" i="14" s="1"/>
  <c r="AE42" i="14" s="1"/>
  <c r="AD24" i="14"/>
  <c r="J42" i="14" s="1"/>
  <c r="AD42" i="14" s="1"/>
  <c r="AC24" i="14"/>
  <c r="I42" i="14" s="1"/>
  <c r="AC42" i="14" s="1"/>
  <c r="I60" i="14" s="1"/>
  <c r="AC60" i="14" s="1"/>
  <c r="AB24" i="14"/>
  <c r="H42" i="14" s="1"/>
  <c r="AB42" i="14" s="1"/>
  <c r="H60" i="14" s="1"/>
  <c r="AB60" i="14" s="1"/>
  <c r="AA24" i="14"/>
  <c r="G42" i="14" s="1"/>
  <c r="AA42" i="14" s="1"/>
  <c r="G60" i="14" s="1"/>
  <c r="AA60" i="14" s="1"/>
  <c r="V24" i="14"/>
  <c r="AO23" i="14"/>
  <c r="U41" i="14" s="1"/>
  <c r="AO41" i="14" s="1"/>
  <c r="U59" i="14" s="1"/>
  <c r="AO59" i="14" s="1"/>
  <c r="AN23" i="14"/>
  <c r="T41" i="14" s="1"/>
  <c r="AN41" i="14" s="1"/>
  <c r="AM23" i="14"/>
  <c r="S41" i="14" s="1"/>
  <c r="AM41" i="14" s="1"/>
  <c r="S59" i="14" s="1"/>
  <c r="AM59" i="14" s="1"/>
  <c r="AL23" i="14"/>
  <c r="AK23" i="14"/>
  <c r="Q41" i="14" s="1"/>
  <c r="AK41" i="14" s="1"/>
  <c r="Q59" i="14" s="1"/>
  <c r="AK59" i="14" s="1"/>
  <c r="AJ23" i="14"/>
  <c r="P41" i="14" s="1"/>
  <c r="AJ41" i="14" s="1"/>
  <c r="P59" i="14" s="1"/>
  <c r="AJ59" i="14" s="1"/>
  <c r="AI23" i="14"/>
  <c r="O41" i="14" s="1"/>
  <c r="AI41" i="14" s="1"/>
  <c r="AH23" i="14"/>
  <c r="N41" i="14" s="1"/>
  <c r="AG23" i="14"/>
  <c r="M41" i="14" s="1"/>
  <c r="AG41" i="14" s="1"/>
  <c r="M59" i="14" s="1"/>
  <c r="AF23" i="14"/>
  <c r="L41" i="14" s="1"/>
  <c r="AF41" i="14" s="1"/>
  <c r="L59" i="14" s="1"/>
  <c r="AF59" i="14" s="1"/>
  <c r="AE23" i="14"/>
  <c r="K41" i="14" s="1"/>
  <c r="AE41" i="14" s="1"/>
  <c r="K59" i="14" s="1"/>
  <c r="AE59" i="14" s="1"/>
  <c r="AD23" i="14"/>
  <c r="J41" i="14" s="1"/>
  <c r="AD41" i="14" s="1"/>
  <c r="J59" i="14" s="1"/>
  <c r="AD59" i="14" s="1"/>
  <c r="AC23" i="14"/>
  <c r="I41" i="14" s="1"/>
  <c r="AC41" i="14" s="1"/>
  <c r="I59" i="14" s="1"/>
  <c r="AC59" i="14" s="1"/>
  <c r="AB23" i="14"/>
  <c r="H41" i="14" s="1"/>
  <c r="AA23" i="14"/>
  <c r="G41" i="14" s="1"/>
  <c r="AA41" i="14" s="1"/>
  <c r="G59" i="14" s="1"/>
  <c r="AA59" i="14" s="1"/>
  <c r="V23" i="14"/>
  <c r="N23" i="14"/>
  <c r="AO22" i="14"/>
  <c r="U40" i="14" s="1"/>
  <c r="AO40" i="14" s="1"/>
  <c r="U58" i="14" s="1"/>
  <c r="AO58" i="14" s="1"/>
  <c r="AN22" i="14"/>
  <c r="T40" i="14" s="1"/>
  <c r="AN40" i="14" s="1"/>
  <c r="T58" i="14" s="1"/>
  <c r="AN58" i="14" s="1"/>
  <c r="AM22" i="14"/>
  <c r="S40" i="14" s="1"/>
  <c r="AL22" i="14"/>
  <c r="R40" i="14" s="1"/>
  <c r="AL40" i="14" s="1"/>
  <c r="R58" i="14" s="1"/>
  <c r="AL58" i="14" s="1"/>
  <c r="AK22" i="14"/>
  <c r="Q40" i="14" s="1"/>
  <c r="AK40" i="14" s="1"/>
  <c r="Q58" i="14" s="1"/>
  <c r="AK58" i="14" s="1"/>
  <c r="AJ22" i="14"/>
  <c r="AP22" i="14" s="1"/>
  <c r="AI22" i="14"/>
  <c r="O40" i="14" s="1"/>
  <c r="AH22" i="14"/>
  <c r="N40" i="14" s="1"/>
  <c r="AG22" i="14"/>
  <c r="M40" i="14" s="1"/>
  <c r="AG40" i="14" s="1"/>
  <c r="M58" i="14" s="1"/>
  <c r="AE22" i="14"/>
  <c r="K40" i="14" s="1"/>
  <c r="AE40" i="14" s="1"/>
  <c r="K58" i="14" s="1"/>
  <c r="AE58" i="14" s="1"/>
  <c r="AC22" i="14"/>
  <c r="I40" i="14" s="1"/>
  <c r="AC40" i="14" s="1"/>
  <c r="I58" i="14" s="1"/>
  <c r="AC58" i="14" s="1"/>
  <c r="AB22" i="14"/>
  <c r="H40" i="14" s="1"/>
  <c r="AA22" i="14"/>
  <c r="G40" i="14" s="1"/>
  <c r="AA40" i="14" s="1"/>
  <c r="G58" i="14" s="1"/>
  <c r="AA58" i="14" s="1"/>
  <c r="Z22" i="14"/>
  <c r="F40" i="14" s="1"/>
  <c r="Z40" i="14" s="1"/>
  <c r="F58" i="14" s="1"/>
  <c r="Z58" i="14" s="1"/>
  <c r="V22" i="14"/>
  <c r="N22" i="14"/>
  <c r="AO21" i="14"/>
  <c r="U39" i="14" s="1"/>
  <c r="AO39" i="14" s="1"/>
  <c r="U57" i="14" s="1"/>
  <c r="AO57" i="14" s="1"/>
  <c r="AN21" i="14"/>
  <c r="T39" i="14" s="1"/>
  <c r="AN39" i="14" s="1"/>
  <c r="T57" i="14" s="1"/>
  <c r="AN57" i="14" s="1"/>
  <c r="AM21" i="14"/>
  <c r="S39" i="14" s="1"/>
  <c r="AM39" i="14" s="1"/>
  <c r="S57" i="14" s="1"/>
  <c r="AM57" i="14" s="1"/>
  <c r="AL21" i="14"/>
  <c r="R39" i="14" s="1"/>
  <c r="AL39" i="14" s="1"/>
  <c r="R57" i="14" s="1"/>
  <c r="AL57" i="14" s="1"/>
  <c r="AK21" i="14"/>
  <c r="Q39" i="14" s="1"/>
  <c r="AK39" i="14" s="1"/>
  <c r="Q57" i="14" s="1"/>
  <c r="AK57" i="14" s="1"/>
  <c r="AJ21" i="14"/>
  <c r="P39" i="14" s="1"/>
  <c r="AJ39" i="14" s="1"/>
  <c r="P57" i="14" s="1"/>
  <c r="AJ57" i="14" s="1"/>
  <c r="AI21" i="14"/>
  <c r="O39" i="14" s="1"/>
  <c r="AI39" i="14" s="1"/>
  <c r="AH21" i="14"/>
  <c r="N39" i="14" s="1"/>
  <c r="AG21" i="14"/>
  <c r="M39" i="14" s="1"/>
  <c r="AG39" i="14" s="1"/>
  <c r="M57" i="14" s="1"/>
  <c r="AF21" i="14"/>
  <c r="L39" i="14" s="1"/>
  <c r="AF39" i="14" s="1"/>
  <c r="L57" i="14" s="1"/>
  <c r="AF57" i="14" s="1"/>
  <c r="AE21" i="14"/>
  <c r="K39" i="14" s="1"/>
  <c r="AE39" i="14" s="1"/>
  <c r="K57" i="14" s="1"/>
  <c r="AE57" i="14" s="1"/>
  <c r="AD21" i="14"/>
  <c r="AC21" i="14"/>
  <c r="I39" i="14" s="1"/>
  <c r="AC39" i="14" s="1"/>
  <c r="I57" i="14" s="1"/>
  <c r="AC57" i="14" s="1"/>
  <c r="AB21" i="14"/>
  <c r="H39" i="14" s="1"/>
  <c r="AA21" i="14"/>
  <c r="G39" i="14" s="1"/>
  <c r="AA39" i="14" s="1"/>
  <c r="G57" i="14" s="1"/>
  <c r="AA57" i="14" s="1"/>
  <c r="V21" i="14"/>
  <c r="N21" i="14"/>
  <c r="AO20" i="14"/>
  <c r="U38" i="14" s="1"/>
  <c r="AO38" i="14" s="1"/>
  <c r="U56" i="14" s="1"/>
  <c r="AO56" i="14" s="1"/>
  <c r="AN20" i="14"/>
  <c r="T38" i="14" s="1"/>
  <c r="AN38" i="14" s="1"/>
  <c r="AM20" i="14"/>
  <c r="S38" i="14" s="1"/>
  <c r="AM38" i="14" s="1"/>
  <c r="AL20" i="14"/>
  <c r="R38" i="14" s="1"/>
  <c r="AL38" i="14" s="1"/>
  <c r="R56" i="14" s="1"/>
  <c r="AL56" i="14" s="1"/>
  <c r="AK20" i="14"/>
  <c r="Q38" i="14" s="1"/>
  <c r="AK38" i="14" s="1"/>
  <c r="AJ20" i="14"/>
  <c r="P38" i="14" s="1"/>
  <c r="AJ38" i="14" s="1"/>
  <c r="AI20" i="14"/>
  <c r="O38" i="14" s="1"/>
  <c r="V38" i="14" s="1"/>
  <c r="AH20" i="14"/>
  <c r="N38" i="14" s="1"/>
  <c r="AG20" i="14"/>
  <c r="M38" i="14" s="1"/>
  <c r="AG38" i="14" s="1"/>
  <c r="M56" i="14" s="1"/>
  <c r="AF20" i="14"/>
  <c r="L38" i="14" s="1"/>
  <c r="AF38" i="14" s="1"/>
  <c r="AE20" i="14"/>
  <c r="K38" i="14" s="1"/>
  <c r="AE38" i="14" s="1"/>
  <c r="AD20" i="14"/>
  <c r="AC20" i="14"/>
  <c r="I38" i="14" s="1"/>
  <c r="AC38" i="14" s="1"/>
  <c r="AB20" i="14"/>
  <c r="H38" i="14" s="1"/>
  <c r="AB38" i="14" s="1"/>
  <c r="AA20" i="14"/>
  <c r="G38" i="14" s="1"/>
  <c r="AA38" i="14" s="1"/>
  <c r="G56" i="14" s="1"/>
  <c r="AA56" i="14" s="1"/>
  <c r="V20" i="14"/>
  <c r="AO19" i="14"/>
  <c r="U37" i="14" s="1"/>
  <c r="AO37" i="14" s="1"/>
  <c r="U55" i="14" s="1"/>
  <c r="AO55" i="14" s="1"/>
  <c r="AN19" i="14"/>
  <c r="T37" i="14" s="1"/>
  <c r="AN37" i="14" s="1"/>
  <c r="AM19" i="14"/>
  <c r="S37" i="14" s="1"/>
  <c r="AM37" i="14" s="1"/>
  <c r="AL19" i="14"/>
  <c r="R37" i="14" s="1"/>
  <c r="AL37" i="14" s="1"/>
  <c r="R55" i="14" s="1"/>
  <c r="AL55" i="14" s="1"/>
  <c r="AK19" i="14"/>
  <c r="Q37" i="14" s="1"/>
  <c r="AK37" i="14" s="1"/>
  <c r="AJ19" i="14"/>
  <c r="P37" i="14" s="1"/>
  <c r="AJ37" i="14" s="1"/>
  <c r="AI19" i="14"/>
  <c r="O37" i="14" s="1"/>
  <c r="AH19" i="14"/>
  <c r="N37" i="14" s="1"/>
  <c r="AG19" i="14"/>
  <c r="M37" i="14" s="1"/>
  <c r="AG37" i="14" s="1"/>
  <c r="M55" i="14" s="1"/>
  <c r="AF19" i="14"/>
  <c r="L37" i="14" s="1"/>
  <c r="AF37" i="14" s="1"/>
  <c r="AE19" i="14"/>
  <c r="K37" i="14" s="1"/>
  <c r="AE37" i="14" s="1"/>
  <c r="AD19" i="14"/>
  <c r="J37" i="14" s="1"/>
  <c r="AD37" i="14" s="1"/>
  <c r="J55" i="14" s="1"/>
  <c r="AD55" i="14" s="1"/>
  <c r="AC19" i="14"/>
  <c r="I37" i="14" s="1"/>
  <c r="AC37" i="14" s="1"/>
  <c r="AB19" i="14"/>
  <c r="H37" i="14" s="1"/>
  <c r="AB37" i="14" s="1"/>
  <c r="AA19" i="14"/>
  <c r="G37" i="14" s="1"/>
  <c r="AA37" i="14" s="1"/>
  <c r="G55" i="14" s="1"/>
  <c r="AA55" i="14" s="1"/>
  <c r="V19" i="14"/>
  <c r="AS18" i="14"/>
  <c r="AR18" i="14"/>
  <c r="Z23" i="14" s="1"/>
  <c r="F41" i="14" s="1"/>
  <c r="Z41" i="14" s="1"/>
  <c r="F59" i="14" s="1"/>
  <c r="Z59" i="14" s="1"/>
  <c r="AO18" i="14"/>
  <c r="U36" i="14" s="1"/>
  <c r="AN18" i="14"/>
  <c r="T36" i="14" s="1"/>
  <c r="AN36" i="14" s="1"/>
  <c r="T54" i="14" s="1"/>
  <c r="AN54" i="14" s="1"/>
  <c r="AM18" i="14"/>
  <c r="S36" i="14" s="1"/>
  <c r="AM36" i="14" s="1"/>
  <c r="S54" i="14" s="1"/>
  <c r="AM54" i="14" s="1"/>
  <c r="AL18" i="14"/>
  <c r="R36" i="14" s="1"/>
  <c r="AL36" i="14" s="1"/>
  <c r="R54" i="14" s="1"/>
  <c r="AL54" i="14" s="1"/>
  <c r="AK18" i="14"/>
  <c r="Q36" i="14" s="1"/>
  <c r="AK36" i="14" s="1"/>
  <c r="Q54" i="14" s="1"/>
  <c r="AK54" i="14" s="1"/>
  <c r="AJ18" i="14"/>
  <c r="P36" i="14" s="1"/>
  <c r="AJ36" i="14" s="1"/>
  <c r="P54" i="14" s="1"/>
  <c r="AJ54" i="14" s="1"/>
  <c r="AI18" i="14"/>
  <c r="O36" i="14" s="1"/>
  <c r="AI36" i="14" s="1"/>
  <c r="AH18" i="14"/>
  <c r="N36" i="14" s="1"/>
  <c r="AG18" i="14"/>
  <c r="M36" i="14" s="1"/>
  <c r="AG36" i="14" s="1"/>
  <c r="M54" i="14" s="1"/>
  <c r="AG54" i="14" s="1"/>
  <c r="AF18" i="14"/>
  <c r="L36" i="14" s="1"/>
  <c r="AF36" i="14" s="1"/>
  <c r="L54" i="14" s="1"/>
  <c r="AF54" i="14" s="1"/>
  <c r="AE18" i="14"/>
  <c r="K36" i="14" s="1"/>
  <c r="AE36" i="14" s="1"/>
  <c r="K54" i="14" s="1"/>
  <c r="AE54" i="14" s="1"/>
  <c r="AD18" i="14"/>
  <c r="J36" i="14" s="1"/>
  <c r="AD36" i="14" s="1"/>
  <c r="J54" i="14" s="1"/>
  <c r="AD54" i="14" s="1"/>
  <c r="AC18" i="14"/>
  <c r="I36" i="14" s="1"/>
  <c r="AC36" i="14" s="1"/>
  <c r="I54" i="14" s="1"/>
  <c r="AC54" i="14" s="1"/>
  <c r="AB18" i="14"/>
  <c r="H36" i="14" s="1"/>
  <c r="AB36" i="14" s="1"/>
  <c r="H54" i="14" s="1"/>
  <c r="AB54" i="14" s="1"/>
  <c r="AA18" i="14"/>
  <c r="G36" i="14" s="1"/>
  <c r="AA36" i="14" s="1"/>
  <c r="G54" i="14" s="1"/>
  <c r="AA54" i="14" s="1"/>
  <c r="V18" i="14"/>
  <c r="AS17" i="14"/>
  <c r="AP17" i="14"/>
  <c r="AO17" i="14"/>
  <c r="U35" i="14" s="1"/>
  <c r="AO35" i="14" s="1"/>
  <c r="U53" i="14" s="1"/>
  <c r="AO53" i="14" s="1"/>
  <c r="AN17" i="14"/>
  <c r="AM17" i="14"/>
  <c r="AL17" i="14"/>
  <c r="AK17" i="14"/>
  <c r="AJ17" i="14"/>
  <c r="AI17" i="14"/>
  <c r="O35" i="14" s="1"/>
  <c r="AI35" i="14" s="1"/>
  <c r="O53" i="14" s="1"/>
  <c r="AH17" i="14"/>
  <c r="AG17" i="14"/>
  <c r="M35" i="14" s="1"/>
  <c r="AG35" i="14" s="1"/>
  <c r="M53" i="14" s="1"/>
  <c r="AF17" i="14"/>
  <c r="L35" i="14" s="1"/>
  <c r="AF35" i="14" s="1"/>
  <c r="L53" i="14" s="1"/>
  <c r="AF53" i="14" s="1"/>
  <c r="AE17" i="14"/>
  <c r="AD17" i="14"/>
  <c r="AC17" i="14"/>
  <c r="AB17" i="14"/>
  <c r="AA17" i="14"/>
  <c r="G35" i="14" s="1"/>
  <c r="AA35" i="14" s="1"/>
  <c r="G53" i="14" s="1"/>
  <c r="AA53" i="14" s="1"/>
  <c r="V17" i="14"/>
  <c r="AS16" i="14"/>
  <c r="AO16" i="14"/>
  <c r="AN16" i="14"/>
  <c r="T34" i="14" s="1"/>
  <c r="AN34" i="14" s="1"/>
  <c r="T52" i="14" s="1"/>
  <c r="AN52" i="14" s="1"/>
  <c r="AM16" i="14"/>
  <c r="AL16" i="14"/>
  <c r="AK16" i="14"/>
  <c r="AJ16" i="14"/>
  <c r="AP16" i="14" s="1"/>
  <c r="AI16" i="14"/>
  <c r="O34" i="14" s="1"/>
  <c r="AH16" i="14"/>
  <c r="AG16" i="14"/>
  <c r="AF16" i="14"/>
  <c r="L34" i="14" s="1"/>
  <c r="AF34" i="14" s="1"/>
  <c r="L52" i="14" s="1"/>
  <c r="AF52" i="14" s="1"/>
  <c r="AE16" i="14"/>
  <c r="AD16" i="14"/>
  <c r="AC16" i="14"/>
  <c r="AB16" i="14"/>
  <c r="AA16" i="14"/>
  <c r="G34" i="14" s="1"/>
  <c r="AA34" i="14" s="1"/>
  <c r="G52" i="14" s="1"/>
  <c r="AA52" i="14" s="1"/>
  <c r="V16" i="14"/>
  <c r="AO15" i="14"/>
  <c r="U33" i="14" s="1"/>
  <c r="AO33" i="14" s="1"/>
  <c r="U51" i="14" s="1"/>
  <c r="AO51" i="14" s="1"/>
  <c r="AN15" i="14"/>
  <c r="AM15" i="14"/>
  <c r="AL15" i="14"/>
  <c r="AK15" i="14"/>
  <c r="AJ15" i="14"/>
  <c r="AI15" i="14"/>
  <c r="O33" i="14" s="1"/>
  <c r="AH15" i="14"/>
  <c r="AG15" i="14"/>
  <c r="M33" i="14" s="1"/>
  <c r="AG33" i="14" s="1"/>
  <c r="M51" i="14" s="1"/>
  <c r="AF15" i="14"/>
  <c r="AE15" i="14"/>
  <c r="AD15" i="14"/>
  <c r="AC15" i="14"/>
  <c r="AB15" i="14"/>
  <c r="AA15" i="14"/>
  <c r="G33" i="14" s="1"/>
  <c r="AA33" i="14" s="1"/>
  <c r="G51" i="14" s="1"/>
  <c r="AA51" i="14" s="1"/>
  <c r="V15" i="14"/>
  <c r="AP14" i="14"/>
  <c r="AO14" i="14"/>
  <c r="AN14" i="14"/>
  <c r="T32" i="14" s="1"/>
  <c r="AN32" i="14" s="1"/>
  <c r="T50" i="14" s="1"/>
  <c r="AN50" i="14" s="1"/>
  <c r="AM14" i="14"/>
  <c r="AL14" i="14"/>
  <c r="AK14" i="14"/>
  <c r="AJ14" i="14"/>
  <c r="AI14" i="14"/>
  <c r="O32" i="14" s="1"/>
  <c r="AH14" i="14"/>
  <c r="AG14" i="14"/>
  <c r="AF14" i="14"/>
  <c r="L32" i="14" s="1"/>
  <c r="AF32" i="14" s="1"/>
  <c r="L50" i="14" s="1"/>
  <c r="AF50" i="14" s="1"/>
  <c r="AE14" i="14"/>
  <c r="AD14" i="14"/>
  <c r="AC14" i="14"/>
  <c r="AB14" i="14"/>
  <c r="AA14" i="14"/>
  <c r="G32" i="14" s="1"/>
  <c r="AA32" i="14" s="1"/>
  <c r="G50" i="14" s="1"/>
  <c r="AA50" i="14" s="1"/>
  <c r="V14" i="14"/>
  <c r="AO13" i="14"/>
  <c r="U31" i="14" s="1"/>
  <c r="AO31" i="14" s="1"/>
  <c r="U49" i="14" s="1"/>
  <c r="AO49" i="14" s="1"/>
  <c r="AN13" i="14"/>
  <c r="T31" i="14" s="1"/>
  <c r="AN31" i="14" s="1"/>
  <c r="T49" i="14" s="1"/>
  <c r="AN49" i="14" s="1"/>
  <c r="AM13" i="14"/>
  <c r="AL13" i="14"/>
  <c r="AK13" i="14"/>
  <c r="AJ13" i="14"/>
  <c r="AI13" i="14"/>
  <c r="AP13" i="14" s="1"/>
  <c r="AH13" i="14"/>
  <c r="AG13" i="14"/>
  <c r="M31" i="14" s="1"/>
  <c r="AG31" i="14" s="1"/>
  <c r="M49" i="14" s="1"/>
  <c r="AF13" i="14"/>
  <c r="L31" i="14" s="1"/>
  <c r="AF31" i="14" s="1"/>
  <c r="L49" i="14" s="1"/>
  <c r="AF49" i="14" s="1"/>
  <c r="AE13" i="14"/>
  <c r="AD13" i="14"/>
  <c r="AC13" i="14"/>
  <c r="AB13" i="14"/>
  <c r="AA13" i="14"/>
  <c r="G31" i="14" s="1"/>
  <c r="AA31" i="14" s="1"/>
  <c r="G49" i="14" s="1"/>
  <c r="AA49" i="14" s="1"/>
  <c r="V13" i="14"/>
  <c r="AO12" i="14"/>
  <c r="AN12" i="14"/>
  <c r="T30" i="14" s="1"/>
  <c r="AN30" i="14" s="1"/>
  <c r="T48" i="14" s="1"/>
  <c r="AN48" i="14" s="1"/>
  <c r="AM12" i="14"/>
  <c r="AL12" i="14"/>
  <c r="R30" i="14" s="1"/>
  <c r="AL30" i="14" s="1"/>
  <c r="R48" i="14" s="1"/>
  <c r="AL48" i="14" s="1"/>
  <c r="AK12" i="14"/>
  <c r="Q30" i="14" s="1"/>
  <c r="AK30" i="14" s="1"/>
  <c r="Q48" i="14" s="1"/>
  <c r="AK48" i="14" s="1"/>
  <c r="AJ12" i="14"/>
  <c r="AP12" i="14" s="1"/>
  <c r="AI12" i="14"/>
  <c r="AH12" i="14"/>
  <c r="N30" i="14" s="1"/>
  <c r="AG12" i="14"/>
  <c r="M30" i="14" s="1"/>
  <c r="AG30" i="14" s="1"/>
  <c r="M48" i="14" s="1"/>
  <c r="AE12" i="14"/>
  <c r="K30" i="14" s="1"/>
  <c r="AE30" i="14" s="1"/>
  <c r="K48" i="14" s="1"/>
  <c r="AE48" i="14" s="1"/>
  <c r="AD12" i="14"/>
  <c r="J30" i="14" s="1"/>
  <c r="AD30" i="14" s="1"/>
  <c r="J48" i="14" s="1"/>
  <c r="AD48" i="14" s="1"/>
  <c r="AC12" i="14"/>
  <c r="I30" i="14" s="1"/>
  <c r="AC30" i="14" s="1"/>
  <c r="I48" i="14" s="1"/>
  <c r="AC48" i="14" s="1"/>
  <c r="AB12" i="14"/>
  <c r="H30" i="14" s="1"/>
  <c r="AA12" i="14"/>
  <c r="G30" i="14" s="1"/>
  <c r="AA30" i="14" s="1"/>
  <c r="G48" i="14" s="1"/>
  <c r="AA48" i="14" s="1"/>
  <c r="Z12" i="14"/>
  <c r="F30" i="14" s="1"/>
  <c r="Z30" i="14" s="1"/>
  <c r="F48" i="14" s="1"/>
  <c r="Z48" i="14" s="1"/>
  <c r="V12" i="14"/>
  <c r="AO11" i="14"/>
  <c r="U29" i="14" s="1"/>
  <c r="AO29" i="14" s="1"/>
  <c r="U47" i="14" s="1"/>
  <c r="AO47" i="14" s="1"/>
  <c r="AN11" i="14"/>
  <c r="AM11" i="14"/>
  <c r="S29" i="14" s="1"/>
  <c r="AM29" i="14" s="1"/>
  <c r="S47" i="14" s="1"/>
  <c r="AM47" i="14" s="1"/>
  <c r="AL11" i="14"/>
  <c r="R29" i="14" s="1"/>
  <c r="AL29" i="14" s="1"/>
  <c r="R47" i="14" s="1"/>
  <c r="AL47" i="14" s="1"/>
  <c r="AK11" i="14"/>
  <c r="Q29" i="14" s="1"/>
  <c r="AK29" i="14" s="1"/>
  <c r="Q47" i="14" s="1"/>
  <c r="AK47" i="14" s="1"/>
  <c r="AJ11" i="14"/>
  <c r="AI11" i="14"/>
  <c r="AP11" i="14" s="1"/>
  <c r="AH11" i="14"/>
  <c r="AG11" i="14"/>
  <c r="M29" i="14" s="1"/>
  <c r="AG29" i="14" s="1"/>
  <c r="M47" i="14" s="1"/>
  <c r="AF11" i="14"/>
  <c r="L29" i="14" s="1"/>
  <c r="AF29" i="14" s="1"/>
  <c r="L47" i="14" s="1"/>
  <c r="AF47" i="14" s="1"/>
  <c r="AE11" i="14"/>
  <c r="AD11" i="14"/>
  <c r="J29" i="14" s="1"/>
  <c r="AD29" i="14" s="1"/>
  <c r="J47" i="14" s="1"/>
  <c r="AD47" i="14" s="1"/>
  <c r="AC11" i="14"/>
  <c r="I29" i="14" s="1"/>
  <c r="AC29" i="14" s="1"/>
  <c r="I47" i="14" s="1"/>
  <c r="AC47" i="14" s="1"/>
  <c r="AB11" i="14"/>
  <c r="H29" i="14" s="1"/>
  <c r="AA11" i="14"/>
  <c r="V11" i="14"/>
  <c r="AH9" i="14"/>
  <c r="N9" i="14"/>
  <c r="AS3" i="14"/>
  <c r="AR3" i="14"/>
  <c r="V29" i="14" l="1"/>
  <c r="AI33" i="14"/>
  <c r="V33" i="14"/>
  <c r="AI34" i="14"/>
  <c r="V34" i="14"/>
  <c r="AI32" i="14"/>
  <c r="V32" i="14"/>
  <c r="O54" i="14"/>
  <c r="AP36" i="14"/>
  <c r="AI43" i="14"/>
  <c r="V43" i="14"/>
  <c r="V53" i="14"/>
  <c r="AI53" i="14"/>
  <c r="AP53" i="14" s="1"/>
  <c r="AI37" i="14"/>
  <c r="V37" i="14"/>
  <c r="N27" i="14"/>
  <c r="O48" i="14"/>
  <c r="AJ29" i="14"/>
  <c r="AP15" i="14"/>
  <c r="AP19" i="14"/>
  <c r="Z21" i="14"/>
  <c r="F39" i="14" s="1"/>
  <c r="Z39" i="14" s="1"/>
  <c r="F57" i="14" s="1"/>
  <c r="Z57" i="14" s="1"/>
  <c r="AP21" i="14"/>
  <c r="AP23" i="14"/>
  <c r="AI44" i="14"/>
  <c r="V44" i="14"/>
  <c r="P30" i="14"/>
  <c r="AJ30" i="14" s="1"/>
  <c r="P48" i="14" s="1"/>
  <c r="AJ48" i="14" s="1"/>
  <c r="O31" i="14"/>
  <c r="V35" i="14"/>
  <c r="AP35" i="14"/>
  <c r="V36" i="14"/>
  <c r="AI38" i="14"/>
  <c r="P40" i="14"/>
  <c r="AJ40" i="14" s="1"/>
  <c r="P58" i="14" s="1"/>
  <c r="AJ58" i="14" s="1"/>
  <c r="V41" i="14"/>
  <c r="AP18" i="14"/>
  <c r="AP20" i="14"/>
  <c r="O57" i="14"/>
  <c r="AP39" i="14"/>
  <c r="O59" i="14"/>
  <c r="AP41" i="14"/>
  <c r="AP24" i="14"/>
  <c r="AH27" i="14"/>
  <c r="N45" i="14"/>
  <c r="V30" i="14"/>
  <c r="V40" i="14"/>
  <c r="AI42" i="14"/>
  <c r="V42" i="14"/>
  <c r="AP25" i="14"/>
  <c r="AI47" i="14"/>
  <c r="Z35" i="14"/>
  <c r="F53" i="14" s="1"/>
  <c r="Z53" i="14" s="1"/>
  <c r="AJ34" i="14"/>
  <c r="P52" i="14" s="1"/>
  <c r="AJ52" i="14" s="1"/>
  <c r="V39" i="14"/>
  <c r="AI40" i="14"/>
  <c r="AH45" i="14"/>
  <c r="V31" i="14" l="1"/>
  <c r="AI31" i="14"/>
  <c r="O52" i="14"/>
  <c r="AP34" i="14"/>
  <c r="V59" i="14"/>
  <c r="AI59" i="14"/>
  <c r="AP59" i="14" s="1"/>
  <c r="P47" i="14"/>
  <c r="AP29" i="14"/>
  <c r="O56" i="14"/>
  <c r="AP38" i="14"/>
  <c r="AI54" i="14"/>
  <c r="AP54" i="14" s="1"/>
  <c r="V54" i="14"/>
  <c r="AP30" i="14"/>
  <c r="O55" i="14"/>
  <c r="AP37" i="14"/>
  <c r="O61" i="14"/>
  <c r="AP43" i="14"/>
  <c r="O50" i="14"/>
  <c r="AP32" i="14"/>
  <c r="O51" i="14"/>
  <c r="AP33" i="14"/>
  <c r="O58" i="14"/>
  <c r="AP40" i="14"/>
  <c r="O60" i="14"/>
  <c r="AP42" i="14"/>
  <c r="V57" i="14"/>
  <c r="AI57" i="14"/>
  <c r="AP57" i="14" s="1"/>
  <c r="O62" i="14"/>
  <c r="AP44" i="14"/>
  <c r="V48" i="14"/>
  <c r="AI48" i="14"/>
  <c r="AP48" i="14" s="1"/>
  <c r="AI51" i="14" l="1"/>
  <c r="AP51" i="14" s="1"/>
  <c r="V51" i="14"/>
  <c r="AJ47" i="14"/>
  <c r="AP47" i="14" s="1"/>
  <c r="V47" i="14"/>
  <c r="AI52" i="14"/>
  <c r="AP52" i="14" s="1"/>
  <c r="V52" i="14"/>
  <c r="AI58" i="14"/>
  <c r="AP58" i="14" s="1"/>
  <c r="V58" i="14"/>
  <c r="AI50" i="14"/>
  <c r="AP50" i="14" s="1"/>
  <c r="V50" i="14"/>
  <c r="AI55" i="14"/>
  <c r="AP55" i="14" s="1"/>
  <c r="V55" i="14"/>
  <c r="O49" i="14"/>
  <c r="AP31" i="14"/>
  <c r="AI60" i="14"/>
  <c r="AP60" i="14" s="1"/>
  <c r="V60" i="14"/>
  <c r="AI61" i="14"/>
  <c r="AP61" i="14" s="1"/>
  <c r="V61" i="14"/>
  <c r="V62" i="14"/>
  <c r="AI62" i="14"/>
  <c r="AP62" i="14" s="1"/>
  <c r="AI56" i="14"/>
  <c r="AP56" i="14" s="1"/>
  <c r="V56" i="14"/>
  <c r="AI49" i="14" l="1"/>
  <c r="AP49" i="14" s="1"/>
  <c r="V49" i="14"/>
  <c r="K9" i="9" l="1"/>
  <c r="O4" i="12" l="1"/>
  <c r="Q4" i="12"/>
  <c r="O5" i="12"/>
  <c r="S5" i="12"/>
  <c r="P5" i="12"/>
  <c r="O11" i="12"/>
  <c r="P11" i="12"/>
  <c r="O13" i="12"/>
  <c r="P13" i="12"/>
  <c r="Q8" i="12"/>
  <c r="O10" i="12"/>
  <c r="P10" i="12"/>
  <c r="S9" i="12"/>
  <c r="P9" i="12"/>
  <c r="E3" i="12"/>
  <c r="P7" i="12" s="1"/>
  <c r="G3" i="12"/>
  <c r="R7" i="12" s="1"/>
  <c r="O7" i="12"/>
  <c r="R11" i="12" l="1"/>
  <c r="S11" i="12"/>
  <c r="R10" i="12"/>
  <c r="S10" i="12"/>
  <c r="R13" i="12"/>
  <c r="S13" i="12"/>
  <c r="O8" i="12"/>
  <c r="R9" i="12"/>
  <c r="P4" i="12"/>
  <c r="P8" i="12"/>
  <c r="R5" i="12"/>
  <c r="O9" i="12"/>
  <c r="S8" i="12"/>
  <c r="S4" i="12"/>
  <c r="P18" i="12"/>
  <c r="R8" i="12"/>
  <c r="R4" i="12"/>
  <c r="Q11" i="12"/>
  <c r="Q13" i="12"/>
  <c r="Q9" i="12"/>
  <c r="I3" i="12"/>
  <c r="H3" i="12"/>
  <c r="S7" i="12" s="1"/>
  <c r="F3" i="12"/>
  <c r="Q7" i="12" s="1"/>
  <c r="C4" i="2"/>
  <c r="C7" i="2"/>
  <c r="Q10" i="12" l="1"/>
  <c r="Q5" i="12"/>
  <c r="P14" i="12"/>
  <c r="P19" i="12"/>
  <c r="P20" i="12" s="1"/>
  <c r="J3" i="12"/>
  <c r="Q18" i="12"/>
  <c r="Q19" i="12" s="1"/>
  <c r="Q20" i="12" s="1"/>
  <c r="P16" i="12"/>
  <c r="P17" i="12" s="1"/>
  <c r="Z17" i="3"/>
  <c r="AB17" i="3" s="1"/>
  <c r="AK6" i="3"/>
  <c r="AK7" i="3"/>
  <c r="T7" i="3"/>
  <c r="AK8" i="3"/>
  <c r="AK9" i="3"/>
  <c r="T9" i="3"/>
  <c r="AK10" i="3"/>
  <c r="AK14" i="3"/>
  <c r="AK15" i="3"/>
  <c r="AK16" i="3"/>
  <c r="BU16" i="3"/>
  <c r="AM82" i="7"/>
  <c r="AL82" i="7"/>
  <c r="AI82" i="7"/>
  <c r="AF82" i="7"/>
  <c r="AD82" i="7"/>
  <c r="AA82" i="7"/>
  <c r="M82" i="7"/>
  <c r="AM81" i="7"/>
  <c r="AL81" i="7"/>
  <c r="AI81" i="7"/>
  <c r="AF81" i="7"/>
  <c r="AD81" i="7"/>
  <c r="AA81" i="7"/>
  <c r="M81" i="7"/>
  <c r="AF80" i="7"/>
  <c r="AF79" i="7"/>
  <c r="AE79" i="7"/>
  <c r="AE80" i="7" s="1"/>
  <c r="AF78" i="7"/>
  <c r="AF77" i="7"/>
  <c r="AF76" i="7"/>
  <c r="AQ75" i="7"/>
  <c r="AQ76" i="7" s="1"/>
  <c r="AF75" i="7"/>
  <c r="AF74" i="7"/>
  <c r="K74" i="7"/>
  <c r="AD74" i="7" s="1"/>
  <c r="G74" i="7"/>
  <c r="Z74" i="7" s="1"/>
  <c r="C74" i="7"/>
  <c r="B74" i="7"/>
  <c r="AL73" i="7"/>
  <c r="AF73" i="7"/>
  <c r="G73" i="7"/>
  <c r="Z73" i="7" s="1"/>
  <c r="C73" i="7"/>
  <c r="B73" i="7"/>
  <c r="AL72" i="7"/>
  <c r="AF72" i="7"/>
  <c r="Z72" i="7"/>
  <c r="W72" i="7"/>
  <c r="G72" i="7"/>
  <c r="C72" i="7"/>
  <c r="B72" i="7"/>
  <c r="AK71" i="7"/>
  <c r="AF71" i="7"/>
  <c r="G71" i="7"/>
  <c r="Z71" i="7" s="1"/>
  <c r="C71" i="7"/>
  <c r="B71" i="7"/>
  <c r="AL70" i="7"/>
  <c r="AI70" i="7"/>
  <c r="AH70" i="7"/>
  <c r="AF70" i="7"/>
  <c r="AD70" i="7"/>
  <c r="AA70" i="7"/>
  <c r="Z70" i="7"/>
  <c r="X70" i="7"/>
  <c r="W70" i="7"/>
  <c r="M70" i="7"/>
  <c r="AL69" i="7"/>
  <c r="AI69" i="7"/>
  <c r="AH69" i="7"/>
  <c r="AF69" i="7"/>
  <c r="AD69" i="7"/>
  <c r="AA69" i="7"/>
  <c r="Z69" i="7"/>
  <c r="X69" i="7"/>
  <c r="W69" i="7"/>
  <c r="M69" i="7"/>
  <c r="AL68" i="7"/>
  <c r="AI68" i="7"/>
  <c r="AH68" i="7"/>
  <c r="AF68" i="7"/>
  <c r="AF65" i="7" s="1"/>
  <c r="AD68" i="7"/>
  <c r="AA68" i="7"/>
  <c r="Z68" i="7"/>
  <c r="X68" i="7"/>
  <c r="W68" i="7"/>
  <c r="M68" i="7"/>
  <c r="AM67" i="7"/>
  <c r="AH67" i="7"/>
  <c r="AG67" i="7"/>
  <c r="AF67" i="7"/>
  <c r="AE67" i="7"/>
  <c r="AE81" i="7" s="1"/>
  <c r="AE82" i="7" s="1"/>
  <c r="Z67" i="7"/>
  <c r="Y67" i="7"/>
  <c r="X67" i="7"/>
  <c r="W67" i="7"/>
  <c r="M67" i="7"/>
  <c r="AF62" i="7"/>
  <c r="M80" i="7" s="1"/>
  <c r="Z62" i="7"/>
  <c r="G80" i="7" s="1"/>
  <c r="Z80" i="7" s="1"/>
  <c r="AF61" i="7"/>
  <c r="M79" i="7" s="1"/>
  <c r="Z61" i="7"/>
  <c r="G79" i="7" s="1"/>
  <c r="Z79" i="7" s="1"/>
  <c r="S61" i="7"/>
  <c r="AL61" i="7" s="1"/>
  <c r="S79" i="7" s="1"/>
  <c r="AL79" i="7" s="1"/>
  <c r="K61" i="7"/>
  <c r="AD61" i="7" s="1"/>
  <c r="K79" i="7" s="1"/>
  <c r="AD79" i="7" s="1"/>
  <c r="H61" i="7"/>
  <c r="AA61" i="7" s="1"/>
  <c r="H79" i="7" s="1"/>
  <c r="AA79" i="7" s="1"/>
  <c r="AF60" i="7"/>
  <c r="M78" i="7" s="1"/>
  <c r="AA60" i="7"/>
  <c r="H78" i="7" s="1"/>
  <c r="AA78" i="7" s="1"/>
  <c r="Z60" i="7"/>
  <c r="G78" i="7" s="1"/>
  <c r="Z78" i="7" s="1"/>
  <c r="H60" i="7"/>
  <c r="AL59" i="7"/>
  <c r="S77" i="7" s="1"/>
  <c r="AL77" i="7" s="1"/>
  <c r="AF59" i="7"/>
  <c r="M77" i="7" s="1"/>
  <c r="AD59" i="7"/>
  <c r="K77" i="7" s="1"/>
  <c r="AD77" i="7" s="1"/>
  <c r="Z59" i="7"/>
  <c r="G77" i="7" s="1"/>
  <c r="Z77" i="7" s="1"/>
  <c r="T59" i="7"/>
  <c r="AM59" i="7" s="1"/>
  <c r="T77" i="7" s="1"/>
  <c r="AM77" i="7" s="1"/>
  <c r="S59" i="7"/>
  <c r="P59" i="7"/>
  <c r="AI59" i="7" s="1"/>
  <c r="P77" i="7" s="1"/>
  <c r="AI77" i="7" s="1"/>
  <c r="K59" i="7"/>
  <c r="H59" i="7"/>
  <c r="AA59" i="7" s="1"/>
  <c r="H77" i="7" s="1"/>
  <c r="AA77" i="7" s="1"/>
  <c r="C59" i="7"/>
  <c r="C77" i="7" s="1"/>
  <c r="B59" i="7"/>
  <c r="B77" i="7" s="1"/>
  <c r="AI58" i="7"/>
  <c r="P76" i="7" s="1"/>
  <c r="AI76" i="7" s="1"/>
  <c r="AF58" i="7"/>
  <c r="M76" i="7" s="1"/>
  <c r="AA58" i="7"/>
  <c r="H76" i="7" s="1"/>
  <c r="AA76" i="7" s="1"/>
  <c r="Z58" i="7"/>
  <c r="G76" i="7" s="1"/>
  <c r="Z76" i="7" s="1"/>
  <c r="S58" i="7"/>
  <c r="AL58" i="7" s="1"/>
  <c r="S76" i="7" s="1"/>
  <c r="AL76" i="7" s="1"/>
  <c r="P58" i="7"/>
  <c r="K58" i="7"/>
  <c r="AD58" i="7" s="1"/>
  <c r="K76" i="7" s="1"/>
  <c r="AD76" i="7" s="1"/>
  <c r="H58" i="7"/>
  <c r="C58" i="7"/>
  <c r="C76" i="7" s="1"/>
  <c r="B58" i="7"/>
  <c r="B76" i="7" s="1"/>
  <c r="AL57" i="7"/>
  <c r="S75" i="7" s="1"/>
  <c r="AL75" i="7" s="1"/>
  <c r="AG57" i="7"/>
  <c r="AF57" i="7"/>
  <c r="M75" i="7" s="1"/>
  <c r="AD57" i="7"/>
  <c r="K75" i="7" s="1"/>
  <c r="AD75" i="7" s="1"/>
  <c r="Z57" i="7"/>
  <c r="G75" i="7" s="1"/>
  <c r="Z75" i="7" s="1"/>
  <c r="S57" i="7"/>
  <c r="P57" i="7"/>
  <c r="AI57" i="7" s="1"/>
  <c r="P75" i="7" s="1"/>
  <c r="AI75" i="7" s="1"/>
  <c r="K57" i="7"/>
  <c r="H57" i="7"/>
  <c r="AA57" i="7" s="1"/>
  <c r="H75" i="7" s="1"/>
  <c r="AA75" i="7" s="1"/>
  <c r="D57" i="7"/>
  <c r="W57" i="7" s="1"/>
  <c r="D75" i="7" s="1"/>
  <c r="W75" i="7" s="1"/>
  <c r="C57" i="7"/>
  <c r="C75" i="7" s="1"/>
  <c r="B57" i="7"/>
  <c r="B75" i="7" s="1"/>
  <c r="AL56" i="7"/>
  <c r="S74" i="7" s="1"/>
  <c r="AL74" i="7" s="1"/>
  <c r="AI56" i="7"/>
  <c r="P74" i="7" s="1"/>
  <c r="AI74" i="7" s="1"/>
  <c r="AH56" i="7"/>
  <c r="O74" i="7" s="1"/>
  <c r="AH74" i="7" s="1"/>
  <c r="AF56" i="7"/>
  <c r="M74" i="7" s="1"/>
  <c r="AD56" i="7"/>
  <c r="AA56" i="7"/>
  <c r="H74" i="7" s="1"/>
  <c r="AA74" i="7" s="1"/>
  <c r="W56" i="7"/>
  <c r="D74" i="7" s="1"/>
  <c r="W74" i="7" s="1"/>
  <c r="M56" i="7"/>
  <c r="AQ55" i="7"/>
  <c r="AQ56" i="7" s="1"/>
  <c r="AL55" i="7"/>
  <c r="S73" i="7" s="1"/>
  <c r="AI55" i="7"/>
  <c r="P73" i="7" s="1"/>
  <c r="AI73" i="7" s="1"/>
  <c r="AH55" i="7"/>
  <c r="O73" i="7" s="1"/>
  <c r="AH73" i="7" s="1"/>
  <c r="AF55" i="7"/>
  <c r="AD55" i="7"/>
  <c r="K73" i="7" s="1"/>
  <c r="AD73" i="7" s="1"/>
  <c r="AA55" i="7"/>
  <c r="H73" i="7" s="1"/>
  <c r="AA73" i="7" s="1"/>
  <c r="W55" i="7"/>
  <c r="D73" i="7" s="1"/>
  <c r="W73" i="7" s="1"/>
  <c r="M55" i="7"/>
  <c r="AL54" i="7"/>
  <c r="S72" i="7" s="1"/>
  <c r="AI54" i="7"/>
  <c r="P72" i="7" s="1"/>
  <c r="AI72" i="7" s="1"/>
  <c r="AH54" i="7"/>
  <c r="O72" i="7" s="1"/>
  <c r="AH72" i="7" s="1"/>
  <c r="AF54" i="7"/>
  <c r="M72" i="7" s="1"/>
  <c r="AD54" i="7"/>
  <c r="K72" i="7" s="1"/>
  <c r="AD72" i="7" s="1"/>
  <c r="AA54" i="7"/>
  <c r="H72" i="7" s="1"/>
  <c r="AA72" i="7" s="1"/>
  <c r="W54" i="7"/>
  <c r="D72" i="7" s="1"/>
  <c r="M54" i="7"/>
  <c r="AL53" i="7"/>
  <c r="S71" i="7" s="1"/>
  <c r="AL71" i="7" s="1"/>
  <c r="AI53" i="7"/>
  <c r="P71" i="7" s="1"/>
  <c r="AI71" i="7" s="1"/>
  <c r="AH53" i="7"/>
  <c r="O71" i="7" s="1"/>
  <c r="AH71" i="7" s="1"/>
  <c r="AF53" i="7"/>
  <c r="M71" i="7" s="1"/>
  <c r="AD53" i="7"/>
  <c r="K71" i="7" s="1"/>
  <c r="AD71" i="7" s="1"/>
  <c r="AA53" i="7"/>
  <c r="H71" i="7" s="1"/>
  <c r="AA71" i="7" s="1"/>
  <c r="W53" i="7"/>
  <c r="D71" i="7" s="1"/>
  <c r="W71" i="7" s="1"/>
  <c r="M53" i="7"/>
  <c r="AM50" i="7"/>
  <c r="T68" i="7" s="1"/>
  <c r="AM68" i="7" s="1"/>
  <c r="AM46" i="7"/>
  <c r="T64" i="7" s="1"/>
  <c r="AM64" i="7" s="1"/>
  <c r="AK46" i="7"/>
  <c r="R64" i="7" s="1"/>
  <c r="AK64" i="7" s="1"/>
  <c r="R82" i="7" s="1"/>
  <c r="AK82" i="7" s="1"/>
  <c r="AI46" i="7"/>
  <c r="P64" i="7" s="1"/>
  <c r="AI64" i="7" s="1"/>
  <c r="AG46" i="7"/>
  <c r="N64" i="7" s="1"/>
  <c r="AG64" i="7" s="1"/>
  <c r="T46" i="7"/>
  <c r="S46" i="7"/>
  <c r="AL46" i="7" s="1"/>
  <c r="S64" i="7" s="1"/>
  <c r="AL64" i="7" s="1"/>
  <c r="R46" i="7"/>
  <c r="Q46" i="7"/>
  <c r="AJ46" i="7" s="1"/>
  <c r="Q64" i="7" s="1"/>
  <c r="AJ64" i="7" s="1"/>
  <c r="Q82" i="7" s="1"/>
  <c r="AJ82" i="7" s="1"/>
  <c r="P46" i="7"/>
  <c r="O46" i="7"/>
  <c r="AH46" i="7" s="1"/>
  <c r="O64" i="7" s="1"/>
  <c r="AH64" i="7" s="1"/>
  <c r="O82" i="7" s="1"/>
  <c r="AH82" i="7" s="1"/>
  <c r="N46" i="7"/>
  <c r="AM45" i="7"/>
  <c r="T63" i="7" s="1"/>
  <c r="AM63" i="7" s="1"/>
  <c r="AK45" i="7"/>
  <c r="R63" i="7" s="1"/>
  <c r="AK63" i="7" s="1"/>
  <c r="R81" i="7" s="1"/>
  <c r="AK81" i="7" s="1"/>
  <c r="AI45" i="7"/>
  <c r="P63" i="7" s="1"/>
  <c r="AI63" i="7" s="1"/>
  <c r="AG45" i="7"/>
  <c r="N63" i="7" s="1"/>
  <c r="T45" i="7"/>
  <c r="S45" i="7"/>
  <c r="AL45" i="7" s="1"/>
  <c r="S63" i="7" s="1"/>
  <c r="AL63" i="7" s="1"/>
  <c r="R45" i="7"/>
  <c r="Q45" i="7"/>
  <c r="AJ45" i="7" s="1"/>
  <c r="Q63" i="7" s="1"/>
  <c r="AJ63" i="7" s="1"/>
  <c r="Q81" i="7" s="1"/>
  <c r="AJ81" i="7" s="1"/>
  <c r="P45" i="7"/>
  <c r="O45" i="7"/>
  <c r="AH45" i="7" s="1"/>
  <c r="O63" i="7" s="1"/>
  <c r="AH63" i="7" s="1"/>
  <c r="O81" i="7" s="1"/>
  <c r="AH81" i="7" s="1"/>
  <c r="N45" i="7"/>
  <c r="J45" i="7"/>
  <c r="AC45" i="7" s="1"/>
  <c r="J63" i="7" s="1"/>
  <c r="AC63" i="7" s="1"/>
  <c r="J81" i="7" s="1"/>
  <c r="AC81" i="7" s="1"/>
  <c r="F45" i="7"/>
  <c r="Y45" i="7" s="1"/>
  <c r="F63" i="7" s="1"/>
  <c r="Y63" i="7" s="1"/>
  <c r="F81" i="7" s="1"/>
  <c r="Y81" i="7" s="1"/>
  <c r="AL44" i="7"/>
  <c r="S62" i="7" s="1"/>
  <c r="AL62" i="7" s="1"/>
  <c r="S80" i="7" s="1"/>
  <c r="AL80" i="7" s="1"/>
  <c r="AF44" i="7"/>
  <c r="M62" i="7" s="1"/>
  <c r="AC44" i="7"/>
  <c r="J62" i="7" s="1"/>
  <c r="AC62" i="7" s="1"/>
  <c r="J80" i="7" s="1"/>
  <c r="AC80" i="7" s="1"/>
  <c r="AA44" i="7"/>
  <c r="H62" i="7" s="1"/>
  <c r="AA62" i="7" s="1"/>
  <c r="H80" i="7" s="1"/>
  <c r="AA80" i="7" s="1"/>
  <c r="T44" i="7"/>
  <c r="AM44" i="7" s="1"/>
  <c r="T62" i="7" s="1"/>
  <c r="AM62" i="7" s="1"/>
  <c r="T80" i="7" s="1"/>
  <c r="AM80" i="7" s="1"/>
  <c r="P44" i="7"/>
  <c r="AI44" i="7" s="1"/>
  <c r="P62" i="7" s="1"/>
  <c r="AI62" i="7" s="1"/>
  <c r="P80" i="7" s="1"/>
  <c r="AI80" i="7" s="1"/>
  <c r="L44" i="7"/>
  <c r="AE44" i="7" s="1"/>
  <c r="L62" i="7" s="1"/>
  <c r="AE62" i="7" s="1"/>
  <c r="L80" i="7" s="1"/>
  <c r="J44" i="7"/>
  <c r="H44" i="7"/>
  <c r="D44" i="7"/>
  <c r="W44" i="7" s="1"/>
  <c r="D62" i="7" s="1"/>
  <c r="W62" i="7" s="1"/>
  <c r="D80" i="7" s="1"/>
  <c r="C44" i="7"/>
  <c r="C62" i="7" s="1"/>
  <c r="C80" i="7" s="1"/>
  <c r="B44" i="7"/>
  <c r="B62" i="7" s="1"/>
  <c r="B80" i="7" s="1"/>
  <c r="AF43" i="7"/>
  <c r="M61" i="7" s="1"/>
  <c r="S43" i="7"/>
  <c r="O43" i="7"/>
  <c r="AH43" i="7" s="1"/>
  <c r="O61" i="7" s="1"/>
  <c r="AH61" i="7" s="1"/>
  <c r="O79" i="7" s="1"/>
  <c r="AH79" i="7" s="1"/>
  <c r="K43" i="7"/>
  <c r="I43" i="7"/>
  <c r="AB43" i="7" s="1"/>
  <c r="I61" i="7" s="1"/>
  <c r="AB61" i="7" s="1"/>
  <c r="I79" i="7" s="1"/>
  <c r="AB79" i="7" s="1"/>
  <c r="C43" i="7"/>
  <c r="C61" i="7" s="1"/>
  <c r="C79" i="7" s="1"/>
  <c r="B43" i="7"/>
  <c r="B61" i="7" s="1"/>
  <c r="B79" i="7" s="1"/>
  <c r="AL42" i="7"/>
  <c r="S60" i="7" s="1"/>
  <c r="AL60" i="7" s="1"/>
  <c r="S78" i="7" s="1"/>
  <c r="AL78" i="7" s="1"/>
  <c r="AF42" i="7"/>
  <c r="M60" i="7" s="1"/>
  <c r="AD42" i="7"/>
  <c r="K60" i="7" s="1"/>
  <c r="AD60" i="7" s="1"/>
  <c r="K78" i="7" s="1"/>
  <c r="AD78" i="7" s="1"/>
  <c r="AB42" i="7"/>
  <c r="I60" i="7" s="1"/>
  <c r="AB60" i="7" s="1"/>
  <c r="I78" i="7" s="1"/>
  <c r="AB78" i="7" s="1"/>
  <c r="T42" i="7"/>
  <c r="AM42" i="7" s="1"/>
  <c r="T60" i="7" s="1"/>
  <c r="AM60" i="7" s="1"/>
  <c r="T78" i="7" s="1"/>
  <c r="AM78" i="7" s="1"/>
  <c r="P42" i="7"/>
  <c r="AI42" i="7" s="1"/>
  <c r="P60" i="7" s="1"/>
  <c r="AI60" i="7" s="1"/>
  <c r="P78" i="7" s="1"/>
  <c r="AI78" i="7" s="1"/>
  <c r="L42" i="7"/>
  <c r="AE42" i="7" s="1"/>
  <c r="L60" i="7" s="1"/>
  <c r="AE60" i="7" s="1"/>
  <c r="L78" i="7" s="1"/>
  <c r="I42" i="7"/>
  <c r="H42" i="7"/>
  <c r="D42" i="7"/>
  <c r="W42" i="7" s="1"/>
  <c r="D60" i="7" s="1"/>
  <c r="W60" i="7" s="1"/>
  <c r="D78" i="7" s="1"/>
  <c r="C42" i="7"/>
  <c r="C60" i="7" s="1"/>
  <c r="C78" i="7" s="1"/>
  <c r="B42" i="7"/>
  <c r="B60" i="7" s="1"/>
  <c r="B78" i="7" s="1"/>
  <c r="AM41" i="7"/>
  <c r="AK41" i="7"/>
  <c r="R59" i="7" s="1"/>
  <c r="AK59" i="7" s="1"/>
  <c r="R77" i="7" s="1"/>
  <c r="AK77" i="7" s="1"/>
  <c r="AH41" i="7"/>
  <c r="O59" i="7" s="1"/>
  <c r="AH59" i="7" s="1"/>
  <c r="O77" i="7" s="1"/>
  <c r="AH77" i="7" s="1"/>
  <c r="AG41" i="7"/>
  <c r="N59" i="7" s="1"/>
  <c r="AG59" i="7" s="1"/>
  <c r="Z41" i="7"/>
  <c r="G59" i="7" s="1"/>
  <c r="W41" i="7"/>
  <c r="D59" i="7" s="1"/>
  <c r="W59" i="7" s="1"/>
  <c r="D77" i="7" s="1"/>
  <c r="W77" i="7" s="1"/>
  <c r="T41" i="7"/>
  <c r="S41" i="7"/>
  <c r="R41" i="7"/>
  <c r="Q41" i="7"/>
  <c r="U41" i="7" s="1"/>
  <c r="N41" i="7"/>
  <c r="M41" i="7"/>
  <c r="AM40" i="7"/>
  <c r="T58" i="7" s="1"/>
  <c r="AM58" i="7" s="1"/>
  <c r="T76" i="7" s="1"/>
  <c r="AM76" i="7" s="1"/>
  <c r="AK40" i="7"/>
  <c r="R58" i="7" s="1"/>
  <c r="AK58" i="7" s="1"/>
  <c r="R76" i="7" s="1"/>
  <c r="AK76" i="7" s="1"/>
  <c r="AH40" i="7"/>
  <c r="O58" i="7" s="1"/>
  <c r="AH58" i="7" s="1"/>
  <c r="O76" i="7" s="1"/>
  <c r="AH76" i="7" s="1"/>
  <c r="AG40" i="7"/>
  <c r="N58" i="7" s="1"/>
  <c r="Z40" i="7"/>
  <c r="G58" i="7" s="1"/>
  <c r="W40" i="7"/>
  <c r="D58" i="7" s="1"/>
  <c r="W58" i="7" s="1"/>
  <c r="D76" i="7" s="1"/>
  <c r="W76" i="7" s="1"/>
  <c r="T40" i="7"/>
  <c r="S40" i="7"/>
  <c r="R40" i="7"/>
  <c r="Q40" i="7"/>
  <c r="U40" i="7" s="1"/>
  <c r="N40" i="7"/>
  <c r="M40" i="7"/>
  <c r="I40" i="7"/>
  <c r="AB40" i="7" s="1"/>
  <c r="I58" i="7" s="1"/>
  <c r="AB58" i="7" s="1"/>
  <c r="I76" i="7" s="1"/>
  <c r="AB76" i="7" s="1"/>
  <c r="AM39" i="7"/>
  <c r="T57" i="7" s="1"/>
  <c r="AM57" i="7" s="1"/>
  <c r="T75" i="7" s="1"/>
  <c r="AM75" i="7" s="1"/>
  <c r="AK39" i="7"/>
  <c r="R57" i="7" s="1"/>
  <c r="AK57" i="7" s="1"/>
  <c r="R75" i="7" s="1"/>
  <c r="AK75" i="7" s="1"/>
  <c r="AH39" i="7"/>
  <c r="O57" i="7" s="1"/>
  <c r="AH57" i="7" s="1"/>
  <c r="O75" i="7" s="1"/>
  <c r="AH75" i="7" s="1"/>
  <c r="AG39" i="7"/>
  <c r="N57" i="7" s="1"/>
  <c r="AF39" i="7"/>
  <c r="M57" i="7" s="1"/>
  <c r="Z39" i="7"/>
  <c r="G57" i="7" s="1"/>
  <c r="W39" i="7"/>
  <c r="T39" i="7"/>
  <c r="S39" i="7"/>
  <c r="R39" i="7"/>
  <c r="Q39" i="7"/>
  <c r="U39" i="7" s="1"/>
  <c r="N39" i="7"/>
  <c r="M39" i="7"/>
  <c r="I39" i="7"/>
  <c r="AB39" i="7" s="1"/>
  <c r="I57" i="7" s="1"/>
  <c r="AB57" i="7" s="1"/>
  <c r="I75" i="7" s="1"/>
  <c r="AB75" i="7" s="1"/>
  <c r="AS38" i="7"/>
  <c r="AQ38" i="7"/>
  <c r="AT38" i="7" s="1"/>
  <c r="AT39" i="7" s="1"/>
  <c r="AT40" i="7" s="1"/>
  <c r="AT41" i="7" s="1"/>
  <c r="AM38" i="7"/>
  <c r="T56" i="7" s="1"/>
  <c r="AM56" i="7" s="1"/>
  <c r="T74" i="7" s="1"/>
  <c r="AM74" i="7" s="1"/>
  <c r="AK38" i="7"/>
  <c r="R56" i="7" s="1"/>
  <c r="AK56" i="7" s="1"/>
  <c r="R74" i="7" s="1"/>
  <c r="AK74" i="7" s="1"/>
  <c r="AI38" i="7"/>
  <c r="AG38" i="7"/>
  <c r="N56" i="7" s="1"/>
  <c r="T38" i="7"/>
  <c r="S38" i="7"/>
  <c r="AL38" i="7" s="1"/>
  <c r="R38" i="7"/>
  <c r="Q38" i="7"/>
  <c r="AJ38" i="7" s="1"/>
  <c r="Q56" i="7" s="1"/>
  <c r="AJ56" i="7" s="1"/>
  <c r="Q74" i="7" s="1"/>
  <c r="AJ74" i="7" s="1"/>
  <c r="P38" i="7"/>
  <c r="O38" i="7"/>
  <c r="AH38" i="7" s="1"/>
  <c r="N38" i="7"/>
  <c r="AM37" i="7"/>
  <c r="T55" i="7" s="1"/>
  <c r="AM55" i="7" s="1"/>
  <c r="T73" i="7" s="1"/>
  <c r="AM73" i="7" s="1"/>
  <c r="AK37" i="7"/>
  <c r="R55" i="7" s="1"/>
  <c r="AK55" i="7" s="1"/>
  <c r="R73" i="7" s="1"/>
  <c r="AK73" i="7" s="1"/>
  <c r="AI37" i="7"/>
  <c r="AG37" i="7"/>
  <c r="N55" i="7" s="1"/>
  <c r="T37" i="7"/>
  <c r="S37" i="7"/>
  <c r="AL37" i="7" s="1"/>
  <c r="R37" i="7"/>
  <c r="Q37" i="7"/>
  <c r="AJ37" i="7" s="1"/>
  <c r="Q55" i="7" s="1"/>
  <c r="AJ55" i="7" s="1"/>
  <c r="Q73" i="7" s="1"/>
  <c r="AJ73" i="7" s="1"/>
  <c r="P37" i="7"/>
  <c r="O37" i="7"/>
  <c r="AH37" i="7" s="1"/>
  <c r="N37" i="7"/>
  <c r="J37" i="7"/>
  <c r="AC37" i="7" s="1"/>
  <c r="J55" i="7" s="1"/>
  <c r="AC55" i="7" s="1"/>
  <c r="J73" i="7" s="1"/>
  <c r="AC73" i="7" s="1"/>
  <c r="F37" i="7"/>
  <c r="Y37" i="7" s="1"/>
  <c r="F55" i="7" s="1"/>
  <c r="Y55" i="7" s="1"/>
  <c r="F73" i="7" s="1"/>
  <c r="Y73" i="7" s="1"/>
  <c r="AM36" i="7"/>
  <c r="T54" i="7" s="1"/>
  <c r="AM54" i="7" s="1"/>
  <c r="T72" i="7" s="1"/>
  <c r="AM72" i="7" s="1"/>
  <c r="AK36" i="7"/>
  <c r="R54" i="7" s="1"/>
  <c r="AK54" i="7" s="1"/>
  <c r="R72" i="7" s="1"/>
  <c r="AK72" i="7" s="1"/>
  <c r="AI36" i="7"/>
  <c r="AG36" i="7"/>
  <c r="T36" i="7"/>
  <c r="S36" i="7"/>
  <c r="AL36" i="7" s="1"/>
  <c r="R36" i="7"/>
  <c r="Q36" i="7"/>
  <c r="AJ36" i="7" s="1"/>
  <c r="Q54" i="7" s="1"/>
  <c r="AJ54" i="7" s="1"/>
  <c r="Q72" i="7" s="1"/>
  <c r="AJ72" i="7" s="1"/>
  <c r="P36" i="7"/>
  <c r="O36" i="7"/>
  <c r="AH36" i="7" s="1"/>
  <c r="N36" i="7"/>
  <c r="L36" i="7"/>
  <c r="AE36" i="7" s="1"/>
  <c r="L54" i="7" s="1"/>
  <c r="AE54" i="7" s="1"/>
  <c r="L72" i="7" s="1"/>
  <c r="H36" i="7"/>
  <c r="AA36" i="7" s="1"/>
  <c r="AM35" i="7"/>
  <c r="T53" i="7" s="1"/>
  <c r="AM53" i="7" s="1"/>
  <c r="T71" i="7" s="1"/>
  <c r="AM71" i="7" s="1"/>
  <c r="AK35" i="7"/>
  <c r="R53" i="7" s="1"/>
  <c r="AK53" i="7" s="1"/>
  <c r="R71" i="7" s="1"/>
  <c r="AI35" i="7"/>
  <c r="AG35" i="7"/>
  <c r="N53" i="7" s="1"/>
  <c r="T35" i="7"/>
  <c r="S35" i="7"/>
  <c r="AL35" i="7" s="1"/>
  <c r="R35" i="7"/>
  <c r="Q35" i="7"/>
  <c r="AJ35" i="7" s="1"/>
  <c r="Q53" i="7" s="1"/>
  <c r="AJ53" i="7" s="1"/>
  <c r="Q71" i="7" s="1"/>
  <c r="AJ71" i="7" s="1"/>
  <c r="P35" i="7"/>
  <c r="O35" i="7"/>
  <c r="AH35" i="7" s="1"/>
  <c r="N35" i="7"/>
  <c r="J35" i="7"/>
  <c r="AC35" i="7" s="1"/>
  <c r="J53" i="7" s="1"/>
  <c r="AC53" i="7" s="1"/>
  <c r="J71" i="7" s="1"/>
  <c r="AC71" i="7" s="1"/>
  <c r="F35" i="7"/>
  <c r="Y35" i="7" s="1"/>
  <c r="F53" i="7" s="1"/>
  <c r="Y53" i="7" s="1"/>
  <c r="F71" i="7" s="1"/>
  <c r="Y71" i="7" s="1"/>
  <c r="AM34" i="7"/>
  <c r="T52" i="7" s="1"/>
  <c r="AM52" i="7" s="1"/>
  <c r="T70" i="7" s="1"/>
  <c r="AM70" i="7" s="1"/>
  <c r="AK34" i="7"/>
  <c r="R52" i="7" s="1"/>
  <c r="AK52" i="7" s="1"/>
  <c r="R70" i="7" s="1"/>
  <c r="AK70" i="7" s="1"/>
  <c r="AI34" i="7"/>
  <c r="P52" i="7" s="1"/>
  <c r="AI52" i="7" s="1"/>
  <c r="AG34" i="7"/>
  <c r="N52" i="7" s="1"/>
  <c r="T34" i="7"/>
  <c r="S34" i="7"/>
  <c r="AL34" i="7" s="1"/>
  <c r="S52" i="7" s="1"/>
  <c r="AL52" i="7" s="1"/>
  <c r="R34" i="7"/>
  <c r="Q34" i="7"/>
  <c r="AJ34" i="7" s="1"/>
  <c r="Q52" i="7" s="1"/>
  <c r="AJ52" i="7" s="1"/>
  <c r="Q70" i="7" s="1"/>
  <c r="AJ70" i="7" s="1"/>
  <c r="P34" i="7"/>
  <c r="O34" i="7"/>
  <c r="AH34" i="7" s="1"/>
  <c r="O52" i="7" s="1"/>
  <c r="AH52" i="7" s="1"/>
  <c r="N34" i="7"/>
  <c r="AM33" i="7"/>
  <c r="T51" i="7" s="1"/>
  <c r="AM51" i="7" s="1"/>
  <c r="T69" i="7" s="1"/>
  <c r="AM69" i="7" s="1"/>
  <c r="AK33" i="7"/>
  <c r="R51" i="7" s="1"/>
  <c r="AK51" i="7" s="1"/>
  <c r="R69" i="7" s="1"/>
  <c r="AK69" i="7" s="1"/>
  <c r="AI33" i="7"/>
  <c r="P51" i="7" s="1"/>
  <c r="AI51" i="7" s="1"/>
  <c r="AG33" i="7"/>
  <c r="N51" i="7" s="1"/>
  <c r="T33" i="7"/>
  <c r="S33" i="7"/>
  <c r="AL33" i="7" s="1"/>
  <c r="S51" i="7" s="1"/>
  <c r="AL51" i="7" s="1"/>
  <c r="R33" i="7"/>
  <c r="Q33" i="7"/>
  <c r="AJ33" i="7" s="1"/>
  <c r="Q51" i="7" s="1"/>
  <c r="AJ51" i="7" s="1"/>
  <c r="Q69" i="7" s="1"/>
  <c r="AJ69" i="7" s="1"/>
  <c r="P33" i="7"/>
  <c r="O33" i="7"/>
  <c r="AH33" i="7" s="1"/>
  <c r="O51" i="7" s="1"/>
  <c r="AH51" i="7" s="1"/>
  <c r="N33" i="7"/>
  <c r="L33" i="7"/>
  <c r="AE33" i="7" s="1"/>
  <c r="L51" i="7" s="1"/>
  <c r="AE51" i="7" s="1"/>
  <c r="L69" i="7" s="1"/>
  <c r="J33" i="7"/>
  <c r="AC33" i="7" s="1"/>
  <c r="J51" i="7" s="1"/>
  <c r="AC51" i="7" s="1"/>
  <c r="J69" i="7" s="1"/>
  <c r="AC69" i="7" s="1"/>
  <c r="H33" i="7"/>
  <c r="AA33" i="7" s="1"/>
  <c r="H51" i="7" s="1"/>
  <c r="AA51" i="7" s="1"/>
  <c r="F33" i="7"/>
  <c r="Y33" i="7" s="1"/>
  <c r="F51" i="7" s="1"/>
  <c r="Y51" i="7" s="1"/>
  <c r="F69" i="7" s="1"/>
  <c r="Y69" i="7" s="1"/>
  <c r="AM32" i="7"/>
  <c r="T50" i="7" s="1"/>
  <c r="AK32" i="7"/>
  <c r="R50" i="7" s="1"/>
  <c r="AK50" i="7" s="1"/>
  <c r="R68" i="7" s="1"/>
  <c r="AK68" i="7" s="1"/>
  <c r="AI32" i="7"/>
  <c r="P50" i="7" s="1"/>
  <c r="AI50" i="7" s="1"/>
  <c r="AG32" i="7"/>
  <c r="T32" i="7"/>
  <c r="S32" i="7"/>
  <c r="AL32" i="7" s="1"/>
  <c r="S50" i="7" s="1"/>
  <c r="AL50" i="7" s="1"/>
  <c r="R32" i="7"/>
  <c r="Q32" i="7"/>
  <c r="AJ32" i="7" s="1"/>
  <c r="Q50" i="7" s="1"/>
  <c r="AJ50" i="7" s="1"/>
  <c r="Q68" i="7" s="1"/>
  <c r="AJ68" i="7" s="1"/>
  <c r="P32" i="7"/>
  <c r="O32" i="7"/>
  <c r="AH32" i="7" s="1"/>
  <c r="O50" i="7" s="1"/>
  <c r="AH50" i="7" s="1"/>
  <c r="N32" i="7"/>
  <c r="L32" i="7"/>
  <c r="AE32" i="7" s="1"/>
  <c r="L50" i="7" s="1"/>
  <c r="AE50" i="7" s="1"/>
  <c r="L68" i="7" s="1"/>
  <c r="H32" i="7"/>
  <c r="AA32" i="7" s="1"/>
  <c r="H50" i="7" s="1"/>
  <c r="AA50" i="7" s="1"/>
  <c r="AM31" i="7"/>
  <c r="T49" i="7" s="1"/>
  <c r="AM49" i="7" s="1"/>
  <c r="AK31" i="7"/>
  <c r="R49" i="7" s="1"/>
  <c r="AK49" i="7" s="1"/>
  <c r="R67" i="7" s="1"/>
  <c r="AK67" i="7" s="1"/>
  <c r="AI31" i="7"/>
  <c r="P49" i="7" s="1"/>
  <c r="AI49" i="7" s="1"/>
  <c r="P67" i="7" s="1"/>
  <c r="AG31" i="7"/>
  <c r="N49" i="7" s="1"/>
  <c r="AG49" i="7" s="1"/>
  <c r="T31" i="7"/>
  <c r="S31" i="7"/>
  <c r="AL31" i="7" s="1"/>
  <c r="S49" i="7" s="1"/>
  <c r="AL49" i="7" s="1"/>
  <c r="S67" i="7" s="1"/>
  <c r="AL67" i="7" s="1"/>
  <c r="R31" i="7"/>
  <c r="Q31" i="7"/>
  <c r="AJ31" i="7" s="1"/>
  <c r="Q49" i="7" s="1"/>
  <c r="AJ49" i="7" s="1"/>
  <c r="Q67" i="7" s="1"/>
  <c r="AJ67" i="7" s="1"/>
  <c r="P31" i="7"/>
  <c r="O31" i="7"/>
  <c r="AH31" i="7" s="1"/>
  <c r="O49" i="7" s="1"/>
  <c r="N31" i="7"/>
  <c r="L31" i="7"/>
  <c r="AE31" i="7" s="1"/>
  <c r="L49" i="7" s="1"/>
  <c r="AE49" i="7" s="1"/>
  <c r="J31" i="7"/>
  <c r="AC31" i="7" s="1"/>
  <c r="J49" i="7" s="1"/>
  <c r="AC49" i="7" s="1"/>
  <c r="J67" i="7" s="1"/>
  <c r="AC67" i="7" s="1"/>
  <c r="H31" i="7"/>
  <c r="AA31" i="7" s="1"/>
  <c r="H49" i="7" s="1"/>
  <c r="AA49" i="7" s="1"/>
  <c r="H67" i="7" s="1"/>
  <c r="AA67" i="7" s="1"/>
  <c r="F31" i="7"/>
  <c r="Y31" i="7" s="1"/>
  <c r="F49" i="7" s="1"/>
  <c r="Y49" i="7" s="1"/>
  <c r="AN28" i="7"/>
  <c r="AE28" i="7"/>
  <c r="L46" i="7" s="1"/>
  <c r="AE46" i="7" s="1"/>
  <c r="L64" i="7" s="1"/>
  <c r="AE64" i="7" s="1"/>
  <c r="AD28" i="7"/>
  <c r="K46" i="7" s="1"/>
  <c r="AD46" i="7" s="1"/>
  <c r="K64" i="7" s="1"/>
  <c r="AD64" i="7" s="1"/>
  <c r="AC28" i="7"/>
  <c r="J46" i="7" s="1"/>
  <c r="AC46" i="7" s="1"/>
  <c r="J64" i="7" s="1"/>
  <c r="AC64" i="7" s="1"/>
  <c r="J82" i="7" s="1"/>
  <c r="AC82" i="7" s="1"/>
  <c r="AB28" i="7"/>
  <c r="I46" i="7" s="1"/>
  <c r="AB46" i="7" s="1"/>
  <c r="I64" i="7" s="1"/>
  <c r="AB64" i="7" s="1"/>
  <c r="I82" i="7" s="1"/>
  <c r="AB82" i="7" s="1"/>
  <c r="AA28" i="7"/>
  <c r="H46" i="7" s="1"/>
  <c r="AA46" i="7" s="1"/>
  <c r="H64" i="7" s="1"/>
  <c r="AA64" i="7" s="1"/>
  <c r="Z28" i="7"/>
  <c r="G46" i="7" s="1"/>
  <c r="Z46" i="7" s="1"/>
  <c r="G64" i="7" s="1"/>
  <c r="Z64" i="7" s="1"/>
  <c r="G82" i="7" s="1"/>
  <c r="Z82" i="7" s="1"/>
  <c r="Y28" i="7"/>
  <c r="F46" i="7" s="1"/>
  <c r="Y46" i="7" s="1"/>
  <c r="F64" i="7" s="1"/>
  <c r="Y64" i="7" s="1"/>
  <c r="F82" i="7" s="1"/>
  <c r="Y82" i="7" s="1"/>
  <c r="U28" i="7"/>
  <c r="AN27" i="7"/>
  <c r="AE27" i="7"/>
  <c r="L45" i="7" s="1"/>
  <c r="AE45" i="7" s="1"/>
  <c r="L63" i="7" s="1"/>
  <c r="AE63" i="7" s="1"/>
  <c r="AD27" i="7"/>
  <c r="K45" i="7" s="1"/>
  <c r="AD45" i="7" s="1"/>
  <c r="K63" i="7" s="1"/>
  <c r="AD63" i="7" s="1"/>
  <c r="AC27" i="7"/>
  <c r="AB27" i="7"/>
  <c r="I45" i="7" s="1"/>
  <c r="AB45" i="7" s="1"/>
  <c r="I63" i="7" s="1"/>
  <c r="AB63" i="7" s="1"/>
  <c r="I81" i="7" s="1"/>
  <c r="AB81" i="7" s="1"/>
  <c r="AA27" i="7"/>
  <c r="H45" i="7" s="1"/>
  <c r="AA45" i="7" s="1"/>
  <c r="H63" i="7" s="1"/>
  <c r="AA63" i="7" s="1"/>
  <c r="Z27" i="7"/>
  <c r="G45" i="7" s="1"/>
  <c r="Z45" i="7" s="1"/>
  <c r="G63" i="7" s="1"/>
  <c r="Z63" i="7" s="1"/>
  <c r="G81" i="7" s="1"/>
  <c r="Z81" i="7" s="1"/>
  <c r="Y27" i="7"/>
  <c r="U27" i="7"/>
  <c r="AM26" i="7"/>
  <c r="AL26" i="7"/>
  <c r="S44" i="7" s="1"/>
  <c r="AK26" i="7"/>
  <c r="R44" i="7" s="1"/>
  <c r="AK44" i="7" s="1"/>
  <c r="R62" i="7" s="1"/>
  <c r="AK62" i="7" s="1"/>
  <c r="R80" i="7" s="1"/>
  <c r="AK80" i="7" s="1"/>
  <c r="AJ26" i="7"/>
  <c r="Q44" i="7" s="1"/>
  <c r="AJ44" i="7" s="1"/>
  <c r="Q62" i="7" s="1"/>
  <c r="AJ62" i="7" s="1"/>
  <c r="Q80" i="7" s="1"/>
  <c r="AJ80" i="7" s="1"/>
  <c r="AI26" i="7"/>
  <c r="AH26" i="7"/>
  <c r="O44" i="7" s="1"/>
  <c r="AH44" i="7" s="1"/>
  <c r="O62" i="7" s="1"/>
  <c r="AH62" i="7" s="1"/>
  <c r="O80" i="7" s="1"/>
  <c r="AH80" i="7" s="1"/>
  <c r="AG26" i="7"/>
  <c r="AN26" i="7" s="1"/>
  <c r="AF26" i="7"/>
  <c r="M44" i="7" s="1"/>
  <c r="AE26" i="7"/>
  <c r="AD26" i="7"/>
  <c r="K44" i="7" s="1"/>
  <c r="AB26" i="7"/>
  <c r="I44" i="7" s="1"/>
  <c r="AB44" i="7" s="1"/>
  <c r="I62" i="7" s="1"/>
  <c r="AB62" i="7" s="1"/>
  <c r="I80" i="7" s="1"/>
  <c r="AB80" i="7" s="1"/>
  <c r="AA26" i="7"/>
  <c r="Z26" i="7"/>
  <c r="G44" i="7" s="1"/>
  <c r="Z44" i="7" s="1"/>
  <c r="G62" i="7" s="1"/>
  <c r="Y26" i="7"/>
  <c r="F44" i="7" s="1"/>
  <c r="Y44" i="7" s="1"/>
  <c r="F62" i="7" s="1"/>
  <c r="Y62" i="7" s="1"/>
  <c r="F80" i="7" s="1"/>
  <c r="Y80" i="7" s="1"/>
  <c r="X26" i="7"/>
  <c r="E44" i="7" s="1"/>
  <c r="X44" i="7" s="1"/>
  <c r="E62" i="7" s="1"/>
  <c r="X62" i="7" s="1"/>
  <c r="E80" i="7" s="1"/>
  <c r="W26" i="7"/>
  <c r="U26" i="7"/>
  <c r="AM25" i="7"/>
  <c r="T43" i="7" s="1"/>
  <c r="AM43" i="7" s="1"/>
  <c r="T61" i="7" s="1"/>
  <c r="AM61" i="7" s="1"/>
  <c r="T79" i="7" s="1"/>
  <c r="AM79" i="7" s="1"/>
  <c r="AL25" i="7"/>
  <c r="AK25" i="7"/>
  <c r="R43" i="7" s="1"/>
  <c r="AK43" i="7" s="1"/>
  <c r="R61" i="7" s="1"/>
  <c r="AK61" i="7" s="1"/>
  <c r="R79" i="7" s="1"/>
  <c r="AK79" i="7" s="1"/>
  <c r="AJ25" i="7"/>
  <c r="Q43" i="7" s="1"/>
  <c r="AJ43" i="7" s="1"/>
  <c r="Q61" i="7" s="1"/>
  <c r="AJ61" i="7" s="1"/>
  <c r="Q79" i="7" s="1"/>
  <c r="AJ79" i="7" s="1"/>
  <c r="AI25" i="7"/>
  <c r="P43" i="7" s="1"/>
  <c r="AI43" i="7" s="1"/>
  <c r="P61" i="7" s="1"/>
  <c r="AI61" i="7" s="1"/>
  <c r="P79" i="7" s="1"/>
  <c r="AI79" i="7" s="1"/>
  <c r="AH25" i="7"/>
  <c r="AG25" i="7"/>
  <c r="N43" i="7" s="1"/>
  <c r="AF25" i="7"/>
  <c r="M43" i="7" s="1"/>
  <c r="AE25" i="7"/>
  <c r="L43" i="7" s="1"/>
  <c r="AE43" i="7" s="1"/>
  <c r="L61" i="7" s="1"/>
  <c r="AE61" i="7" s="1"/>
  <c r="L79" i="7" s="1"/>
  <c r="AD25" i="7"/>
  <c r="AC25" i="7"/>
  <c r="J43" i="7" s="1"/>
  <c r="AC43" i="7" s="1"/>
  <c r="J61" i="7" s="1"/>
  <c r="AC61" i="7" s="1"/>
  <c r="J79" i="7" s="1"/>
  <c r="AC79" i="7" s="1"/>
  <c r="AA25" i="7"/>
  <c r="H43" i="7" s="1"/>
  <c r="Z25" i="7"/>
  <c r="G43" i="7" s="1"/>
  <c r="Z43" i="7" s="1"/>
  <c r="G61" i="7" s="1"/>
  <c r="Y25" i="7"/>
  <c r="F43" i="7" s="1"/>
  <c r="Y43" i="7" s="1"/>
  <c r="F61" i="7" s="1"/>
  <c r="Y61" i="7" s="1"/>
  <c r="F79" i="7" s="1"/>
  <c r="Y79" i="7" s="1"/>
  <c r="W25" i="7"/>
  <c r="D43" i="7" s="1"/>
  <c r="W43" i="7" s="1"/>
  <c r="D61" i="7" s="1"/>
  <c r="W61" i="7" s="1"/>
  <c r="D79" i="7" s="1"/>
  <c r="U25" i="7"/>
  <c r="AM24" i="7"/>
  <c r="AL24" i="7"/>
  <c r="S42" i="7" s="1"/>
  <c r="AK24" i="7"/>
  <c r="R42" i="7" s="1"/>
  <c r="AK42" i="7" s="1"/>
  <c r="R60" i="7" s="1"/>
  <c r="AK60" i="7" s="1"/>
  <c r="R78" i="7" s="1"/>
  <c r="AK78" i="7" s="1"/>
  <c r="AI24" i="7"/>
  <c r="AH24" i="7"/>
  <c r="O42" i="7" s="1"/>
  <c r="AH42" i="7" s="1"/>
  <c r="O60" i="7" s="1"/>
  <c r="AH60" i="7" s="1"/>
  <c r="O78" i="7" s="1"/>
  <c r="AH78" i="7" s="1"/>
  <c r="AG24" i="7"/>
  <c r="AF24" i="7"/>
  <c r="M42" i="7" s="1"/>
  <c r="AE24" i="7"/>
  <c r="AD24" i="7"/>
  <c r="K42" i="7" s="1"/>
  <c r="AC24" i="7"/>
  <c r="J42" i="7" s="1"/>
  <c r="AC42" i="7" s="1"/>
  <c r="J60" i="7" s="1"/>
  <c r="AC60" i="7" s="1"/>
  <c r="J78" i="7" s="1"/>
  <c r="AC78" i="7" s="1"/>
  <c r="AA24" i="7"/>
  <c r="Z24" i="7"/>
  <c r="G42" i="7" s="1"/>
  <c r="Z42" i="7" s="1"/>
  <c r="G60" i="7" s="1"/>
  <c r="Y24" i="7"/>
  <c r="F42" i="7" s="1"/>
  <c r="Y42" i="7" s="1"/>
  <c r="F60" i="7" s="1"/>
  <c r="Y60" i="7" s="1"/>
  <c r="F78" i="7" s="1"/>
  <c r="Y78" i="7" s="1"/>
  <c r="X24" i="7"/>
  <c r="E42" i="7" s="1"/>
  <c r="X42" i="7" s="1"/>
  <c r="E60" i="7" s="1"/>
  <c r="X60" i="7" s="1"/>
  <c r="E78" i="7" s="1"/>
  <c r="W24" i="7"/>
  <c r="U24" i="7"/>
  <c r="Q24" i="7"/>
  <c r="AJ24" i="7" s="1"/>
  <c r="Q42" i="7" s="1"/>
  <c r="AJ42" i="7" s="1"/>
  <c r="Q60" i="7" s="1"/>
  <c r="AJ60" i="7" s="1"/>
  <c r="Q78" i="7" s="1"/>
  <c r="AJ78" i="7" s="1"/>
  <c r="AN23" i="7"/>
  <c r="AE23" i="7"/>
  <c r="L41" i="7" s="1"/>
  <c r="AE41" i="7" s="1"/>
  <c r="L59" i="7" s="1"/>
  <c r="AE59" i="7" s="1"/>
  <c r="L77" i="7" s="1"/>
  <c r="AD23" i="7"/>
  <c r="K41" i="7" s="1"/>
  <c r="AC23" i="7"/>
  <c r="J41" i="7" s="1"/>
  <c r="AC41" i="7" s="1"/>
  <c r="J59" i="7" s="1"/>
  <c r="AC59" i="7" s="1"/>
  <c r="J77" i="7" s="1"/>
  <c r="AC77" i="7" s="1"/>
  <c r="AB23" i="7"/>
  <c r="I41" i="7" s="1"/>
  <c r="AB41" i="7" s="1"/>
  <c r="I59" i="7" s="1"/>
  <c r="AB59" i="7" s="1"/>
  <c r="I77" i="7" s="1"/>
  <c r="AB77" i="7" s="1"/>
  <c r="AA23" i="7"/>
  <c r="Z23" i="7"/>
  <c r="Y23" i="7"/>
  <c r="F41" i="7" s="1"/>
  <c r="Y41" i="7" s="1"/>
  <c r="F59" i="7" s="1"/>
  <c r="Y59" i="7" s="1"/>
  <c r="F77" i="7" s="1"/>
  <c r="Y77" i="7" s="1"/>
  <c r="U23" i="7"/>
  <c r="AN22" i="7"/>
  <c r="AE22" i="7"/>
  <c r="L40" i="7" s="1"/>
  <c r="AE40" i="7" s="1"/>
  <c r="L58" i="7" s="1"/>
  <c r="AE58" i="7" s="1"/>
  <c r="L76" i="7" s="1"/>
  <c r="AD22" i="7"/>
  <c r="K40" i="7" s="1"/>
  <c r="AC22" i="7"/>
  <c r="J40" i="7" s="1"/>
  <c r="AC40" i="7" s="1"/>
  <c r="J58" i="7" s="1"/>
  <c r="AC58" i="7" s="1"/>
  <c r="J76" i="7" s="1"/>
  <c r="AC76" i="7" s="1"/>
  <c r="AB22" i="7"/>
  <c r="AA22" i="7"/>
  <c r="Z22" i="7"/>
  <c r="Y22" i="7"/>
  <c r="F40" i="7" s="1"/>
  <c r="Y40" i="7" s="1"/>
  <c r="F58" i="7" s="1"/>
  <c r="Y58" i="7" s="1"/>
  <c r="F76" i="7" s="1"/>
  <c r="Y76" i="7" s="1"/>
  <c r="U22" i="7"/>
  <c r="AN21" i="7"/>
  <c r="AE21" i="7"/>
  <c r="L39" i="7" s="1"/>
  <c r="AE39" i="7" s="1"/>
  <c r="L57" i="7" s="1"/>
  <c r="AE57" i="7" s="1"/>
  <c r="L75" i="7" s="1"/>
  <c r="AD21" i="7"/>
  <c r="K39" i="7" s="1"/>
  <c r="AC21" i="7"/>
  <c r="J39" i="7" s="1"/>
  <c r="AC39" i="7" s="1"/>
  <c r="J57" i="7" s="1"/>
  <c r="AC57" i="7" s="1"/>
  <c r="J75" i="7" s="1"/>
  <c r="AC75" i="7" s="1"/>
  <c r="AB21" i="7"/>
  <c r="AA21" i="7"/>
  <c r="Z21" i="7"/>
  <c r="Y21" i="7"/>
  <c r="F39" i="7" s="1"/>
  <c r="Y39" i="7" s="1"/>
  <c r="F57" i="7" s="1"/>
  <c r="Y57" i="7" s="1"/>
  <c r="F75" i="7" s="1"/>
  <c r="Y75" i="7" s="1"/>
  <c r="U21" i="7"/>
  <c r="AN20" i="7"/>
  <c r="AE20" i="7"/>
  <c r="L38" i="7" s="1"/>
  <c r="AE38" i="7" s="1"/>
  <c r="L56" i="7" s="1"/>
  <c r="AE56" i="7" s="1"/>
  <c r="L74" i="7" s="1"/>
  <c r="AD20" i="7"/>
  <c r="K38" i="7" s="1"/>
  <c r="AD38" i="7" s="1"/>
  <c r="AC20" i="7"/>
  <c r="J38" i="7" s="1"/>
  <c r="AC38" i="7" s="1"/>
  <c r="J56" i="7" s="1"/>
  <c r="AC56" i="7" s="1"/>
  <c r="J74" i="7" s="1"/>
  <c r="AC74" i="7" s="1"/>
  <c r="AB20" i="7"/>
  <c r="I38" i="7" s="1"/>
  <c r="AB38" i="7" s="1"/>
  <c r="I56" i="7" s="1"/>
  <c r="AB56" i="7" s="1"/>
  <c r="I74" i="7" s="1"/>
  <c r="AB74" i="7" s="1"/>
  <c r="AA20" i="7"/>
  <c r="H38" i="7" s="1"/>
  <c r="AA38" i="7" s="1"/>
  <c r="Z20" i="7"/>
  <c r="G38" i="7" s="1"/>
  <c r="Z38" i="7" s="1"/>
  <c r="Y20" i="7"/>
  <c r="F38" i="7" s="1"/>
  <c r="Y38" i="7" s="1"/>
  <c r="F56" i="7" s="1"/>
  <c r="Y56" i="7" s="1"/>
  <c r="F74" i="7" s="1"/>
  <c r="Y74" i="7" s="1"/>
  <c r="U20" i="7"/>
  <c r="AN19" i="7"/>
  <c r="AE19" i="7"/>
  <c r="L37" i="7" s="1"/>
  <c r="AE37" i="7" s="1"/>
  <c r="L55" i="7" s="1"/>
  <c r="AE55" i="7" s="1"/>
  <c r="L73" i="7" s="1"/>
  <c r="AD19" i="7"/>
  <c r="K37" i="7" s="1"/>
  <c r="AD37" i="7" s="1"/>
  <c r="AC19" i="7"/>
  <c r="AB19" i="7"/>
  <c r="I37" i="7" s="1"/>
  <c r="AB37" i="7" s="1"/>
  <c r="I55" i="7" s="1"/>
  <c r="AB55" i="7" s="1"/>
  <c r="I73" i="7" s="1"/>
  <c r="AB73" i="7" s="1"/>
  <c r="AA19" i="7"/>
  <c r="H37" i="7" s="1"/>
  <c r="AA37" i="7" s="1"/>
  <c r="Z19" i="7"/>
  <c r="G37" i="7" s="1"/>
  <c r="Z37" i="7" s="1"/>
  <c r="Y19" i="7"/>
  <c r="U19" i="7"/>
  <c r="AN18" i="7"/>
  <c r="AE18" i="7"/>
  <c r="AD18" i="7"/>
  <c r="K36" i="7" s="1"/>
  <c r="AD36" i="7" s="1"/>
  <c r="AC18" i="7"/>
  <c r="J36" i="7" s="1"/>
  <c r="AC36" i="7" s="1"/>
  <c r="J54" i="7" s="1"/>
  <c r="AC54" i="7" s="1"/>
  <c r="J72" i="7" s="1"/>
  <c r="AC72" i="7" s="1"/>
  <c r="AB18" i="7"/>
  <c r="I36" i="7" s="1"/>
  <c r="AB36" i="7" s="1"/>
  <c r="I54" i="7" s="1"/>
  <c r="AB54" i="7" s="1"/>
  <c r="I72" i="7" s="1"/>
  <c r="AB72" i="7" s="1"/>
  <c r="AA18" i="7"/>
  <c r="Z18" i="7"/>
  <c r="G36" i="7" s="1"/>
  <c r="Z36" i="7" s="1"/>
  <c r="Y18" i="7"/>
  <c r="F36" i="7" s="1"/>
  <c r="Y36" i="7" s="1"/>
  <c r="F54" i="7" s="1"/>
  <c r="Y54" i="7" s="1"/>
  <c r="F72" i="7" s="1"/>
  <c r="Y72" i="7" s="1"/>
  <c r="U18" i="7"/>
  <c r="AN17" i="7"/>
  <c r="AE17" i="7"/>
  <c r="L35" i="7" s="1"/>
  <c r="AE35" i="7" s="1"/>
  <c r="L53" i="7" s="1"/>
  <c r="AE53" i="7" s="1"/>
  <c r="L71" i="7" s="1"/>
  <c r="AD17" i="7"/>
  <c r="K35" i="7" s="1"/>
  <c r="AD35" i="7" s="1"/>
  <c r="AC17" i="7"/>
  <c r="AB17" i="7"/>
  <c r="I35" i="7" s="1"/>
  <c r="AB35" i="7" s="1"/>
  <c r="I53" i="7" s="1"/>
  <c r="AB53" i="7" s="1"/>
  <c r="I71" i="7" s="1"/>
  <c r="AB71" i="7" s="1"/>
  <c r="AA17" i="7"/>
  <c r="H35" i="7" s="1"/>
  <c r="AA35" i="7" s="1"/>
  <c r="Z17" i="7"/>
  <c r="G35" i="7" s="1"/>
  <c r="Z35" i="7" s="1"/>
  <c r="Y17" i="7"/>
  <c r="U17" i="7"/>
  <c r="AN16" i="7"/>
  <c r="AE16" i="7"/>
  <c r="L34" i="7" s="1"/>
  <c r="AE34" i="7" s="1"/>
  <c r="L52" i="7" s="1"/>
  <c r="AE52" i="7" s="1"/>
  <c r="L70" i="7" s="1"/>
  <c r="AD16" i="7"/>
  <c r="K34" i="7" s="1"/>
  <c r="AD34" i="7" s="1"/>
  <c r="K52" i="7" s="1"/>
  <c r="AD52" i="7" s="1"/>
  <c r="AC16" i="7"/>
  <c r="J34" i="7" s="1"/>
  <c r="AC34" i="7" s="1"/>
  <c r="J52" i="7" s="1"/>
  <c r="AC52" i="7" s="1"/>
  <c r="J70" i="7" s="1"/>
  <c r="AC70" i="7" s="1"/>
  <c r="AB16" i="7"/>
  <c r="I34" i="7" s="1"/>
  <c r="AB34" i="7" s="1"/>
  <c r="I52" i="7" s="1"/>
  <c r="AB52" i="7" s="1"/>
  <c r="I70" i="7" s="1"/>
  <c r="AB70" i="7" s="1"/>
  <c r="AA16" i="7"/>
  <c r="H34" i="7" s="1"/>
  <c r="AA34" i="7" s="1"/>
  <c r="H52" i="7" s="1"/>
  <c r="AA52" i="7" s="1"/>
  <c r="Z16" i="7"/>
  <c r="G34" i="7" s="1"/>
  <c r="Z34" i="7" s="1"/>
  <c r="G52" i="7" s="1"/>
  <c r="Z52" i="7" s="1"/>
  <c r="Y16" i="7"/>
  <c r="F34" i="7" s="1"/>
  <c r="Y34" i="7" s="1"/>
  <c r="F52" i="7" s="1"/>
  <c r="Y52" i="7" s="1"/>
  <c r="F70" i="7" s="1"/>
  <c r="Y70" i="7" s="1"/>
  <c r="U16" i="7"/>
  <c r="AN15" i="7"/>
  <c r="AE15" i="7"/>
  <c r="AD15" i="7"/>
  <c r="K33" i="7" s="1"/>
  <c r="AD33" i="7" s="1"/>
  <c r="K51" i="7" s="1"/>
  <c r="AD51" i="7" s="1"/>
  <c r="AC15" i="7"/>
  <c r="AB15" i="7"/>
  <c r="I33" i="7" s="1"/>
  <c r="AB33" i="7" s="1"/>
  <c r="I51" i="7" s="1"/>
  <c r="AB51" i="7" s="1"/>
  <c r="I69" i="7" s="1"/>
  <c r="AB69" i="7" s="1"/>
  <c r="AA15" i="7"/>
  <c r="Z15" i="7"/>
  <c r="G33" i="7" s="1"/>
  <c r="Z33" i="7" s="1"/>
  <c r="G51" i="7" s="1"/>
  <c r="Z51" i="7" s="1"/>
  <c r="Y15" i="7"/>
  <c r="U15" i="7"/>
  <c r="AN14" i="7"/>
  <c r="AE14" i="7"/>
  <c r="AD14" i="7"/>
  <c r="K32" i="7" s="1"/>
  <c r="AD32" i="7" s="1"/>
  <c r="K50" i="7" s="1"/>
  <c r="AD50" i="7" s="1"/>
  <c r="AC14" i="7"/>
  <c r="J32" i="7" s="1"/>
  <c r="AC32" i="7" s="1"/>
  <c r="J50" i="7" s="1"/>
  <c r="AC50" i="7" s="1"/>
  <c r="J68" i="7" s="1"/>
  <c r="AC68" i="7" s="1"/>
  <c r="AB14" i="7"/>
  <c r="I32" i="7" s="1"/>
  <c r="AB32" i="7" s="1"/>
  <c r="I50" i="7" s="1"/>
  <c r="AB50" i="7" s="1"/>
  <c r="I68" i="7" s="1"/>
  <c r="AB68" i="7" s="1"/>
  <c r="AA14" i="7"/>
  <c r="Z14" i="7"/>
  <c r="G32" i="7" s="1"/>
  <c r="Z32" i="7" s="1"/>
  <c r="G50" i="7" s="1"/>
  <c r="Z50" i="7" s="1"/>
  <c r="Y14" i="7"/>
  <c r="F32" i="7" s="1"/>
  <c r="Y32" i="7" s="1"/>
  <c r="F50" i="7" s="1"/>
  <c r="Y50" i="7" s="1"/>
  <c r="F68" i="7" s="1"/>
  <c r="Y68" i="7" s="1"/>
  <c r="U14" i="7"/>
  <c r="AN13" i="7"/>
  <c r="AE13" i="7"/>
  <c r="AD13" i="7"/>
  <c r="K31" i="7" s="1"/>
  <c r="AD31" i="7" s="1"/>
  <c r="K49" i="7" s="1"/>
  <c r="AD49" i="7" s="1"/>
  <c r="K67" i="7" s="1"/>
  <c r="AD67" i="7" s="1"/>
  <c r="AC13" i="7"/>
  <c r="AB13" i="7"/>
  <c r="I31" i="7" s="1"/>
  <c r="AB31" i="7" s="1"/>
  <c r="I49" i="7" s="1"/>
  <c r="AB49" i="7" s="1"/>
  <c r="I67" i="7" s="1"/>
  <c r="AB67" i="7" s="1"/>
  <c r="AA13" i="7"/>
  <c r="Z13" i="7"/>
  <c r="G31" i="7" s="1"/>
  <c r="Z31" i="7" s="1"/>
  <c r="G49" i="7" s="1"/>
  <c r="Z49" i="7" s="1"/>
  <c r="Y13" i="7"/>
  <c r="U13" i="7"/>
  <c r="AF11" i="7"/>
  <c r="M11" i="7"/>
  <c r="X8" i="7"/>
  <c r="X7" i="7"/>
  <c r="X25" i="7" s="1"/>
  <c r="E43" i="7" s="1"/>
  <c r="X43" i="7" s="1"/>
  <c r="E61" i="7" s="1"/>
  <c r="X61" i="7" s="1"/>
  <c r="E79" i="7" s="1"/>
  <c r="P21" i="12" l="1"/>
  <c r="BX7" i="3"/>
  <c r="AS6" i="3"/>
  <c r="BN8" i="3"/>
  <c r="AG9" i="3"/>
  <c r="BJ7" i="3"/>
  <c r="BU9" i="3"/>
  <c r="AS16" i="3"/>
  <c r="Z9" i="3"/>
  <c r="AB9" i="3" s="1"/>
  <c r="AC10" i="3"/>
  <c r="AA16" i="3"/>
  <c r="AQ13" i="3"/>
  <c r="BE8" i="3"/>
  <c r="BU17" i="3"/>
  <c r="AG16" i="3"/>
  <c r="BD14" i="3"/>
  <c r="CE13" i="3"/>
  <c r="BD8" i="3"/>
  <c r="AH13" i="3"/>
  <c r="BT9" i="3"/>
  <c r="AA8" i="3"/>
  <c r="AE8" i="3"/>
  <c r="AE7" i="3"/>
  <c r="X14" i="3"/>
  <c r="BD10" i="3"/>
  <c r="CE10" i="3"/>
  <c r="BT8" i="3"/>
  <c r="BJ8" i="3"/>
  <c r="AW8" i="3"/>
  <c r="AY8" i="3" s="1"/>
  <c r="BU8" i="3"/>
  <c r="BD7" i="3"/>
  <c r="BI14" i="3"/>
  <c r="BO14" i="3"/>
  <c r="BS8" i="3"/>
  <c r="BI8" i="3"/>
  <c r="AM8" i="3"/>
  <c r="AP7" i="3"/>
  <c r="AR7" i="3" s="1"/>
  <c r="BE7" i="3"/>
  <c r="AP15" i="3"/>
  <c r="AR15" i="3" s="1"/>
  <c r="AM12" i="3"/>
  <c r="BE9" i="3"/>
  <c r="BO8" i="3"/>
  <c r="CB8" i="3"/>
  <c r="CD8" i="3" s="1"/>
  <c r="BP7" i="3"/>
  <c r="AA7" i="3"/>
  <c r="AC6" i="3"/>
  <c r="AG15" i="3"/>
  <c r="BP12" i="3"/>
  <c r="AG10" i="3"/>
  <c r="BK9" i="3"/>
  <c r="BU7" i="3"/>
  <c r="BO7" i="3"/>
  <c r="BI7" i="3"/>
  <c r="AX7" i="3"/>
  <c r="AL7" i="3"/>
  <c r="Z7" i="3"/>
  <c r="AB7" i="3" s="1"/>
  <c r="AG7" i="3"/>
  <c r="AI16" i="3"/>
  <c r="AD15" i="3"/>
  <c r="AF15" i="3" s="1"/>
  <c r="AG14" i="3"/>
  <c r="BO11" i="3"/>
  <c r="AI10" i="3"/>
  <c r="CE9" i="3"/>
  <c r="BT7" i="3"/>
  <c r="BN7" i="3"/>
  <c r="BF7" i="3"/>
  <c r="AW7" i="3"/>
  <c r="AY7" i="3" s="1"/>
  <c r="AC16" i="3"/>
  <c r="BK13" i="3"/>
  <c r="W12" i="3"/>
  <c r="Y12" i="3" s="1"/>
  <c r="BS10" i="3"/>
  <c r="AQ9" i="3"/>
  <c r="CE7" i="3"/>
  <c r="BS7" i="3"/>
  <c r="BK7" i="3"/>
  <c r="AQ7" i="3"/>
  <c r="X7" i="3"/>
  <c r="AG6" i="3"/>
  <c r="BI16" i="3"/>
  <c r="CE15" i="3"/>
  <c r="BF15" i="3"/>
  <c r="BE14" i="3"/>
  <c r="BF13" i="3"/>
  <c r="BN11" i="3"/>
  <c r="BX10" i="3"/>
  <c r="BP10" i="3"/>
  <c r="AS10" i="3"/>
  <c r="AA10" i="3"/>
  <c r="BS9" i="3"/>
  <c r="BJ9" i="3"/>
  <c r="AX9" i="3"/>
  <c r="AP9" i="3"/>
  <c r="AR9" i="3" s="1"/>
  <c r="AE9" i="3"/>
  <c r="X9" i="3"/>
  <c r="AC7" i="3"/>
  <c r="BI11" i="3"/>
  <c r="BU10" i="3"/>
  <c r="BO10" i="3"/>
  <c r="AQ10" i="3"/>
  <c r="BO9" i="3"/>
  <c r="BI9" i="3"/>
  <c r="AW9" i="3"/>
  <c r="AY9" i="3" s="1"/>
  <c r="AL9" i="3"/>
  <c r="AA9" i="3"/>
  <c r="BD9" i="3"/>
  <c r="AA12" i="3"/>
  <c r="AM11" i="3"/>
  <c r="BT10" i="3"/>
  <c r="BI10" i="3"/>
  <c r="X10" i="3"/>
  <c r="BN9" i="3"/>
  <c r="BF9" i="3"/>
  <c r="AS9" i="3"/>
  <c r="BU6" i="3"/>
  <c r="Z6" i="3"/>
  <c r="AB6" i="3" s="1"/>
  <c r="AE6" i="3"/>
  <c r="AP6" i="3"/>
  <c r="AR6" i="3" s="1"/>
  <c r="AA6" i="3"/>
  <c r="AL6" i="3"/>
  <c r="AQ6" i="3"/>
  <c r="AW6" i="3"/>
  <c r="AY6" i="3" s="1"/>
  <c r="BD6" i="3"/>
  <c r="BI6" i="3"/>
  <c r="BN6" i="3"/>
  <c r="BS6" i="3"/>
  <c r="W6" i="3"/>
  <c r="Y6" i="3" s="1"/>
  <c r="AH6" i="3"/>
  <c r="AM6" i="3"/>
  <c r="AX6" i="3"/>
  <c r="BE6" i="3"/>
  <c r="BJ6" i="3"/>
  <c r="BO6" i="3"/>
  <c r="BT6" i="3"/>
  <c r="AK17" i="3"/>
  <c r="AA17" i="3"/>
  <c r="AI17" i="3"/>
  <c r="AD17" i="3"/>
  <c r="AF17" i="3" s="1"/>
  <c r="AP17" i="3"/>
  <c r="AR17" i="3" s="1"/>
  <c r="AW17" i="3"/>
  <c r="AY17" i="3" s="1"/>
  <c r="BD17" i="3"/>
  <c r="BI17" i="3"/>
  <c r="BN17" i="3"/>
  <c r="BS17" i="3"/>
  <c r="X17" i="3"/>
  <c r="AE17" i="3"/>
  <c r="AL17" i="3"/>
  <c r="AQ17" i="3"/>
  <c r="AX17" i="3"/>
  <c r="BE17" i="3"/>
  <c r="BJ17" i="3"/>
  <c r="BO17" i="3"/>
  <c r="BT17" i="3"/>
  <c r="Z16" i="3"/>
  <c r="AB16" i="3" s="1"/>
  <c r="BE16" i="3"/>
  <c r="BS16" i="3"/>
  <c r="AE16" i="3"/>
  <c r="AM16" i="3"/>
  <c r="AW16" i="3"/>
  <c r="AY16" i="3" s="1"/>
  <c r="BT16" i="3"/>
  <c r="X16" i="3"/>
  <c r="AQ16" i="3"/>
  <c r="AE15" i="3"/>
  <c r="AQ15" i="3"/>
  <c r="AX15" i="3"/>
  <c r="BN15" i="3"/>
  <c r="BS15" i="3"/>
  <c r="Z15" i="3"/>
  <c r="AB15" i="3" s="1"/>
  <c r="AL15" i="3"/>
  <c r="BI15" i="3"/>
  <c r="BO15" i="3"/>
  <c r="AA15" i="3"/>
  <c r="AH15" i="3"/>
  <c r="AM15" i="3"/>
  <c r="BJ15" i="3"/>
  <c r="AS11" i="3"/>
  <c r="CE11" i="3"/>
  <c r="BU11" i="3"/>
  <c r="AC11" i="3"/>
  <c r="R8" i="3"/>
  <c r="AO8" i="3" s="1"/>
  <c r="BL8" i="3"/>
  <c r="BQ8" i="3"/>
  <c r="CC8" i="3"/>
  <c r="BA8" i="3"/>
  <c r="BC8" i="3" s="1"/>
  <c r="BH8" i="3"/>
  <c r="BM8" i="3"/>
  <c r="BR8" i="3"/>
  <c r="BV8" i="3"/>
  <c r="AU8" i="3"/>
  <c r="BW8" i="3"/>
  <c r="X8" i="3"/>
  <c r="W8" i="3"/>
  <c r="Y8" i="3" s="1"/>
  <c r="AD6" i="3"/>
  <c r="AF6" i="3" s="1"/>
  <c r="BD16" i="3"/>
  <c r="W16" i="3"/>
  <c r="Y16" i="3" s="1"/>
  <c r="BE15" i="3"/>
  <c r="AI15" i="3"/>
  <c r="AI13" i="3"/>
  <c r="AX13" i="3"/>
  <c r="BN13" i="3"/>
  <c r="Z13" i="3"/>
  <c r="AB13" i="3" s="1"/>
  <c r="AM13" i="3"/>
  <c r="BO13" i="3"/>
  <c r="AA13" i="3"/>
  <c r="AP13" i="3"/>
  <c r="AR13" i="3" s="1"/>
  <c r="BS13" i="3"/>
  <c r="BG8" i="3"/>
  <c r="AM17" i="3"/>
  <c r="BO16" i="3"/>
  <c r="AW15" i="3"/>
  <c r="AY15" i="3" s="1"/>
  <c r="AI6" i="3"/>
  <c r="X6" i="3"/>
  <c r="AH17" i="3"/>
  <c r="W17" i="3"/>
  <c r="Y17" i="3" s="1"/>
  <c r="X15" i="3"/>
  <c r="X13" i="3"/>
  <c r="BF17" i="3"/>
  <c r="AW14" i="3"/>
  <c r="AY14" i="3" s="1"/>
  <c r="AC14" i="3"/>
  <c r="AX11" i="3"/>
  <c r="W11" i="3"/>
  <c r="Y11" i="3" s="1"/>
  <c r="AW10" i="3"/>
  <c r="AY10" i="3" s="1"/>
  <c r="AM10" i="3"/>
  <c r="AE10" i="3"/>
  <c r="U10" i="3"/>
  <c r="AI9" i="3"/>
  <c r="AD9" i="3"/>
  <c r="AF9" i="3" s="1"/>
  <c r="AJ9" i="3"/>
  <c r="AQ8" i="3"/>
  <c r="AI8" i="3"/>
  <c r="AN7" i="3"/>
  <c r="AI7" i="3"/>
  <c r="AD7" i="3"/>
  <c r="AF7" i="3" s="1"/>
  <c r="AJ7" i="3"/>
  <c r="U16" i="3"/>
  <c r="V16" i="3" s="1"/>
  <c r="BF16" i="3"/>
  <c r="U15" i="3"/>
  <c r="V15" i="3" s="1"/>
  <c r="BT14" i="3"/>
  <c r="T13" i="3"/>
  <c r="BK10" i="3"/>
  <c r="BE10" i="3"/>
  <c r="Z10" i="3"/>
  <c r="AB10" i="3" s="1"/>
  <c r="AM9" i="3"/>
  <c r="AH9" i="3"/>
  <c r="AC9" i="3"/>
  <c r="AX8" i="3"/>
  <c r="Z8" i="3"/>
  <c r="AB8" i="3" s="1"/>
  <c r="AZ7" i="3"/>
  <c r="AS7" i="3"/>
  <c r="AM7" i="3"/>
  <c r="AH7" i="3"/>
  <c r="U6" i="3"/>
  <c r="U17" i="3"/>
  <c r="V17" i="3" s="1"/>
  <c r="V14" i="3"/>
  <c r="S13" i="3"/>
  <c r="BU12" i="3"/>
  <c r="AZ12" i="3"/>
  <c r="AK12" i="3"/>
  <c r="U12" i="3"/>
  <c r="BT12" i="3"/>
  <c r="BE12" i="3"/>
  <c r="AW12" i="3"/>
  <c r="AY12" i="3" s="1"/>
  <c r="AG12" i="3"/>
  <c r="BI12" i="3"/>
  <c r="BD12" i="3"/>
  <c r="AQ12" i="3"/>
  <c r="X12" i="3"/>
  <c r="S9" i="3"/>
  <c r="U9" i="3"/>
  <c r="V9" i="3" s="1"/>
  <c r="U7" i="3"/>
  <c r="V7" i="3" s="1"/>
  <c r="S7" i="3"/>
  <c r="Q16" i="12"/>
  <c r="Q17" i="12" s="1"/>
  <c r="Q21" i="12" s="1"/>
  <c r="Q14" i="12"/>
  <c r="AG17" i="3"/>
  <c r="BX17" i="3"/>
  <c r="BP17" i="3"/>
  <c r="AZ17" i="3"/>
  <c r="AN17" i="3"/>
  <c r="AJ17" i="3"/>
  <c r="T17" i="3"/>
  <c r="AS17" i="3"/>
  <c r="AC17" i="3"/>
  <c r="CE17" i="3"/>
  <c r="BK17" i="3"/>
  <c r="S17" i="3"/>
  <c r="BX16" i="3"/>
  <c r="BP16" i="3"/>
  <c r="AZ16" i="3"/>
  <c r="AN16" i="3"/>
  <c r="AJ16" i="3"/>
  <c r="T16" i="3"/>
  <c r="BK15" i="3"/>
  <c r="BU14" i="3"/>
  <c r="BP14" i="3"/>
  <c r="AN14" i="3"/>
  <c r="S14" i="3"/>
  <c r="Z14" i="3"/>
  <c r="AB14" i="3" s="1"/>
  <c r="AD14" i="3"/>
  <c r="AF14" i="3" s="1"/>
  <c r="AH14" i="3"/>
  <c r="AL14" i="3"/>
  <c r="AP14" i="3"/>
  <c r="AR14" i="3" s="1"/>
  <c r="AX14" i="3"/>
  <c r="BJ14" i="3"/>
  <c r="BN14" i="3"/>
  <c r="W14" i="3"/>
  <c r="Y14" i="3" s="1"/>
  <c r="AA14" i="3"/>
  <c r="AE14" i="3"/>
  <c r="AI14" i="3"/>
  <c r="AM14" i="3"/>
  <c r="AQ14" i="3"/>
  <c r="AK13" i="3"/>
  <c r="BD13" i="3"/>
  <c r="BT13" i="3"/>
  <c r="U13" i="3"/>
  <c r="V13" i="3" s="1"/>
  <c r="AC13" i="3"/>
  <c r="AG13" i="3"/>
  <c r="AS13" i="3"/>
  <c r="AW13" i="3"/>
  <c r="AY13" i="3" s="1"/>
  <c r="BE13" i="3"/>
  <c r="BI13" i="3"/>
  <c r="BU13" i="3"/>
  <c r="S8" i="3"/>
  <c r="T8" i="3"/>
  <c r="AN8" i="3"/>
  <c r="U8" i="3"/>
  <c r="V8" i="3" s="1"/>
  <c r="BF8" i="3"/>
  <c r="BK8" i="3"/>
  <c r="CE8" i="3"/>
  <c r="AJ8" i="3"/>
  <c r="AZ8" i="3"/>
  <c r="BP8" i="3"/>
  <c r="BX8" i="3"/>
  <c r="AC8" i="3"/>
  <c r="AS8" i="3"/>
  <c r="AG8" i="3"/>
  <c r="BZ8" i="3"/>
  <c r="BY8" i="3"/>
  <c r="CA8" i="3" s="1"/>
  <c r="T15" i="3"/>
  <c r="AN15" i="3"/>
  <c r="AJ15" i="3"/>
  <c r="AZ15" i="3"/>
  <c r="BP15" i="3"/>
  <c r="CE16" i="3"/>
  <c r="S16" i="3"/>
  <c r="BU15" i="3"/>
  <c r="S15" i="3"/>
  <c r="CE14" i="3"/>
  <c r="AS14" i="3"/>
  <c r="U14" i="3"/>
  <c r="AE13" i="3"/>
  <c r="W13" i="3"/>
  <c r="Y13" i="3" s="1"/>
  <c r="AJ13" i="3"/>
  <c r="V12" i="3"/>
  <c r="AN12" i="3"/>
  <c r="AC12" i="3"/>
  <c r="AS12" i="3"/>
  <c r="BF12" i="3"/>
  <c r="AJ12" i="3"/>
  <c r="BK12" i="3"/>
  <c r="CE12" i="3"/>
  <c r="AK11" i="3"/>
  <c r="BD11" i="3"/>
  <c r="BT11" i="3"/>
  <c r="AD11" i="3"/>
  <c r="AF11" i="3" s="1"/>
  <c r="AI11" i="3"/>
  <c r="BE11" i="3"/>
  <c r="BJ11" i="3"/>
  <c r="Z11" i="3"/>
  <c r="AB11" i="3" s="1"/>
  <c r="AE11" i="3"/>
  <c r="AP11" i="3"/>
  <c r="AR11" i="3" s="1"/>
  <c r="AA11" i="3"/>
  <c r="AG11" i="3"/>
  <c r="AL11" i="3"/>
  <c r="AQ11" i="3"/>
  <c r="AW11" i="3"/>
  <c r="AY11" i="3" s="1"/>
  <c r="BF14" i="3"/>
  <c r="BK14" i="3"/>
  <c r="BK16" i="3"/>
  <c r="BN16" i="3"/>
  <c r="BJ16" i="3"/>
  <c r="AX16" i="3"/>
  <c r="AP16" i="3"/>
  <c r="AR16" i="3" s="1"/>
  <c r="AL16" i="3"/>
  <c r="AH16" i="3"/>
  <c r="AD16" i="3"/>
  <c r="AF16" i="3" s="1"/>
  <c r="BX15" i="3"/>
  <c r="AS15" i="3"/>
  <c r="AC15" i="3"/>
  <c r="W15" i="3"/>
  <c r="Y15" i="3" s="1"/>
  <c r="BD15" i="3"/>
  <c r="BT15" i="3"/>
  <c r="BX14" i="3"/>
  <c r="BS14" i="3"/>
  <c r="AZ14" i="3"/>
  <c r="AJ14" i="3"/>
  <c r="T14" i="3"/>
  <c r="BJ13" i="3"/>
  <c r="AL13" i="3"/>
  <c r="AD13" i="3"/>
  <c r="AF13" i="3" s="1"/>
  <c r="BX12" i="3"/>
  <c r="S12" i="3"/>
  <c r="Z12" i="3"/>
  <c r="AB12" i="3" s="1"/>
  <c r="AD12" i="3"/>
  <c r="AF12" i="3" s="1"/>
  <c r="AH12" i="3"/>
  <c r="AL12" i="3"/>
  <c r="AP12" i="3"/>
  <c r="AR12" i="3" s="1"/>
  <c r="AI12" i="3"/>
  <c r="AX12" i="3"/>
  <c r="BJ12" i="3"/>
  <c r="BN12" i="3"/>
  <c r="T12" i="3"/>
  <c r="AE12" i="3"/>
  <c r="BO12" i="3"/>
  <c r="BS12" i="3"/>
  <c r="BS11" i="3"/>
  <c r="AH11" i="3"/>
  <c r="T11" i="3"/>
  <c r="AN11" i="3"/>
  <c r="AJ11" i="3"/>
  <c r="AZ11" i="3"/>
  <c r="BP11" i="3"/>
  <c r="BX11" i="3"/>
  <c r="BX13" i="3"/>
  <c r="BP13" i="3"/>
  <c r="AZ13" i="3"/>
  <c r="AN13" i="3"/>
  <c r="BK11" i="3"/>
  <c r="BF11" i="3"/>
  <c r="U11" i="3"/>
  <c r="V11" i="3" s="1"/>
  <c r="V10" i="3"/>
  <c r="T10" i="3"/>
  <c r="AN10" i="3"/>
  <c r="BF10" i="3"/>
  <c r="AJ10" i="3"/>
  <c r="AZ10" i="3"/>
  <c r="W9" i="3"/>
  <c r="Y9" i="3" s="1"/>
  <c r="W7" i="3"/>
  <c r="Y7" i="3" s="1"/>
  <c r="S11" i="3"/>
  <c r="X11" i="3"/>
  <c r="V6" i="3"/>
  <c r="S6" i="3"/>
  <c r="T6" i="3"/>
  <c r="AN6" i="3"/>
  <c r="BF6" i="3"/>
  <c r="BK6" i="3"/>
  <c r="CE6" i="3"/>
  <c r="AJ6" i="3"/>
  <c r="AZ6" i="3"/>
  <c r="BP6" i="3"/>
  <c r="BX6" i="3"/>
  <c r="W10" i="3"/>
  <c r="Y10" i="3" s="1"/>
  <c r="S10" i="3"/>
  <c r="BN10" i="3"/>
  <c r="BJ10" i="3"/>
  <c r="AX10" i="3"/>
  <c r="AP10" i="3"/>
  <c r="AR10" i="3" s="1"/>
  <c r="AL10" i="3"/>
  <c r="AH10" i="3"/>
  <c r="AD10" i="3"/>
  <c r="AF10" i="3" s="1"/>
  <c r="BX9" i="3"/>
  <c r="BP9" i="3"/>
  <c r="AZ9" i="3"/>
  <c r="AN9" i="3"/>
  <c r="BB8" i="3"/>
  <c r="AT8" i="3"/>
  <c r="AV8" i="3" s="1"/>
  <c r="AP8" i="3"/>
  <c r="AR8" i="3" s="1"/>
  <c r="AL8" i="3"/>
  <c r="AH8" i="3"/>
  <c r="AD8" i="3"/>
  <c r="AF8" i="3" s="1"/>
  <c r="AN24" i="7"/>
  <c r="M29" i="7"/>
  <c r="U67" i="7"/>
  <c r="AI67" i="7"/>
  <c r="AN32" i="7"/>
  <c r="AN36" i="7"/>
  <c r="X39" i="7"/>
  <c r="E57" i="7" s="1"/>
  <c r="X57" i="7" s="1"/>
  <c r="E75" i="7" s="1"/>
  <c r="X75" i="7" s="1"/>
  <c r="X41" i="7"/>
  <c r="E59" i="7" s="1"/>
  <c r="X59" i="7" s="1"/>
  <c r="E77" i="7" s="1"/>
  <c r="X77" i="7" s="1"/>
  <c r="X40" i="7"/>
  <c r="E58" i="7" s="1"/>
  <c r="X58" i="7" s="1"/>
  <c r="E76" i="7" s="1"/>
  <c r="X76" i="7" s="1"/>
  <c r="AG43" i="7"/>
  <c r="U43" i="7"/>
  <c r="U52" i="7"/>
  <c r="AH49" i="7"/>
  <c r="AN49" i="7" s="1"/>
  <c r="U49" i="7"/>
  <c r="AG58" i="7"/>
  <c r="N77" i="7"/>
  <c r="U56" i="7"/>
  <c r="AG56" i="7"/>
  <c r="N82" i="7"/>
  <c r="AN64" i="7"/>
  <c r="N54" i="7"/>
  <c r="X53" i="7"/>
  <c r="E71" i="7" s="1"/>
  <c r="X71" i="7" s="1"/>
  <c r="X54" i="7"/>
  <c r="E72" i="7" s="1"/>
  <c r="X72" i="7" s="1"/>
  <c r="X56" i="7"/>
  <c r="E74" i="7" s="1"/>
  <c r="X74" i="7" s="1"/>
  <c r="X55" i="7"/>
  <c r="E73" i="7" s="1"/>
  <c r="X73" i="7" s="1"/>
  <c r="N75" i="7"/>
  <c r="U64" i="7"/>
  <c r="AN25" i="7"/>
  <c r="AN31" i="7"/>
  <c r="AN33" i="7"/>
  <c r="AN35" i="7"/>
  <c r="AN37" i="7"/>
  <c r="AJ39" i="7"/>
  <c r="Q57" i="7" s="1"/>
  <c r="AJ57" i="7" s="1"/>
  <c r="Q75" i="7" s="1"/>
  <c r="AJ75" i="7" s="1"/>
  <c r="AQ39" i="7"/>
  <c r="AQ40" i="7" s="1"/>
  <c r="AJ40" i="7"/>
  <c r="Q58" i="7" s="1"/>
  <c r="AJ58" i="7" s="1"/>
  <c r="Q76" i="7" s="1"/>
  <c r="AJ76" i="7" s="1"/>
  <c r="AJ41" i="7"/>
  <c r="Q59" i="7" s="1"/>
  <c r="AJ59" i="7" s="1"/>
  <c r="Q77" i="7" s="1"/>
  <c r="AJ77" i="7" s="1"/>
  <c r="AD44" i="7"/>
  <c r="K62" i="7" s="1"/>
  <c r="AD62" i="7" s="1"/>
  <c r="K80" i="7" s="1"/>
  <c r="AD80" i="7" s="1"/>
  <c r="AN45" i="7"/>
  <c r="N50" i="7"/>
  <c r="AG52" i="7"/>
  <c r="U34" i="7"/>
  <c r="U36" i="7"/>
  <c r="U33" i="7"/>
  <c r="AG51" i="7"/>
  <c r="U51" i="7"/>
  <c r="U35" i="7"/>
  <c r="AG53" i="7"/>
  <c r="U53" i="7"/>
  <c r="U37" i="7"/>
  <c r="U55" i="7"/>
  <c r="AG55" i="7"/>
  <c r="AF40" i="7"/>
  <c r="N42" i="7"/>
  <c r="N44" i="7"/>
  <c r="U45" i="7"/>
  <c r="AG63" i="7"/>
  <c r="U63" i="7"/>
  <c r="M73" i="7"/>
  <c r="M65" i="7" s="1"/>
  <c r="AF47" i="7"/>
  <c r="U32" i="7"/>
  <c r="U38" i="7"/>
  <c r="AN39" i="7"/>
  <c r="AN40" i="7"/>
  <c r="U46" i="7"/>
  <c r="U31" i="7"/>
  <c r="AN34" i="7"/>
  <c r="AN38" i="7"/>
  <c r="U57" i="7"/>
  <c r="U59" i="7"/>
  <c r="AN46" i="7"/>
  <c r="AN67" i="7"/>
  <c r="AG50" i="7" l="1"/>
  <c r="U50" i="7"/>
  <c r="U58" i="7"/>
  <c r="AG44" i="7"/>
  <c r="U44" i="7"/>
  <c r="AN57" i="7"/>
  <c r="U82" i="7"/>
  <c r="AG82" i="7"/>
  <c r="AN82" i="7" s="1"/>
  <c r="U77" i="7"/>
  <c r="AG77" i="7"/>
  <c r="AN77" i="7" s="1"/>
  <c r="N61" i="7"/>
  <c r="AN43" i="7"/>
  <c r="N71" i="7"/>
  <c r="AN53" i="7"/>
  <c r="AG42" i="7"/>
  <c r="U42" i="7"/>
  <c r="U75" i="7"/>
  <c r="AG75" i="7"/>
  <c r="AN75" i="7" s="1"/>
  <c r="AN41" i="7"/>
  <c r="AN59" i="7"/>
  <c r="N73" i="7"/>
  <c r="AN55" i="7"/>
  <c r="N81" i="7"/>
  <c r="AN63" i="7"/>
  <c r="M58" i="7"/>
  <c r="AF29" i="7"/>
  <c r="AF41" i="7"/>
  <c r="M59" i="7" s="1"/>
  <c r="N69" i="7"/>
  <c r="AN51" i="7"/>
  <c r="N70" i="7"/>
  <c r="AN52" i="7"/>
  <c r="AG54" i="7"/>
  <c r="U54" i="7"/>
  <c r="N74" i="7"/>
  <c r="AN56" i="7"/>
  <c r="N76" i="7"/>
  <c r="AN58" i="7"/>
  <c r="N72" i="7" l="1"/>
  <c r="AN54" i="7"/>
  <c r="U69" i="7"/>
  <c r="AG69" i="7"/>
  <c r="AN69" i="7" s="1"/>
  <c r="N62" i="7"/>
  <c r="AN44" i="7"/>
  <c r="AG81" i="7"/>
  <c r="AN81" i="7" s="1"/>
  <c r="U81" i="7"/>
  <c r="AN42" i="7"/>
  <c r="N60" i="7"/>
  <c r="U61" i="7"/>
  <c r="AG61" i="7"/>
  <c r="AG70" i="7"/>
  <c r="AN70" i="7" s="1"/>
  <c r="U70" i="7"/>
  <c r="AG76" i="7"/>
  <c r="AN76" i="7" s="1"/>
  <c r="U76" i="7"/>
  <c r="U74" i="7"/>
  <c r="AG74" i="7"/>
  <c r="AN74" i="7" s="1"/>
  <c r="M47" i="7"/>
  <c r="AG73" i="7"/>
  <c r="AN73" i="7" s="1"/>
  <c r="U73" i="7"/>
  <c r="U71" i="7"/>
  <c r="AG71" i="7"/>
  <c r="AN71" i="7" s="1"/>
  <c r="N68" i="7"/>
  <c r="AN50" i="7"/>
  <c r="U68" i="7" l="1"/>
  <c r="AG68" i="7"/>
  <c r="AN68" i="7" s="1"/>
  <c r="N79" i="7"/>
  <c r="AN61" i="7"/>
  <c r="U60" i="7"/>
  <c r="AG60" i="7"/>
  <c r="U62" i="7"/>
  <c r="AG62" i="7"/>
  <c r="AG72" i="7"/>
  <c r="AN72" i="7" s="1"/>
  <c r="U72" i="7"/>
  <c r="U79" i="7" l="1"/>
  <c r="AG79" i="7"/>
  <c r="AN79" i="7" s="1"/>
  <c r="N78" i="7"/>
  <c r="AN60" i="7"/>
  <c r="AN62" i="7"/>
  <c r="N80" i="7"/>
  <c r="U78" i="7" l="1"/>
  <c r="AG78" i="7"/>
  <c r="AN78" i="7" s="1"/>
  <c r="U80" i="7"/>
  <c r="AG80" i="7"/>
  <c r="AN80" i="7" s="1"/>
  <c r="BA11" i="3" l="1"/>
  <c r="BC11" i="3" s="1"/>
  <c r="R11" i="3"/>
  <c r="AO11" i="3" s="1"/>
  <c r="BY11" i="3"/>
  <c r="CA11" i="3" s="1"/>
  <c r="BZ11" i="3"/>
  <c r="BL11" i="3"/>
  <c r="BG11" i="3"/>
  <c r="AU11" i="3"/>
  <c r="BM11" i="3"/>
  <c r="BH11" i="3"/>
  <c r="BV11" i="3"/>
  <c r="CC11" i="3"/>
  <c r="BR11" i="3"/>
  <c r="BQ11" i="3"/>
  <c r="AT11" i="3"/>
  <c r="AV11" i="3" s="1"/>
  <c r="BW11" i="3"/>
  <c r="CB11" i="3"/>
  <c r="CD11" i="3" s="1"/>
  <c r="BB11" i="3"/>
  <c r="BH6" i="3"/>
  <c r="BM6" i="3"/>
  <c r="BR6" i="3"/>
  <c r="BV6" i="3"/>
  <c r="R6" i="3"/>
  <c r="AO6" i="3" s="1"/>
  <c r="BW6" i="3"/>
  <c r="BY6" i="3"/>
  <c r="CA6" i="3" s="1"/>
  <c r="AT6" i="3"/>
  <c r="AV6" i="3" s="1"/>
  <c r="BQ6" i="3"/>
  <c r="BA6" i="3"/>
  <c r="BC6" i="3" s="1"/>
  <c r="BG6" i="3"/>
  <c r="CB6" i="3"/>
  <c r="CD6" i="3" s="1"/>
  <c r="BL6" i="3"/>
  <c r="AU6" i="3"/>
  <c r="BZ6" i="3"/>
  <c r="BB6" i="3"/>
  <c r="CC6" i="3"/>
  <c r="BA12" i="3"/>
  <c r="BC12" i="3" s="1"/>
  <c r="BH12" i="3"/>
  <c r="BW12" i="3"/>
  <c r="CC12" i="3"/>
  <c r="BM12" i="3"/>
  <c r="BL12" i="3"/>
  <c r="BY12" i="3"/>
  <c r="CA12" i="3" s="1"/>
  <c r="BB12" i="3"/>
  <c r="BV12" i="3"/>
  <c r="CB12" i="3"/>
  <c r="CD12" i="3" s="1"/>
  <c r="BG12" i="3"/>
  <c r="BZ12" i="3"/>
  <c r="BQ12" i="3"/>
  <c r="AU12" i="3"/>
  <c r="R12" i="3"/>
  <c r="AO12" i="3" s="1"/>
  <c r="BR12" i="3"/>
  <c r="AT12" i="3"/>
  <c r="AV12" i="3" s="1"/>
  <c r="R16" i="3"/>
  <c r="AO16" i="3" s="1"/>
  <c r="BL16" i="3"/>
  <c r="BY16" i="3"/>
  <c r="CA16" i="3" s="1"/>
  <c r="BG16" i="3"/>
  <c r="BM16" i="3"/>
  <c r="BA16" i="3"/>
  <c r="BC16" i="3" s="1"/>
  <c r="BQ16" i="3"/>
  <c r="BW16" i="3"/>
  <c r="BH16" i="3"/>
  <c r="CC16" i="3"/>
  <c r="AT16" i="3"/>
  <c r="AV16" i="3" s="1"/>
  <c r="BB16" i="3"/>
  <c r="CB16" i="3"/>
  <c r="CD16" i="3" s="1"/>
  <c r="AU16" i="3"/>
  <c r="BV16" i="3"/>
  <c r="BZ16" i="3"/>
  <c r="BR16" i="3"/>
  <c r="BG7" i="3"/>
  <c r="AU7" i="3"/>
  <c r="BW7" i="3"/>
  <c r="BH7" i="3"/>
  <c r="BM7" i="3"/>
  <c r="R7" i="3"/>
  <c r="AO7" i="3" s="1"/>
  <c r="BV7" i="3"/>
  <c r="CC7" i="3"/>
  <c r="BL7" i="3"/>
  <c r="BQ7" i="3"/>
  <c r="AT7" i="3"/>
  <c r="AV7" i="3" s="1"/>
  <c r="BZ7" i="3"/>
  <c r="BA7" i="3"/>
  <c r="BC7" i="3" s="1"/>
  <c r="BR7" i="3"/>
  <c r="CB7" i="3"/>
  <c r="CD7" i="3" s="1"/>
  <c r="BY7" i="3"/>
  <c r="CA7" i="3" s="1"/>
  <c r="BB7" i="3"/>
  <c r="AU9" i="3"/>
  <c r="BG9" i="3"/>
  <c r="BW9" i="3"/>
  <c r="CB9" i="3"/>
  <c r="CD9" i="3" s="1"/>
  <c r="BY9" i="3"/>
  <c r="CA9" i="3" s="1"/>
  <c r="BB9" i="3"/>
  <c r="AT9" i="3"/>
  <c r="AV9" i="3" s="1"/>
  <c r="BA9" i="3"/>
  <c r="BC9" i="3" s="1"/>
  <c r="CC9" i="3"/>
  <c r="BR9" i="3"/>
  <c r="BQ9" i="3"/>
  <c r="BH9" i="3"/>
  <c r="BM9" i="3"/>
  <c r="R9" i="3"/>
  <c r="AO9" i="3" s="1"/>
  <c r="BV9" i="3"/>
  <c r="BL9" i="3"/>
  <c r="BZ9" i="3"/>
  <c r="AU13" i="3"/>
  <c r="BG13" i="3"/>
  <c r="BW13" i="3"/>
  <c r="BV13" i="3"/>
  <c r="BQ13" i="3"/>
  <c r="CB13" i="3"/>
  <c r="CD13" i="3" s="1"/>
  <c r="BM13" i="3"/>
  <c r="BR13" i="3"/>
  <c r="AT13" i="3"/>
  <c r="AV13" i="3" s="1"/>
  <c r="R13" i="3"/>
  <c r="AO13" i="3" s="1"/>
  <c r="BY13" i="3"/>
  <c r="CA13" i="3" s="1"/>
  <c r="CC13" i="3"/>
  <c r="BA13" i="3"/>
  <c r="BC13" i="3" s="1"/>
  <c r="BL13" i="3"/>
  <c r="BH13" i="3"/>
  <c r="BB13" i="3"/>
  <c r="BZ13" i="3"/>
  <c r="BH17" i="3"/>
  <c r="BM17" i="3"/>
  <c r="BR17" i="3"/>
  <c r="BW17" i="3"/>
  <c r="BA17" i="3"/>
  <c r="BC17" i="3" s="1"/>
  <c r="R17" i="3"/>
  <c r="AO17" i="3" s="1"/>
  <c r="AT17" i="3"/>
  <c r="AV17" i="3" s="1"/>
  <c r="AU17" i="3"/>
  <c r="BQ17" i="3"/>
  <c r="BY17" i="3"/>
  <c r="CA17" i="3" s="1"/>
  <c r="BB17" i="3"/>
  <c r="CB17" i="3"/>
  <c r="CD17" i="3" s="1"/>
  <c r="BZ17" i="3"/>
  <c r="CC17" i="3"/>
  <c r="BL17" i="3"/>
  <c r="BG17" i="3"/>
  <c r="BV17" i="3"/>
  <c r="BH15" i="3"/>
  <c r="BG15" i="3"/>
  <c r="BZ15" i="3"/>
  <c r="AT15" i="3"/>
  <c r="AV15" i="3" s="1"/>
  <c r="BA15" i="3"/>
  <c r="BC15" i="3" s="1"/>
  <c r="BV15" i="3"/>
  <c r="BQ15" i="3"/>
  <c r="BW15" i="3"/>
  <c r="BY15" i="3"/>
  <c r="CA15" i="3" s="1"/>
  <c r="BM15" i="3"/>
  <c r="BR15" i="3"/>
  <c r="AU15" i="3"/>
  <c r="CB15" i="3"/>
  <c r="CD15" i="3" s="1"/>
  <c r="BB15" i="3"/>
  <c r="R15" i="3"/>
  <c r="AO15" i="3" s="1"/>
  <c r="BL15" i="3"/>
  <c r="CC15" i="3"/>
  <c r="R10" i="3"/>
  <c r="AO10" i="3" s="1"/>
  <c r="CB10" i="3"/>
  <c r="CD10" i="3" s="1"/>
  <c r="BQ10" i="3"/>
  <c r="BW10" i="3"/>
  <c r="CC10" i="3"/>
  <c r="BA10" i="3"/>
  <c r="BC10" i="3" s="1"/>
  <c r="BH10" i="3"/>
  <c r="BM10" i="3"/>
  <c r="BY10" i="3"/>
  <c r="CA10" i="3" s="1"/>
  <c r="AT10" i="3"/>
  <c r="AV10" i="3" s="1"/>
  <c r="BL10" i="3"/>
  <c r="BZ10" i="3"/>
  <c r="BR10" i="3"/>
  <c r="BG10" i="3"/>
  <c r="AU10" i="3"/>
  <c r="BV10" i="3"/>
  <c r="BB10" i="3"/>
  <c r="BM14" i="3"/>
  <c r="BW14" i="3"/>
  <c r="BA14" i="3"/>
  <c r="BC14" i="3" s="1"/>
  <c r="BH14" i="3"/>
  <c r="CB14" i="3"/>
  <c r="CD14" i="3" s="1"/>
  <c r="BQ14" i="3"/>
  <c r="BG14" i="3"/>
  <c r="R14" i="3"/>
  <c r="AO14" i="3" s="1"/>
  <c r="AT14" i="3"/>
  <c r="AV14" i="3" s="1"/>
  <c r="BZ14" i="3"/>
  <c r="AU14" i="3"/>
  <c r="BY14" i="3"/>
  <c r="CA14" i="3" s="1"/>
  <c r="CC14" i="3"/>
  <c r="BL14" i="3"/>
  <c r="BV14" i="3"/>
  <c r="BB14" i="3"/>
  <c r="BR14" i="3"/>
  <c r="O43" i="9" l="1"/>
  <c r="Q43" i="9" s="1"/>
  <c r="S43" i="9"/>
  <c r="T43" i="9"/>
  <c r="O44" i="9"/>
  <c r="Q44" i="9" s="1"/>
  <c r="S44" i="9"/>
  <c r="T44" i="9"/>
  <c r="O45" i="9"/>
  <c r="Q45" i="9" s="1"/>
  <c r="S45" i="9"/>
  <c r="U45" i="9" s="1"/>
  <c r="T45" i="9"/>
  <c r="O46" i="9"/>
  <c r="Q46" i="9" s="1"/>
  <c r="S46" i="9"/>
  <c r="T46" i="9"/>
  <c r="O47" i="9"/>
  <c r="Q47" i="9" s="1"/>
  <c r="S47" i="9"/>
  <c r="T47" i="9"/>
  <c r="O48" i="9"/>
  <c r="Q48" i="9" s="1"/>
  <c r="S48" i="9"/>
  <c r="T48" i="9"/>
  <c r="O49" i="9"/>
  <c r="Q49" i="9" s="1"/>
  <c r="S49" i="9"/>
  <c r="U49" i="9" s="1"/>
  <c r="T49" i="9"/>
  <c r="O50" i="9"/>
  <c r="Q50" i="9" s="1"/>
  <c r="S50" i="9"/>
  <c r="T50" i="9"/>
  <c r="O51" i="9"/>
  <c r="Q51" i="9" s="1"/>
  <c r="S51" i="9"/>
  <c r="T51" i="9"/>
  <c r="O52" i="9"/>
  <c r="Q52" i="9" s="1"/>
  <c r="S52" i="9"/>
  <c r="T52" i="9"/>
  <c r="O53" i="9"/>
  <c r="Q53" i="9" s="1"/>
  <c r="S53" i="9"/>
  <c r="T53" i="9"/>
  <c r="O54" i="9"/>
  <c r="Q54" i="9" s="1"/>
  <c r="S54" i="9"/>
  <c r="T54" i="9"/>
  <c r="O55" i="9"/>
  <c r="Q55" i="9" s="1"/>
  <c r="S55" i="9"/>
  <c r="T55" i="9"/>
  <c r="O56" i="9"/>
  <c r="Q56" i="9" s="1"/>
  <c r="S56" i="9"/>
  <c r="T56" i="9"/>
  <c r="O57" i="9"/>
  <c r="Q57" i="9" s="1"/>
  <c r="S57" i="9"/>
  <c r="U57" i="9" s="1"/>
  <c r="T57" i="9"/>
  <c r="O58" i="9"/>
  <c r="Q58" i="9" s="1"/>
  <c r="S58" i="9"/>
  <c r="T58" i="9"/>
  <c r="O59" i="9"/>
  <c r="Q59" i="9" s="1"/>
  <c r="S59" i="9"/>
  <c r="T59" i="9"/>
  <c r="O60" i="9"/>
  <c r="Q60" i="9" s="1"/>
  <c r="S60" i="9"/>
  <c r="T60" i="9"/>
  <c r="O61" i="9"/>
  <c r="Q61" i="9" s="1"/>
  <c r="S61" i="9"/>
  <c r="T61" i="9"/>
  <c r="O62" i="9"/>
  <c r="Q62" i="9" s="1"/>
  <c r="S62" i="9"/>
  <c r="T62" i="9"/>
  <c r="O63" i="9"/>
  <c r="Q63" i="9" s="1"/>
  <c r="S63" i="9"/>
  <c r="T63" i="9"/>
  <c r="O64" i="9"/>
  <c r="Q64" i="9" s="1"/>
  <c r="S64" i="9"/>
  <c r="T64" i="9"/>
  <c r="O65" i="9"/>
  <c r="Q65" i="9" s="1"/>
  <c r="S65" i="9"/>
  <c r="U65" i="9" s="1"/>
  <c r="T65" i="9"/>
  <c r="O66" i="9"/>
  <c r="Q66" i="9" s="1"/>
  <c r="S66" i="9"/>
  <c r="T66" i="9"/>
  <c r="O67" i="9"/>
  <c r="Q67" i="9" s="1"/>
  <c r="S67" i="9"/>
  <c r="T67" i="9"/>
  <c r="O68" i="9"/>
  <c r="Q68" i="9" s="1"/>
  <c r="S68" i="9"/>
  <c r="T68" i="9"/>
  <c r="O69" i="9"/>
  <c r="Q69" i="9" s="1"/>
  <c r="S69" i="9"/>
  <c r="T69" i="9"/>
  <c r="O70" i="9"/>
  <c r="Q70" i="9" s="1"/>
  <c r="S70" i="9"/>
  <c r="T70" i="9"/>
  <c r="O71" i="9"/>
  <c r="Q71" i="9" s="1"/>
  <c r="S71" i="9"/>
  <c r="T71" i="9"/>
  <c r="O72" i="9"/>
  <c r="Q72" i="9" s="1"/>
  <c r="S72" i="9"/>
  <c r="T72" i="9"/>
  <c r="O73" i="9"/>
  <c r="Q73" i="9" s="1"/>
  <c r="S73" i="9"/>
  <c r="U73" i="9" s="1"/>
  <c r="T73" i="9"/>
  <c r="O74" i="9"/>
  <c r="Q74" i="9" s="1"/>
  <c r="S74" i="9"/>
  <c r="T74" i="9"/>
  <c r="O75" i="9"/>
  <c r="Q75" i="9" s="1"/>
  <c r="S75" i="9"/>
  <c r="T75" i="9"/>
  <c r="O76" i="9"/>
  <c r="Q76" i="9" s="1"/>
  <c r="S76" i="9"/>
  <c r="T76" i="9"/>
  <c r="B33" i="9"/>
  <c r="B31" i="9"/>
  <c r="B32" i="9" s="1"/>
  <c r="U74" i="9" l="1"/>
  <c r="U58" i="9"/>
  <c r="U50" i="9"/>
  <c r="U61" i="9"/>
  <c r="U66" i="9"/>
  <c r="U62" i="9"/>
  <c r="U46" i="9"/>
  <c r="U69" i="9"/>
  <c r="U53" i="9"/>
  <c r="U70" i="9"/>
  <c r="U54" i="9"/>
  <c r="U76" i="9"/>
  <c r="U75" i="9"/>
  <c r="U72" i="9"/>
  <c r="U71" i="9"/>
  <c r="U68" i="9"/>
  <c r="U67" i="9"/>
  <c r="U64" i="9"/>
  <c r="U63" i="9"/>
  <c r="U60" i="9"/>
  <c r="U59" i="9"/>
  <c r="U56" i="9"/>
  <c r="U55" i="9"/>
  <c r="U52" i="9"/>
  <c r="U51" i="9"/>
  <c r="U48" i="9"/>
  <c r="U47" i="9"/>
  <c r="U44" i="9"/>
  <c r="U43" i="9"/>
  <c r="U2" i="1" l="1"/>
  <c r="K3" i="11"/>
  <c r="J4" i="11"/>
  <c r="I5" i="11"/>
  <c r="O7" i="9" l="1"/>
  <c r="Q7" i="9" s="1"/>
  <c r="S7" i="9"/>
  <c r="T7" i="9"/>
  <c r="O2" i="9"/>
  <c r="Q2" i="9" s="1"/>
  <c r="S2" i="9"/>
  <c r="T2" i="9"/>
  <c r="O3" i="9"/>
  <c r="Q3" i="9" s="1"/>
  <c r="S3" i="9"/>
  <c r="T3" i="9"/>
  <c r="O4" i="9"/>
  <c r="Q4" i="9" s="1"/>
  <c r="S4" i="9"/>
  <c r="T4" i="9"/>
  <c r="O5" i="9"/>
  <c r="Q5" i="9" s="1"/>
  <c r="S5" i="9"/>
  <c r="T5" i="9"/>
  <c r="O8" i="9"/>
  <c r="Q8" i="9" s="1"/>
  <c r="S8" i="9"/>
  <c r="T8" i="9"/>
  <c r="O6" i="9"/>
  <c r="Q6" i="9" s="1"/>
  <c r="S6" i="9"/>
  <c r="U6" i="9" s="1"/>
  <c r="T6" i="9"/>
  <c r="O9" i="9"/>
  <c r="Q9" i="9" s="1"/>
  <c r="S9" i="9"/>
  <c r="T9" i="9"/>
  <c r="O10" i="9"/>
  <c r="Q10" i="9" s="1"/>
  <c r="S10" i="9"/>
  <c r="T10" i="9"/>
  <c r="O11" i="9"/>
  <c r="Q11" i="9" s="1"/>
  <c r="S11" i="9"/>
  <c r="T11" i="9"/>
  <c r="O12" i="9"/>
  <c r="Q12" i="9" s="1"/>
  <c r="S12" i="9"/>
  <c r="T12" i="9"/>
  <c r="O13" i="9"/>
  <c r="Q13" i="9" s="1"/>
  <c r="S13" i="9"/>
  <c r="T13" i="9"/>
  <c r="O14" i="9"/>
  <c r="Q14" i="9" s="1"/>
  <c r="S14" i="9"/>
  <c r="T14" i="9"/>
  <c r="O15" i="9"/>
  <c r="Q15" i="9" s="1"/>
  <c r="S15" i="9"/>
  <c r="T15" i="9"/>
  <c r="O16" i="9"/>
  <c r="Q16" i="9" s="1"/>
  <c r="S16" i="9"/>
  <c r="U16" i="9" s="1"/>
  <c r="T16" i="9"/>
  <c r="O17" i="9"/>
  <c r="Q17" i="9" s="1"/>
  <c r="S17" i="9"/>
  <c r="T17" i="9"/>
  <c r="O18" i="9"/>
  <c r="Q18" i="9" s="1"/>
  <c r="S18" i="9"/>
  <c r="T18" i="9"/>
  <c r="O19" i="9"/>
  <c r="Q19" i="9" s="1"/>
  <c r="S19" i="9"/>
  <c r="T19" i="9"/>
  <c r="O20" i="9"/>
  <c r="Q20" i="9" s="1"/>
  <c r="S20" i="9"/>
  <c r="T20" i="9"/>
  <c r="O21" i="9"/>
  <c r="Q21" i="9" s="1"/>
  <c r="S21" i="9"/>
  <c r="T21" i="9"/>
  <c r="O22" i="9"/>
  <c r="Q22" i="9" s="1"/>
  <c r="S22" i="9"/>
  <c r="T22" i="9"/>
  <c r="O23" i="9"/>
  <c r="Q23" i="9" s="1"/>
  <c r="S23" i="9"/>
  <c r="T23" i="9"/>
  <c r="O24" i="9"/>
  <c r="Q24" i="9" s="1"/>
  <c r="S24" i="9"/>
  <c r="T24" i="9"/>
  <c r="O25" i="9"/>
  <c r="Q25" i="9" s="1"/>
  <c r="S25" i="9"/>
  <c r="T25" i="9"/>
  <c r="O26" i="9"/>
  <c r="Q26" i="9" s="1"/>
  <c r="S26" i="9"/>
  <c r="T26" i="9"/>
  <c r="O27" i="9"/>
  <c r="Q27" i="9" s="1"/>
  <c r="S27" i="9"/>
  <c r="T27" i="9"/>
  <c r="O28" i="9"/>
  <c r="Q28" i="9" s="1"/>
  <c r="S28" i="9"/>
  <c r="T28" i="9"/>
  <c r="O29" i="9"/>
  <c r="Q29" i="9" s="1"/>
  <c r="S29" i="9"/>
  <c r="T29" i="9"/>
  <c r="O30" i="9"/>
  <c r="Q30" i="9" s="1"/>
  <c r="S30" i="9"/>
  <c r="T30" i="9"/>
  <c r="O31" i="9"/>
  <c r="Q31" i="9" s="1"/>
  <c r="S31" i="9"/>
  <c r="T31" i="9"/>
  <c r="O32" i="9"/>
  <c r="Q32" i="9" s="1"/>
  <c r="S32" i="9"/>
  <c r="T32" i="9"/>
  <c r="O33" i="9"/>
  <c r="Q33" i="9" s="1"/>
  <c r="S33" i="9"/>
  <c r="T33" i="9"/>
  <c r="O34" i="9"/>
  <c r="Q34" i="9" s="1"/>
  <c r="S34" i="9"/>
  <c r="T34" i="9"/>
  <c r="O35" i="9"/>
  <c r="Q35" i="9" s="1"/>
  <c r="S35" i="9"/>
  <c r="T35" i="9"/>
  <c r="O36" i="9"/>
  <c r="Q36" i="9" s="1"/>
  <c r="S36" i="9"/>
  <c r="T36" i="9"/>
  <c r="O37" i="9"/>
  <c r="Q37" i="9" s="1"/>
  <c r="S37" i="9"/>
  <c r="T37" i="9"/>
  <c r="O38" i="9"/>
  <c r="Q38" i="9" s="1"/>
  <c r="S38" i="9"/>
  <c r="T38" i="9"/>
  <c r="O39" i="9"/>
  <c r="Q39" i="9" s="1"/>
  <c r="S39" i="9"/>
  <c r="T39" i="9"/>
  <c r="O40" i="9"/>
  <c r="Q40" i="9" s="1"/>
  <c r="S40" i="9"/>
  <c r="T40" i="9"/>
  <c r="O41" i="9"/>
  <c r="Q41" i="9" s="1"/>
  <c r="S41" i="9"/>
  <c r="T41" i="9"/>
  <c r="O42" i="9"/>
  <c r="Q42" i="9" s="1"/>
  <c r="S42" i="9"/>
  <c r="T42" i="9"/>
  <c r="U32" i="9" l="1"/>
  <c r="U3" i="9"/>
  <c r="U40" i="9"/>
  <c r="U36" i="9"/>
  <c r="U33" i="9"/>
  <c r="U17" i="9"/>
  <c r="U41" i="9"/>
  <c r="U9" i="9"/>
  <c r="U24" i="9"/>
  <c r="U20" i="9"/>
  <c r="U25" i="9"/>
  <c r="U37" i="9"/>
  <c r="U21" i="9"/>
  <c r="U4" i="9"/>
  <c r="U28" i="9"/>
  <c r="U12" i="9"/>
  <c r="U29" i="9"/>
  <c r="U13" i="9"/>
  <c r="U42" i="9"/>
  <c r="U39" i="9"/>
  <c r="U38" i="9"/>
  <c r="U35" i="9"/>
  <c r="U34" i="9"/>
  <c r="U31" i="9"/>
  <c r="U30" i="9"/>
  <c r="U27" i="9"/>
  <c r="U26" i="9"/>
  <c r="U23" i="9"/>
  <c r="U22" i="9"/>
  <c r="U19" i="9"/>
  <c r="U18" i="9"/>
  <c r="U15" i="9"/>
  <c r="U14" i="9"/>
  <c r="U11" i="9"/>
  <c r="U10" i="9"/>
  <c r="U8" i="9"/>
  <c r="U5" i="9"/>
  <c r="U2" i="9"/>
  <c r="U7" i="9"/>
  <c r="F10" i="11"/>
  <c r="G10" i="11"/>
  <c r="H10" i="11"/>
  <c r="H11" i="11" s="1"/>
  <c r="H12" i="11" s="1"/>
  <c r="H13" i="11" s="1"/>
  <c r="F11" i="11"/>
  <c r="F12" i="11" s="1"/>
  <c r="F13" i="11" s="1"/>
  <c r="G11" i="11"/>
  <c r="G12" i="11"/>
  <c r="G13" i="11" s="1"/>
  <c r="G9" i="11"/>
  <c r="H9" i="11"/>
  <c r="F9" i="11"/>
  <c r="G8" i="11"/>
  <c r="H8" i="11"/>
  <c r="F8" i="11"/>
  <c r="F6" i="11"/>
  <c r="G6" i="11"/>
  <c r="G7" i="11" s="1"/>
  <c r="H6" i="11"/>
  <c r="H7" i="11" s="1"/>
  <c r="F7" i="11"/>
  <c r="G5" i="11"/>
  <c r="H5" i="11"/>
  <c r="F5" i="11"/>
  <c r="G4" i="11"/>
  <c r="H4" i="11"/>
  <c r="F4" i="11"/>
  <c r="G3" i="11"/>
  <c r="H3" i="11"/>
  <c r="F3" i="11"/>
  <c r="K9" i="4"/>
  <c r="J9" i="4"/>
  <c r="H9" i="4"/>
  <c r="L9" i="4" s="1"/>
  <c r="M9" i="4" s="1"/>
  <c r="N9" i="4" s="1"/>
  <c r="G2" i="11"/>
  <c r="H2" i="11"/>
  <c r="F2" i="11"/>
  <c r="H3" i="4" l="1"/>
  <c r="H2" i="4" l="1"/>
  <c r="H4" i="4"/>
  <c r="L3" i="4" s="1"/>
  <c r="M3" i="4" s="1"/>
  <c r="N3" i="4" s="1"/>
  <c r="K4" i="4"/>
  <c r="J4" i="4"/>
  <c r="J3" i="4"/>
  <c r="K3" i="4"/>
  <c r="J10" i="4"/>
  <c r="K10" i="4"/>
  <c r="J11" i="4"/>
  <c r="K11" i="4"/>
  <c r="J12" i="4"/>
  <c r="K12" i="4"/>
  <c r="K8" i="4"/>
  <c r="J8" i="4"/>
  <c r="H8" i="4"/>
  <c r="L8" i="4" s="1"/>
  <c r="M8" i="4" s="1"/>
  <c r="N8" i="4" s="1"/>
  <c r="K7" i="4"/>
  <c r="J7" i="4"/>
  <c r="H7" i="4"/>
  <c r="J6" i="4"/>
  <c r="H6" i="4"/>
  <c r="L6" i="4" s="1"/>
  <c r="M6" i="4" s="1"/>
  <c r="N6" i="4" s="1"/>
  <c r="J5" i="4"/>
  <c r="H5" i="4"/>
  <c r="K5" i="4"/>
  <c r="K6" i="4"/>
  <c r="K2" i="4"/>
  <c r="J2" i="4"/>
  <c r="L2" i="4" l="1"/>
  <c r="L5" i="4"/>
  <c r="M5" i="4" s="1"/>
  <c r="N5" i="4" s="1"/>
  <c r="L7" i="4"/>
  <c r="M7" i="4" s="1"/>
  <c r="N7" i="4" s="1"/>
  <c r="L4" i="4"/>
  <c r="M4" i="4" s="1"/>
  <c r="N4" i="4" s="1"/>
  <c r="M2" i="4"/>
  <c r="N2" i="4" s="1"/>
  <c r="AD4" i="10" l="1"/>
  <c r="AD5" i="10"/>
  <c r="AD6" i="10"/>
  <c r="AJ6" i="10"/>
  <c r="AD7" i="10"/>
  <c r="AD8" i="10"/>
  <c r="AJ8" i="10"/>
  <c r="AD9" i="10"/>
  <c r="AJ9" i="10"/>
  <c r="AD10" i="10"/>
  <c r="AD11" i="10"/>
  <c r="AJ11" i="10"/>
  <c r="AD12" i="10"/>
  <c r="AJ12" i="10"/>
  <c r="AD13" i="10"/>
  <c r="AJ13" i="10"/>
  <c r="AD14" i="10"/>
  <c r="AJ14" i="10"/>
  <c r="AD15" i="10"/>
  <c r="AD16" i="10"/>
  <c r="AD17" i="10"/>
  <c r="AC5" i="10"/>
  <c r="AC6" i="10"/>
  <c r="AC9" i="10"/>
  <c r="AC10" i="10"/>
  <c r="AC14" i="10"/>
  <c r="AC15" i="10"/>
  <c r="AC16" i="10"/>
  <c r="Y10" i="10"/>
  <c r="Y8" i="10"/>
  <c r="Y4" i="10"/>
  <c r="D2" i="10"/>
  <c r="Z1" i="10"/>
  <c r="AA1" i="10" s="1"/>
  <c r="K4" i="10" l="1"/>
  <c r="L4" i="10"/>
  <c r="AC4" i="10"/>
  <c r="AC7" i="10"/>
  <c r="AC8" i="10"/>
  <c r="AC11" i="10"/>
  <c r="AC12" i="10"/>
  <c r="AC13" i="10"/>
  <c r="AC17" i="10"/>
  <c r="AJ17" i="10" l="1"/>
  <c r="AH17" i="10"/>
  <c r="AH16" i="10"/>
  <c r="AJ15" i="10"/>
  <c r="AH14" i="10"/>
  <c r="AH10" i="10"/>
  <c r="AJ10" i="10"/>
  <c r="AH13" i="10"/>
  <c r="AH12" i="10"/>
  <c r="AH11" i="10"/>
  <c r="AH8" i="10"/>
  <c r="AH6" i="10"/>
  <c r="AH9" i="10"/>
  <c r="AH7" i="10"/>
  <c r="AJ7" i="10"/>
  <c r="AJ5" i="10"/>
  <c r="AJ4" i="10"/>
  <c r="AJ16" i="10" l="1"/>
  <c r="AH15" i="10"/>
  <c r="AH5" i="10"/>
  <c r="N2" i="1" l="1"/>
  <c r="AD2" i="1" l="1"/>
  <c r="AO2" i="1" l="1"/>
  <c r="AQ2" i="1"/>
  <c r="AK5" i="3" l="1"/>
  <c r="AN5" i="3"/>
  <c r="U4" i="3"/>
  <c r="V4" i="3" s="1"/>
  <c r="U5" i="3"/>
  <c r="S5" i="3"/>
  <c r="AA5" i="3"/>
  <c r="BE5" i="3"/>
  <c r="BI5" i="3"/>
  <c r="Z5" i="3"/>
  <c r="AB5" i="3" s="1"/>
  <c r="BD5" i="3"/>
  <c r="AH5" i="3"/>
  <c r="AL5" i="3"/>
  <c r="AP5" i="3"/>
  <c r="AR5" i="3" s="1"/>
  <c r="BJ5" i="3"/>
  <c r="BN5" i="3"/>
  <c r="AX5" i="3"/>
  <c r="T5" i="3"/>
  <c r="AD5" i="3"/>
  <c r="AF5" i="3" s="1"/>
  <c r="AI5" i="3"/>
  <c r="AM5" i="3"/>
  <c r="AQ5" i="3"/>
  <c r="AW5" i="3"/>
  <c r="AY5" i="3" s="1"/>
  <c r="BO5" i="3"/>
  <c r="BS5" i="3"/>
  <c r="AE5" i="3"/>
  <c r="BT5" i="3"/>
  <c r="S4" i="3"/>
  <c r="AA4" i="3"/>
  <c r="BE4" i="3"/>
  <c r="BI4" i="3"/>
  <c r="AH4" i="3"/>
  <c r="AL4" i="3"/>
  <c r="AP4" i="3"/>
  <c r="AR4" i="3" s="1"/>
  <c r="BJ4" i="3"/>
  <c r="BN4" i="3"/>
  <c r="T4" i="3"/>
  <c r="AD4" i="3"/>
  <c r="AF4" i="3" s="1"/>
  <c r="AI4" i="3"/>
  <c r="AM4" i="3"/>
  <c r="AQ4" i="3"/>
  <c r="AW4" i="3"/>
  <c r="AY4" i="3" s="1"/>
  <c r="BO4" i="3"/>
  <c r="BS4" i="3"/>
  <c r="Z4" i="3"/>
  <c r="AB4" i="3" s="1"/>
  <c r="BT4" i="3"/>
  <c r="AE4" i="3"/>
  <c r="AX4" i="3"/>
  <c r="BD4" i="3"/>
  <c r="W5" i="3"/>
  <c r="Y5" i="3" s="1"/>
  <c r="W4" i="3"/>
  <c r="Y4" i="3" s="1"/>
  <c r="X4" i="3"/>
  <c r="X5" i="3"/>
  <c r="AK4" i="3"/>
  <c r="V5" i="3"/>
  <c r="AN4" i="3"/>
  <c r="CB5" i="3" l="1"/>
  <c r="CD5" i="3" s="1"/>
  <c r="CB4" i="3"/>
  <c r="CD4" i="3" s="1"/>
  <c r="BZ4" i="3" l="1"/>
  <c r="BA4" i="3"/>
  <c r="BC4" i="3" s="1"/>
  <c r="CC4" i="3"/>
  <c r="R4" i="3"/>
  <c r="AO4" i="3" s="1"/>
  <c r="BR4" i="3"/>
  <c r="BQ4" i="3"/>
  <c r="BH4" i="3"/>
  <c r="BY4" i="3"/>
  <c r="CA4" i="3" s="1"/>
  <c r="BG4" i="3"/>
  <c r="BL4" i="3"/>
  <c r="AU4" i="3"/>
  <c r="AT4" i="3"/>
  <c r="AV4" i="3" s="1"/>
  <c r="BW4" i="3"/>
  <c r="BV4" i="3"/>
  <c r="BB4" i="3"/>
  <c r="BM4" i="3"/>
  <c r="BH5" i="3"/>
  <c r="AU5" i="3"/>
  <c r="BR5" i="3"/>
  <c r="BM5" i="3"/>
  <c r="AT5" i="3"/>
  <c r="AV5" i="3" s="1"/>
  <c r="BB5" i="3"/>
  <c r="R5" i="3"/>
  <c r="AO5" i="3" s="1"/>
  <c r="BW5" i="3"/>
  <c r="BZ5" i="3"/>
  <c r="BQ5" i="3"/>
  <c r="BL5" i="3"/>
  <c r="BA5" i="3"/>
  <c r="BC5" i="3" s="1"/>
  <c r="BY5" i="3"/>
  <c r="CA5" i="3" s="1"/>
  <c r="CC5" i="3"/>
  <c r="BG5" i="3"/>
  <c r="BV5" i="3"/>
  <c r="AS4" i="3" l="1"/>
  <c r="AJ4" i="3"/>
  <c r="AZ4" i="3"/>
  <c r="BF4" i="3"/>
  <c r="BX4" i="3"/>
  <c r="BP4" i="3"/>
  <c r="AC4" i="3"/>
  <c r="BU4" i="3"/>
  <c r="BK4" i="3"/>
  <c r="CE4" i="3"/>
  <c r="AG4" i="3"/>
  <c r="AG5" i="3"/>
  <c r="BX5" i="3"/>
  <c r="BF5" i="3"/>
  <c r="CE5" i="3"/>
  <c r="AZ5" i="3"/>
  <c r="AC5" i="3"/>
  <c r="AJ5" i="3"/>
  <c r="AS5" i="3"/>
  <c r="BK5" i="3"/>
  <c r="BU5" i="3"/>
  <c r="BP5" i="3"/>
  <c r="AH26" i="3" l="1"/>
  <c r="AI26" i="3"/>
  <c r="C14" i="2" l="1"/>
  <c r="C15" i="2"/>
  <c r="C16" i="2" s="1"/>
  <c r="C1" i="2" l="1"/>
  <c r="S2" i="1" l="1"/>
  <c r="R2" i="1" l="1"/>
  <c r="Z6" i="6"/>
  <c r="Z7" i="6"/>
  <c r="Z8" i="6"/>
  <c r="Z9" i="6"/>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5" i="6"/>
  <c r="S17" i="4" l="1"/>
  <c r="R17" i="4"/>
  <c r="Q17" i="4"/>
  <c r="U18" i="4"/>
  <c r="S18" i="4"/>
  <c r="R18" i="4"/>
  <c r="Q18" i="4"/>
  <c r="U17" i="4"/>
  <c r="H3" i="3" l="1"/>
  <c r="AN3" i="3" l="1"/>
  <c r="R3" i="3"/>
  <c r="AO3" i="3" s="1"/>
  <c r="BA3" i="3"/>
  <c r="BC3" i="3" s="1"/>
  <c r="BR3" i="3"/>
  <c r="BW3" i="3"/>
  <c r="BH3" i="3"/>
  <c r="AT3" i="3"/>
  <c r="AV3" i="3" s="1"/>
  <c r="BM3" i="3"/>
  <c r="W3" i="3"/>
  <c r="Y3" i="3" s="1"/>
  <c r="X3" i="3"/>
  <c r="AC3" i="3"/>
  <c r="BF3" i="3"/>
  <c r="BK3" i="3"/>
  <c r="AJ3" i="3"/>
  <c r="AS3" i="3"/>
  <c r="BP3" i="3"/>
  <c r="BX3" i="3"/>
  <c r="CE3" i="3"/>
  <c r="AG3" i="3"/>
  <c r="AZ3" i="3"/>
  <c r="BU3" i="3"/>
  <c r="G3" i="3"/>
  <c r="BZ3" i="3"/>
  <c r="BY3" i="3"/>
  <c r="CA3" i="3" s="1"/>
  <c r="S3" i="3"/>
  <c r="AU3" i="3"/>
  <c r="BB3" i="3"/>
  <c r="CB3" i="3"/>
  <c r="CD3" i="3" s="1"/>
  <c r="CC3" i="3"/>
  <c r="T3" i="3"/>
  <c r="AH3" i="3"/>
  <c r="AL3" i="3"/>
  <c r="AP3" i="3"/>
  <c r="AR3" i="3" s="1"/>
  <c r="BJ3" i="3"/>
  <c r="BN3" i="3"/>
  <c r="AD3" i="3"/>
  <c r="AF3" i="3" s="1"/>
  <c r="AI3" i="3"/>
  <c r="AM3" i="3"/>
  <c r="AQ3" i="3"/>
  <c r="AW3" i="3"/>
  <c r="AY3" i="3" s="1"/>
  <c r="BO3" i="3"/>
  <c r="BS3" i="3"/>
  <c r="Z3" i="3"/>
  <c r="AB3" i="3" s="1"/>
  <c r="BD3" i="3"/>
  <c r="BT3" i="3"/>
  <c r="AE3" i="3"/>
  <c r="AX3" i="3"/>
  <c r="AA3" i="3"/>
  <c r="BE3" i="3"/>
  <c r="BI3" i="3"/>
  <c r="BV3" i="3"/>
  <c r="BG3" i="3"/>
  <c r="BL3" i="3"/>
  <c r="BQ3" i="3"/>
  <c r="AK3" i="3"/>
  <c r="U3" i="3"/>
  <c r="V3" i="3" s="1"/>
  <c r="AH24" i="3" l="1"/>
  <c r="AI28" i="3" s="1"/>
  <c r="AI24" i="3"/>
  <c r="AH28" i="3" s="1"/>
  <c r="W2" i="1" l="1"/>
  <c r="C9" i="2"/>
  <c r="C10" i="2" s="1"/>
  <c r="B9" i="2"/>
  <c r="B10" i="2" s="1"/>
  <c r="AE2" i="1" l="1"/>
  <c r="D2" i="1" l="1"/>
  <c r="F15" i="1" l="1"/>
  <c r="F20" i="1"/>
  <c r="C15" i="1"/>
  <c r="F9" i="1"/>
  <c r="C9" i="1" s="1"/>
  <c r="F12" i="1"/>
  <c r="C12" i="1" s="1"/>
  <c r="F21" i="1"/>
  <c r="F19" i="1"/>
  <c r="C19" i="1" s="1"/>
  <c r="C18" i="10" s="1"/>
  <c r="F17" i="1"/>
  <c r="C17" i="1" s="1"/>
  <c r="F16" i="1"/>
  <c r="C16" i="1" s="1"/>
  <c r="F13" i="1"/>
  <c r="C13" i="1" s="1"/>
  <c r="F10" i="1"/>
  <c r="C10" i="1" s="1"/>
  <c r="F6" i="1"/>
  <c r="C6" i="1" s="1"/>
  <c r="F7" i="1"/>
  <c r="C7" i="1" s="1"/>
  <c r="F22" i="1"/>
  <c r="F18" i="1"/>
  <c r="C18" i="1" s="1"/>
  <c r="F14" i="1"/>
  <c r="C14" i="1" s="1"/>
  <c r="F11" i="1"/>
  <c r="C11" i="1" s="1"/>
  <c r="F5" i="1"/>
  <c r="C5" i="1" s="1"/>
  <c r="F4" i="1"/>
  <c r="C4" i="1" s="1"/>
  <c r="F8" i="1"/>
  <c r="C8" i="1" s="1"/>
  <c r="C20" i="1" l="1"/>
  <c r="C19" i="10" s="1"/>
  <c r="F19" i="10"/>
  <c r="C22" i="1"/>
  <c r="C21" i="10" s="1"/>
  <c r="F21" i="10"/>
  <c r="C21" i="1"/>
  <c r="F20" i="10"/>
  <c r="F18" i="10"/>
  <c r="F6" i="10"/>
  <c r="C8" i="3"/>
  <c r="F9" i="10"/>
  <c r="C12" i="3"/>
  <c r="F13" i="10"/>
  <c r="C11" i="3"/>
  <c r="F12" i="10"/>
  <c r="C9" i="3"/>
  <c r="F10" i="10"/>
  <c r="C15" i="3"/>
  <c r="F16" i="10"/>
  <c r="C17" i="3"/>
  <c r="C6" i="3"/>
  <c r="F7" i="10"/>
  <c r="C7" i="3"/>
  <c r="F8" i="10"/>
  <c r="C10" i="3"/>
  <c r="F11" i="10"/>
  <c r="C19" i="3"/>
  <c r="C16" i="3"/>
  <c r="F17" i="10"/>
  <c r="C18" i="3"/>
  <c r="C14" i="3"/>
  <c r="F15" i="10"/>
  <c r="C13" i="3"/>
  <c r="F14" i="10"/>
  <c r="C4" i="3"/>
  <c r="F5" i="10"/>
  <c r="C3" i="3"/>
  <c r="F4" i="10"/>
  <c r="C6" i="10"/>
  <c r="C5" i="3"/>
  <c r="C11" i="10"/>
  <c r="C4" i="10"/>
  <c r="C17" i="10"/>
  <c r="C8" i="10"/>
  <c r="C10" i="10"/>
  <c r="C15" i="10"/>
  <c r="C12" i="10"/>
  <c r="C5" i="10"/>
  <c r="C9" i="10"/>
  <c r="C7" i="10"/>
  <c r="C14" i="10"/>
  <c r="C13" i="10"/>
  <c r="C16" i="10"/>
  <c r="C20" i="10"/>
</calcChain>
</file>

<file path=xl/comments1.xml><?xml version="1.0" encoding="utf-8"?>
<comments xmlns="http://schemas.openxmlformats.org/spreadsheetml/2006/main">
  <authors>
    <author>Autor</author>
  </authors>
  <commentList>
    <comment ref="K3" authorId="0" shapeId="0">
      <text>
        <r>
          <rPr>
            <sz val="8"/>
            <color indexed="81"/>
            <rFont val="Tahoma"/>
            <family val="2"/>
          </rPr>
          <t>Lid*Lid*Exp</t>
        </r>
      </text>
    </comment>
  </commentList>
</comments>
</file>

<file path=xl/comments2.xml><?xml version="1.0" encoding="utf-8"?>
<comments xmlns="http://schemas.openxmlformats.org/spreadsheetml/2006/main">
  <authors>
    <author>Autor</author>
  </authors>
  <commentList>
    <comment ref="C25" authorId="0" shapeId="0">
      <text>
        <r>
          <rPr>
            <b/>
            <sz val="8"/>
            <color indexed="81"/>
            <rFont val="Tahoma"/>
            <family val="2"/>
          </rPr>
          <t>Sacado del manual no escrito, no se sabe que son estos valores</t>
        </r>
      </text>
    </comment>
    <comment ref="D25" authorId="0" shapeId="0">
      <text>
        <r>
          <rPr>
            <b/>
            <sz val="8"/>
            <color indexed="81"/>
            <rFont val="Tahoma"/>
            <family val="2"/>
          </rPr>
          <t>En partidos de Torneo con el predictor
-Campo neutral
-Espiritu: Ilusionats (6)
-Confiança: Alta (7)
Entrenador NEUTRO</t>
        </r>
      </text>
    </comment>
  </commentList>
</comments>
</file>

<file path=xl/comments3.xml><?xml version="1.0" encoding="utf-8"?>
<comments xmlns="http://schemas.openxmlformats.org/spreadsheetml/2006/main">
  <authors>
    <author>Autor</author>
  </authors>
  <commentList>
    <comment ref="K3" authorId="0" shapeId="0">
      <text>
        <r>
          <rPr>
            <sz val="8"/>
            <color indexed="81"/>
            <rFont val="Tahoma"/>
            <family val="2"/>
          </rPr>
          <t>Lid*Lid*Exp</t>
        </r>
      </text>
    </comment>
    <comment ref="H7" authorId="0" shapeId="0">
      <text>
        <r>
          <rPr>
            <b/>
            <sz val="8"/>
            <color indexed="81"/>
            <rFont val="Tahoma"/>
            <family val="2"/>
          </rPr>
          <t>Debe ser bajo, muy bajo</t>
        </r>
      </text>
    </comment>
    <comment ref="H9" authorId="0" shapeId="0">
      <text>
        <r>
          <rPr>
            <b/>
            <sz val="8"/>
            <color indexed="81"/>
            <rFont val="Tahoma"/>
            <family val="2"/>
          </rPr>
          <t>Debe ser bajo, muy bajo</t>
        </r>
      </text>
    </comment>
  </commentList>
</comments>
</file>

<file path=xl/sharedStrings.xml><?xml version="1.0" encoding="utf-8"?>
<sst xmlns="http://schemas.openxmlformats.org/spreadsheetml/2006/main" count="1454" uniqueCount="585">
  <si>
    <t>CAB</t>
  </si>
  <si>
    <t>Nfin</t>
  </si>
  <si>
    <t>POS</t>
  </si>
  <si>
    <t>Jugador</t>
  </si>
  <si>
    <t>Anys</t>
  </si>
  <si>
    <t>Dias</t>
  </si>
  <si>
    <t>PA</t>
  </si>
  <si>
    <t>Lid</t>
  </si>
  <si>
    <t>Exp</t>
  </si>
  <si>
    <t>Res</t>
  </si>
  <si>
    <t>m90</t>
  </si>
  <si>
    <t>For</t>
  </si>
  <si>
    <t>TSI</t>
  </si>
  <si>
    <t>Sou</t>
  </si>
  <si>
    <t>Hib</t>
  </si>
  <si>
    <t>Po</t>
  </si>
  <si>
    <t>De</t>
  </si>
  <si>
    <t>Cr</t>
  </si>
  <si>
    <t>Ex</t>
  </si>
  <si>
    <t>Ps</t>
  </si>
  <si>
    <t>An</t>
  </si>
  <si>
    <t>Ability</t>
  </si>
  <si>
    <t>NCA</t>
  </si>
  <si>
    <t>PEN</t>
  </si>
  <si>
    <t>BPiA</t>
  </si>
  <si>
    <t>BPiD</t>
  </si>
  <si>
    <t>BPMin</t>
  </si>
  <si>
    <t>BPMax</t>
  </si>
  <si>
    <t>POR</t>
  </si>
  <si>
    <t>#1</t>
  </si>
  <si>
    <t>DEF</t>
  </si>
  <si>
    <t>#8</t>
  </si>
  <si>
    <t>#2</t>
  </si>
  <si>
    <t>#3</t>
  </si>
  <si>
    <t>#13</t>
  </si>
  <si>
    <t>#7</t>
  </si>
  <si>
    <t>#11</t>
  </si>
  <si>
    <t>#10</t>
  </si>
  <si>
    <t>#6</t>
  </si>
  <si>
    <t>#4</t>
  </si>
  <si>
    <t>#12</t>
  </si>
  <si>
    <t>#5</t>
  </si>
  <si>
    <t>#14</t>
  </si>
  <si>
    <t>#9</t>
  </si>
  <si>
    <t>DAV</t>
  </si>
  <si>
    <t>RAP</t>
  </si>
  <si>
    <t>#15</t>
  </si>
  <si>
    <t>BP</t>
  </si>
  <si>
    <t>IHL</t>
  </si>
  <si>
    <t>CMx</t>
  </si>
  <si>
    <t>CMn</t>
  </si>
  <si>
    <t>(11776649) BP divino, salario 6,0% extra</t>
  </si>
  <si>
    <t>(20650980) &amp; (95299617) BP mágico, salario 4,7% extra</t>
  </si>
  <si>
    <t>(36438355) BP mítico, salario 4,7% extra</t>
  </si>
  <si>
    <t>(48997559) BP E-T, salario, 4,3% extra</t>
  </si>
  <si>
    <t>(154655044) &amp; (50355509) BP sobrenatural, salario 3,7% extra</t>
  </si>
  <si>
    <t>(46543607) BP clase mundial, salario 3,3% extra</t>
  </si>
  <si>
    <t>(80271350) BP magnífico, salario 3,2% extra</t>
  </si>
  <si>
    <t>(38306586) BP brillante, salario 3,0% extra</t>
  </si>
  <si>
    <t>(115228650) BP destacado, salario 2,7% extra</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</si>
  <si>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</si>
  <si>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</si>
  <si>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</si>
  <si>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</si>
  <si>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</si>
  <si>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</si>
  <si>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</si>
  <si>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</si>
  <si>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Sueldo</t>
  </si>
  <si>
    <t>Sueldo +20%</t>
  </si>
  <si>
    <t>TEC</t>
  </si>
  <si>
    <t>EXT</t>
  </si>
  <si>
    <t>Portero</t>
  </si>
  <si>
    <t>DCNormal</t>
  </si>
  <si>
    <t>DCOff</t>
  </si>
  <si>
    <t>DLNormal</t>
  </si>
  <si>
    <t>DCtW</t>
  </si>
  <si>
    <t>MDEF</t>
  </si>
  <si>
    <t>Mnor</t>
  </si>
  <si>
    <t>EXTDEF</t>
  </si>
  <si>
    <t>EXTOF</t>
  </si>
  <si>
    <t>EHM</t>
  </si>
  <si>
    <t>DD</t>
  </si>
  <si>
    <t>Años</t>
  </si>
  <si>
    <t>ESP</t>
  </si>
  <si>
    <t>FechaCompra</t>
  </si>
  <si>
    <t>FOR</t>
  </si>
  <si>
    <t>XP</t>
  </si>
  <si>
    <t>JUG</t>
  </si>
  <si>
    <t>PAS</t>
  </si>
  <si>
    <t>ANO</t>
  </si>
  <si>
    <t>BPI_A</t>
  </si>
  <si>
    <t>BPI_D</t>
  </si>
  <si>
    <t>DEFLAT</t>
  </si>
  <si>
    <t>DEFCEN</t>
  </si>
  <si>
    <t>MED</t>
  </si>
  <si>
    <t>ATLAT</t>
  </si>
  <si>
    <t>ATCEN</t>
  </si>
  <si>
    <t>Fmin</t>
  </si>
  <si>
    <t>Fmax</t>
  </si>
  <si>
    <t>FID</t>
  </si>
  <si>
    <t>Entrenador</t>
  </si>
  <si>
    <t>Eficiencia</t>
  </si>
  <si>
    <t>Excelente</t>
  </si>
  <si>
    <t>Notable</t>
  </si>
  <si>
    <t>Aceptable</t>
  </si>
  <si>
    <t>Insuficiente</t>
  </si>
  <si>
    <t>Debil</t>
  </si>
  <si>
    <t>Pobre</t>
  </si>
  <si>
    <t>Nivel</t>
  </si>
  <si>
    <t>%_Entrenamiento</t>
  </si>
  <si>
    <t>%_Lesión</t>
  </si>
  <si>
    <t>Plus Forma</t>
  </si>
  <si>
    <t>Coste</t>
  </si>
  <si>
    <t>Eur/Nivel</t>
  </si>
  <si>
    <t>Intensidad</t>
  </si>
  <si>
    <t>NivelAssitentes</t>
  </si>
  <si>
    <t>%_Res</t>
  </si>
  <si>
    <t>TOTAL</t>
  </si>
  <si>
    <t>COSTE_TEMP</t>
  </si>
  <si>
    <t>El entrenamiento de condición esta basado por minutos (pero comienza con un 75% para los jugadores en el terreno de juego).</t>
  </si>
  <si>
    <t>tabla I: rendimiento por minuto en función de la resistencia del jugador. </t>
  </si>
  <si>
    <t>x</t>
  </si>
  <si>
    <t>SN</t>
  </si>
  <si>
    <t>med</t>
  </si>
  <si>
    <t>(min/resistencia)--&gt; rendimiento. </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</si>
  <si>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</si>
  <si>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</si>
  <si>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</si>
  <si>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</si>
  <si>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Edad</t>
  </si>
  <si>
    <t>5-9%</t>
  </si>
  <si>
    <t>10-15%</t>
  </si>
  <si>
    <t>16-20%</t>
  </si>
  <si>
    <t>21-39%</t>
  </si>
  <si>
    <t>40-100%</t>
  </si>
  <si>
    <t>Resultado</t>
  </si>
  <si>
    <t>Bueno</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</si>
  <si>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</si>
  <si>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</si>
  <si>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</si>
  <si>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</si>
  <si>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</si>
  <si>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</si>
  <si>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</si>
  <si>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</si>
  <si>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</si>
  <si>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</si>
  <si>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</si>
  <si>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</si>
  <si>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</si>
  <si>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</si>
  <si>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</si>
  <si>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</si>
  <si>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</si>
  <si>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</si>
  <si>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</si>
  <si>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condición afecta a la experiencia de la misma manera que a las habilidades.</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</si>
  <si>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</si>
  <si>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</si>
  <si>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</si>
  <si>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SNOK</t>
  </si>
  <si>
    <t>Zona</t>
  </si>
  <si>
    <t>%</t>
  </si>
  <si>
    <t>Def Central</t>
  </si>
  <si>
    <t>Def Lat</t>
  </si>
  <si>
    <t>Medio</t>
  </si>
  <si>
    <t>At Lateral</t>
  </si>
  <si>
    <t>At Central</t>
  </si>
  <si>
    <t>Total</t>
  </si>
  <si>
    <t>Num</t>
  </si>
  <si>
    <t>Nombre</t>
  </si>
  <si>
    <t>Medico</t>
  </si>
  <si>
    <t>CosteTotal</t>
  </si>
  <si>
    <t>HXP</t>
  </si>
  <si>
    <t>JUGMin</t>
  </si>
  <si>
    <t>JUGMax</t>
  </si>
  <si>
    <t>POT</t>
  </si>
  <si>
    <t>Ag</t>
  </si>
  <si>
    <t>Ho</t>
  </si>
  <si>
    <t>%_T</t>
  </si>
  <si>
    <t>Fcompra</t>
  </si>
  <si>
    <t>Ca</t>
  </si>
  <si>
    <t>A. Ilisie</t>
  </si>
  <si>
    <t>Logros:  0,25 y 3,75 (ambos no inclusive)</t>
  </si>
  <si>
    <t>h33</t>
  </si>
  <si>
    <t>COMPRA</t>
  </si>
  <si>
    <t>CosteTRA_BUENO</t>
  </si>
  <si>
    <t>COSTETOTAL_BUENO</t>
  </si>
  <si>
    <t>CosteTRA_EX</t>
  </si>
  <si>
    <t>COSTETOTAL_EX</t>
  </si>
  <si>
    <t>CMin</t>
  </si>
  <si>
    <t>CMax</t>
  </si>
  <si>
    <t>Dif</t>
  </si>
  <si>
    <t>LAT</t>
  </si>
  <si>
    <t>po-de</t>
  </si>
  <si>
    <t>de-insif</t>
  </si>
  <si>
    <t>ins-acep</t>
  </si>
  <si>
    <t>ho-po</t>
  </si>
  <si>
    <t>des-ho</t>
  </si>
  <si>
    <t>Primer Nivel</t>
  </si>
  <si>
    <t>Cambio</t>
  </si>
  <si>
    <t>TempMedia</t>
  </si>
  <si>
    <t xml:space="preserve">Nivel de Entrenador </t>
  </si>
  <si>
    <t>Experiencia</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</si>
  <si>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</si>
  <si>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</si>
  <si>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</si>
  <si>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</si>
  <si>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</si>
  <si>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</si>
  <si>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</si>
  <si>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</si>
  <si>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</si>
  <si>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</si>
  <si>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</si>
  <si>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</si>
  <si>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</si>
  <si>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</si>
  <si>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</si>
  <si>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</si>
  <si>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</si>
  <si>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</si>
  <si>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</si>
  <si>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</si>
  <si>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</si>
  <si>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</si>
  <si>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</si>
  <si>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</si>
  <si>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</si>
  <si>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</si>
  <si>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</si>
  <si>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</si>
  <si>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</si>
  <si>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</si>
  <si>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</si>
  <si>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</si>
  <si>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</si>
  <si>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</si>
  <si>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</si>
  <si>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</si>
  <si>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</si>
  <si>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</si>
  <si>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</si>
  <si>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</si>
  <si>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</si>
  <si>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</si>
  <si>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</si>
  <si>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</si>
  <si>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</si>
  <si>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</si>
  <si>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</si>
  <si>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</si>
  <si>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</si>
  <si>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</si>
  <si>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</si>
  <si>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</si>
  <si>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</si>
  <si>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</si>
  <si>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</si>
  <si>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</si>
  <si>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</si>
  <si>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</si>
  <si>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T_Desast</t>
  </si>
  <si>
    <t>Nil</t>
  </si>
  <si>
    <t>T_Des</t>
  </si>
  <si>
    <t>Desastroso</t>
  </si>
  <si>
    <t>Horrible</t>
  </si>
  <si>
    <t>SEM</t>
  </si>
  <si>
    <t>%_PHTMS</t>
  </si>
  <si>
    <t>E_Temp</t>
  </si>
  <si>
    <t>P_Temp</t>
  </si>
  <si>
    <t>TEMP</t>
  </si>
  <si>
    <t>ENTRENADOR</t>
  </si>
  <si>
    <t>% RES</t>
  </si>
  <si>
    <t>BUENO</t>
  </si>
  <si>
    <t>EXCELENTE</t>
  </si>
  <si>
    <t>AsiStentes</t>
  </si>
  <si>
    <t>EDAD</t>
  </si>
  <si>
    <t>16-17</t>
  </si>
  <si>
    <t>17-18</t>
  </si>
  <si>
    <t>18-19</t>
  </si>
  <si>
    <t>19-20</t>
  </si>
  <si>
    <t>20-21</t>
  </si>
  <si>
    <t>21-22</t>
  </si>
  <si>
    <t>22-23</t>
  </si>
  <si>
    <t>23-24</t>
  </si>
  <si>
    <t>24-25</t>
  </si>
  <si>
    <t>25-26</t>
  </si>
  <si>
    <t>26-27</t>
  </si>
  <si>
    <t>27-28</t>
  </si>
  <si>
    <t>28-29</t>
  </si>
  <si>
    <t>TSI_A</t>
  </si>
  <si>
    <t>#21</t>
  </si>
  <si>
    <t>Enrique Cubas</t>
  </si>
  <si>
    <t>Fernando Gazón</t>
  </si>
  <si>
    <t>IMP</t>
  </si>
  <si>
    <t>HTMS</t>
  </si>
  <si>
    <t>Santiago Serra</t>
  </si>
  <si>
    <t>Eckardt Hägerling</t>
  </si>
  <si>
    <t>Roberto Abenoza</t>
  </si>
  <si>
    <t>Roberto Montero</t>
  </si>
  <si>
    <t>Julio Calle</t>
  </si>
  <si>
    <t>Paulo Beltrán</t>
  </si>
  <si>
    <t>Noel Fuster</t>
  </si>
  <si>
    <t>Nicolás Eans</t>
  </si>
  <si>
    <t>Marc Dolz</t>
  </si>
  <si>
    <t>#22</t>
  </si>
  <si>
    <t>Valeri Gomis</t>
  </si>
  <si>
    <t>#23</t>
  </si>
  <si>
    <t>3 para ext/Inn de 17-0 con especialidad y 6 lider</t>
  </si>
  <si>
    <t>Entrenar LAT/PAS para eventos</t>
  </si>
  <si>
    <t>3 INN CAB</t>
  </si>
  <si>
    <t>Entrenar ANO hasta brillante</t>
  </si>
  <si>
    <t>Entrenar JUG hasta CM</t>
  </si>
  <si>
    <t>4 DEF con jugadas (2CAB y 2 sin o POT/IMP)</t>
  </si>
  <si>
    <t>Entrenar DEF hasta CM</t>
  </si>
  <si>
    <t>Fichar 1POR/2DD y algun otro</t>
  </si>
  <si>
    <t>Entrenar BP hasta 20</t>
  </si>
  <si>
    <t>PS</t>
  </si>
  <si>
    <t>Jug</t>
  </si>
  <si>
    <t>Año</t>
  </si>
  <si>
    <t>Dia</t>
  </si>
  <si>
    <t>E_Po</t>
  </si>
  <si>
    <t>E_De</t>
  </si>
  <si>
    <t>E_Cr</t>
  </si>
  <si>
    <t>E_Ex</t>
  </si>
  <si>
    <t>E_Ps</t>
  </si>
  <si>
    <t>E_An</t>
  </si>
  <si>
    <t>E_PA</t>
  </si>
  <si>
    <t>E_TOTAL</t>
  </si>
  <si>
    <t>E. Cubas</t>
  </si>
  <si>
    <t>V. Gomis</t>
  </si>
  <si>
    <t>J.G. Peñuela</t>
  </si>
  <si>
    <t>#16</t>
  </si>
  <si>
    <t>Inner</t>
  </si>
  <si>
    <t>Defensa</t>
  </si>
  <si>
    <t>Delantero</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</si>
  <si>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</si>
  <si>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</si>
  <si>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</si>
  <si>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</si>
  <si>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</si>
  <si>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</si>
  <si>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</si>
  <si>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</si>
  <si>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</si>
  <si>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</si>
  <si>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</si>
  <si>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</si>
  <si>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</si>
  <si>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</si>
  <si>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</si>
  <si>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liderazgo x liderazgo x experiencia</t>
  </si>
  <si>
    <t>Thomas Ruelle</t>
  </si>
  <si>
    <t>Karl-Uwe Mose</t>
  </si>
  <si>
    <t>Werner Mayer</t>
  </si>
  <si>
    <t>Giovanni Bellavite Pellegrini</t>
  </si>
  <si>
    <t>Frederic Ekster</t>
  </si>
  <si>
    <t>Gilad Domb</t>
  </si>
  <si>
    <t xml:space="preserve">功志 (Koji) 森 (Mori) </t>
  </si>
  <si>
    <t>Belmiro Marques Jr.</t>
  </si>
  <si>
    <t>Zoltán Nyilas</t>
  </si>
  <si>
    <t>Radko Kravaev</t>
  </si>
  <si>
    <t>#20</t>
  </si>
  <si>
    <t>#24</t>
  </si>
  <si>
    <t>#25</t>
  </si>
  <si>
    <t>#26</t>
  </si>
  <si>
    <t>#27</t>
  </si>
  <si>
    <t>#28</t>
  </si>
  <si>
    <t>CEN</t>
  </si>
  <si>
    <t>#29</t>
  </si>
  <si>
    <t>Ioannis Avramopoulos</t>
  </si>
  <si>
    <t>Paso1</t>
  </si>
  <si>
    <t>Paso2</t>
  </si>
  <si>
    <t>Ent</t>
  </si>
  <si>
    <t>Tem</t>
  </si>
  <si>
    <t>Paso3</t>
  </si>
  <si>
    <t>Paso4</t>
  </si>
  <si>
    <t>Paso5</t>
  </si>
  <si>
    <t>Paso6</t>
  </si>
  <si>
    <t>Paso7</t>
  </si>
  <si>
    <t>J. G. de Minaya</t>
  </si>
  <si>
    <t>INN</t>
  </si>
  <si>
    <t>J. G. Peñuela</t>
  </si>
  <si>
    <t xml:space="preserve">Anotació </t>
  </si>
  <si>
    <t xml:space="preserve">Setmana de Hattrick </t>
  </si>
  <si>
    <t xml:space="preserve">Setmanes restants </t>
  </si>
  <si>
    <t xml:space="preserve">Des de l'última pujada </t>
  </si>
  <si>
    <t>Edat</t>
  </si>
  <si>
    <t xml:space="preserve">dèbil (4) </t>
  </si>
  <si>
    <t xml:space="preserve">3 (55) </t>
  </si>
  <si>
    <t>17 (69)</t>
  </si>
  <si>
    <t xml:space="preserve">insuficient (5) </t>
  </si>
  <si>
    <t xml:space="preserve">5 (55) </t>
  </si>
  <si>
    <t>17 (83)</t>
  </si>
  <si>
    <t xml:space="preserve">acceptable (6) </t>
  </si>
  <si>
    <t xml:space="preserve">8 (55) </t>
  </si>
  <si>
    <t>17 (104)</t>
  </si>
  <si>
    <t xml:space="preserve">notable (7) </t>
  </si>
  <si>
    <t xml:space="preserve">11 (55) </t>
  </si>
  <si>
    <t>18 (13)</t>
  </si>
  <si>
    <t xml:space="preserve">excel·lent (8) </t>
  </si>
  <si>
    <t xml:space="preserve">14 (55) </t>
  </si>
  <si>
    <t>18 (34)</t>
  </si>
  <si>
    <t xml:space="preserve">formidable (9) </t>
  </si>
  <si>
    <t xml:space="preserve">3 (56) </t>
  </si>
  <si>
    <t>18 (69)</t>
  </si>
  <si>
    <t xml:space="preserve">destacat (10) </t>
  </si>
  <si>
    <t xml:space="preserve">7 (56) </t>
  </si>
  <si>
    <t>18 (97)</t>
  </si>
  <si>
    <t xml:space="preserve">brillant (11) </t>
  </si>
  <si>
    <t xml:space="preserve">13 (56) </t>
  </si>
  <si>
    <t>19 (27)</t>
  </si>
  <si>
    <t xml:space="preserve">magnífic (12) </t>
  </si>
  <si>
    <t xml:space="preserve">4 (57) </t>
  </si>
  <si>
    <t>19 (76)</t>
  </si>
  <si>
    <t xml:space="preserve">classe mundial (13) </t>
  </si>
  <si>
    <t xml:space="preserve">11 (57) </t>
  </si>
  <si>
    <t>20 (13)</t>
  </si>
  <si>
    <t xml:space="preserve">sobrenatural (14) </t>
  </si>
  <si>
    <t xml:space="preserve">4 (58) </t>
  </si>
  <si>
    <t>20 (76)</t>
  </si>
  <si>
    <t xml:space="preserve">titànic (15) </t>
  </si>
  <si>
    <t xml:space="preserve">14 (58) </t>
  </si>
  <si>
    <t>21 (34)</t>
  </si>
  <si>
    <t xml:space="preserve">extraterrestre (16) </t>
  </si>
  <si>
    <t xml:space="preserve">9 (59) </t>
  </si>
  <si>
    <t>21 (111)</t>
  </si>
  <si>
    <t xml:space="preserve">mític (17) </t>
  </si>
  <si>
    <t xml:space="preserve">7 (60) </t>
  </si>
  <si>
    <t>22 (97)</t>
  </si>
  <si>
    <t xml:space="preserve">màgic (18) </t>
  </si>
  <si>
    <t xml:space="preserve">8 (61) </t>
  </si>
  <si>
    <t>23 (104)</t>
  </si>
  <si>
    <t xml:space="preserve">utòpic (19) </t>
  </si>
  <si>
    <t xml:space="preserve">14 (62) </t>
  </si>
  <si>
    <t>25 (34)</t>
  </si>
  <si>
    <t xml:space="preserve">diví (20) </t>
  </si>
  <si>
    <t xml:space="preserve">4 (65) </t>
  </si>
  <si>
    <t>27 (76)</t>
  </si>
  <si>
    <t xml:space="preserve">4 (55) </t>
  </si>
  <si>
    <t xml:space="preserve">6 (55) </t>
  </si>
  <si>
    <t xml:space="preserve">2 (56) </t>
  </si>
  <si>
    <t xml:space="preserve">12 (56) </t>
  </si>
  <si>
    <t>19 (20)</t>
  </si>
  <si>
    <t xml:space="preserve">1 (57) </t>
  </si>
  <si>
    <t xml:space="preserve">8 (57) </t>
  </si>
  <si>
    <t xml:space="preserve">15 (57) </t>
  </si>
  <si>
    <t xml:space="preserve">8 (58) </t>
  </si>
  <si>
    <t>Casildo Abraldes</t>
  </si>
  <si>
    <t>Alberto Ercilla</t>
  </si>
  <si>
    <t>Manuel Parejo</t>
  </si>
  <si>
    <t>Raul Riquelme</t>
  </si>
  <si>
    <t>17 (77)</t>
  </si>
  <si>
    <t>17 (91)</t>
  </si>
  <si>
    <t xml:space="preserve">10 (55) </t>
  </si>
  <si>
    <t>18 (7)</t>
  </si>
  <si>
    <t xml:space="preserve">13 (55) </t>
  </si>
  <si>
    <t>18 (28)</t>
  </si>
  <si>
    <t xml:space="preserve">1 (56) </t>
  </si>
  <si>
    <t>18 (55)</t>
  </si>
  <si>
    <t xml:space="preserve">6 (56) </t>
  </si>
  <si>
    <t>18 (90)</t>
  </si>
  <si>
    <t xml:space="preserve">3 (57) </t>
  </si>
  <si>
    <t>19 (69)</t>
  </si>
  <si>
    <t xml:space="preserve">10 (57) </t>
  </si>
  <si>
    <t>20 (6)</t>
  </si>
  <si>
    <t xml:space="preserve">3 (58) </t>
  </si>
  <si>
    <t>20 (70)</t>
  </si>
  <si>
    <t xml:space="preserve">12 (58) </t>
  </si>
  <si>
    <t>21 (21)</t>
  </si>
  <si>
    <t xml:space="preserve">8 (59) </t>
  </si>
  <si>
    <t>21 (104)</t>
  </si>
  <si>
    <t xml:space="preserve">6 (60) </t>
  </si>
  <si>
    <t>22 (90)</t>
  </si>
  <si>
    <t xml:space="preserve">6 (61) </t>
  </si>
  <si>
    <t>23 (91)</t>
  </si>
  <si>
    <t xml:space="preserve">13 (62) </t>
  </si>
  <si>
    <t>25 (27)</t>
  </si>
  <si>
    <t xml:space="preserve">3 (65) </t>
  </si>
  <si>
    <t>27 (70)</t>
  </si>
  <si>
    <t xml:space="preserve">Srestants </t>
  </si>
  <si>
    <t xml:space="preserve">última pujada </t>
  </si>
  <si>
    <t xml:space="preserve">Sde Hattrick </t>
  </si>
  <si>
    <t>17 (73)</t>
  </si>
  <si>
    <t xml:space="preserve">7 (55) </t>
  </si>
  <si>
    <t>17 (94)</t>
  </si>
  <si>
    <t>18 (3)</t>
  </si>
  <si>
    <t>18 (31)</t>
  </si>
  <si>
    <t>18 (65)</t>
  </si>
  <si>
    <t xml:space="preserve">9 (56) </t>
  </si>
  <si>
    <t>18 (107)</t>
  </si>
  <si>
    <t xml:space="preserve">16 (56) </t>
  </si>
  <si>
    <t>19 (44)</t>
  </si>
  <si>
    <t xml:space="preserve">7 (57) </t>
  </si>
  <si>
    <t>19 (93)</t>
  </si>
  <si>
    <t xml:space="preserve">16 (57) </t>
  </si>
  <si>
    <t>20 (45)</t>
  </si>
  <si>
    <t xml:space="preserve">9 (58) </t>
  </si>
  <si>
    <t>20 (108)</t>
  </si>
  <si>
    <t xml:space="preserve">5 (59) </t>
  </si>
  <si>
    <t>21 (79)</t>
  </si>
  <si>
    <t xml:space="preserve">2 (60) </t>
  </si>
  <si>
    <t>22 (58)</t>
  </si>
  <si>
    <t xml:space="preserve">3 (61) </t>
  </si>
  <si>
    <t>23 (66)</t>
  </si>
  <si>
    <t xml:space="preserve">10 (62) </t>
  </si>
  <si>
    <t>25 (2)</t>
  </si>
  <si>
    <t xml:space="preserve">15 (64) </t>
  </si>
  <si>
    <t>27 (38)</t>
  </si>
  <si>
    <t>Juan García Peñuela</t>
  </si>
  <si>
    <t>Juan Gabriel de Minaya</t>
  </si>
  <si>
    <t xml:space="preserve">9 (55) </t>
  </si>
  <si>
    <t>18 (10)</t>
  </si>
  <si>
    <t>18 (38)</t>
  </si>
  <si>
    <t>18 (72)</t>
  </si>
  <si>
    <t xml:space="preserve">8 (56) </t>
  </si>
  <si>
    <t>19 (2)</t>
  </si>
  <si>
    <t xml:space="preserve">14 (56) </t>
  </si>
  <si>
    <t xml:space="preserve">6 (57) </t>
  </si>
  <si>
    <t>19 (100)</t>
  </si>
  <si>
    <t xml:space="preserve">14 (57) </t>
  </si>
  <si>
    <t>21 (3)</t>
  </si>
  <si>
    <t xml:space="preserve">3 (59) </t>
  </si>
  <si>
    <t>21 (80)</t>
  </si>
  <si>
    <t xml:space="preserve">1 (60) </t>
  </si>
  <si>
    <t>22 (65)</t>
  </si>
  <si>
    <t xml:space="preserve">2 (61) </t>
  </si>
  <si>
    <t>23 (73)</t>
  </si>
  <si>
    <t xml:space="preserve">8 (62) </t>
  </si>
  <si>
    <t xml:space="preserve">14 (64) </t>
  </si>
  <si>
    <t>27 (45)</t>
  </si>
  <si>
    <t>17 (80)</t>
  </si>
  <si>
    <t>17 (101)</t>
  </si>
  <si>
    <t xml:space="preserve">16 (55) </t>
  </si>
  <si>
    <t>18 (44)</t>
  </si>
  <si>
    <t xml:space="preserve">4 (56) </t>
  </si>
  <si>
    <t xml:space="preserve">10 (56) </t>
  </si>
  <si>
    <t>19 (51)</t>
  </si>
  <si>
    <t xml:space="preserve">1 (58) </t>
  </si>
  <si>
    <t>20 (52)</t>
  </si>
  <si>
    <t xml:space="preserve">10 (58) </t>
  </si>
  <si>
    <t xml:space="preserve">6 (59) </t>
  </si>
  <si>
    <t>21 (86)</t>
  </si>
  <si>
    <t xml:space="preserve">3 (60) </t>
  </si>
  <si>
    <t xml:space="preserve">4 (61) </t>
  </si>
  <si>
    <t xml:space="preserve">11 (62) </t>
  </si>
  <si>
    <t>25 (9)</t>
  </si>
  <si>
    <t xml:space="preserve">1 (65) </t>
  </si>
  <si>
    <t>27 (52)</t>
  </si>
  <si>
    <t>17 (55)</t>
  </si>
  <si>
    <t>18 (5)</t>
  </si>
  <si>
    <t>18 (47)</t>
  </si>
  <si>
    <t>18 (89)</t>
  </si>
  <si>
    <t>19 (33)</t>
  </si>
  <si>
    <t xml:space="preserve">12 (57) </t>
  </si>
  <si>
    <t>19 (89)</t>
  </si>
  <si>
    <t xml:space="preserve">6 (58) </t>
  </si>
  <si>
    <t>20 (48)</t>
  </si>
  <si>
    <t xml:space="preserve">1 (59) </t>
  </si>
  <si>
    <t>21 (13)</t>
  </si>
  <si>
    <t xml:space="preserve">14 (59) </t>
  </si>
  <si>
    <t>21 (103)</t>
  </si>
  <si>
    <t xml:space="preserve">15 (60) </t>
  </si>
  <si>
    <t>22 (110)</t>
  </si>
  <si>
    <t xml:space="preserve">5 (62) </t>
  </si>
  <si>
    <t>24 (41)</t>
  </si>
  <si>
    <t xml:space="preserve">10 (64) </t>
  </si>
  <si>
    <t>26 (76)</t>
  </si>
  <si>
    <t>18 (86)</t>
  </si>
  <si>
    <t xml:space="preserve">15 (56) </t>
  </si>
  <si>
    <t>19 (16)</t>
  </si>
  <si>
    <t>19 (72)</t>
  </si>
  <si>
    <t>20 (17)</t>
  </si>
  <si>
    <t>20 (87)</t>
  </si>
  <si>
    <t xml:space="preserve">4 (59) </t>
  </si>
  <si>
    <t>21 (51)</t>
  </si>
  <si>
    <t>22 (37)</t>
  </si>
  <si>
    <t>23 (45)</t>
  </si>
  <si>
    <t xml:space="preserve">9 (62) </t>
  </si>
  <si>
    <t>24 (86)</t>
  </si>
  <si>
    <t>27 (10)</t>
  </si>
  <si>
    <t>#30</t>
  </si>
  <si>
    <t>Mauro Vaz</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</si>
</sst>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 #,##0.00\ &quot;€&quot;_-;\-* #,##0.00\ &quot;€&quot;_-;_-* &quot;-&quot;??\ &quot;€&quot;_-;_-@_-"/>
    <numFmt numFmtId="43" formatCode="_-* #,##0.00\ _€_-;\-* #,##0.00\ _€_-;_-* &quot;-&quot;??\ _€_-;_-@_-"/>
    <numFmt numFmtId="164" formatCode="0.0"/>
    <numFmt numFmtId="165" formatCode="_-* #,##0\ _€_-;\-* #,##0\ _€_-;_-* &quot;-&quot;??\ _€_-;_-@_-"/>
    <numFmt numFmtId="166" formatCode="_-* #,##0.0\ _€_-;\-* #,##0.0\ _€_-;_-* &quot;-&quot;??\ _€_-;_-@_-"/>
    <numFmt numFmtId="167" formatCode="0.000"/>
    <numFmt numFmtId="168" formatCode="_-* #,##0\ &quot;€&quot;_-;\-* #,##0\ &quot;€&quot;_-;_-* &quot;-&quot;??\ &quot;€&quot;_-;_-@_-"/>
    <numFmt numFmtId="169" formatCode="0.0%"/>
    <numFmt numFmtId="170" formatCode="_-* #,##0.0\ &quot;€&quot;_-;\-* #,##0.0\ &quot;€&quot;_-;_-* &quot;-&quot;??\ &quot;€&quot;_-;_-@_-"/>
  </numFmts>
  <fonts count="47" x14ac:knownFonts="1">
    <font>
      <sz val="11"/>
      <color theme="1"/>
      <name val="Calibri"/>
      <family val="2"/>
      <scheme val="minor"/>
    </font>
    <font>
      <sz val="11"/>
      <color theme="1"/>
      <name val="Calibri"/>
      <family val="2"/>
      <scheme val="minor"/>
    </font>
    <font>
      <sz val="11"/>
      <color indexed="8"/>
      <name val="Calibri"/>
      <family val="2"/>
      <charset val="1"/>
    </font>
    <font>
      <b/>
      <sz val="11"/>
      <color indexed="8"/>
      <name val="Calibri"/>
      <family val="2"/>
    </font>
    <font>
      <b/>
      <i/>
      <u/>
      <sz val="8"/>
      <color theme="0"/>
      <name val="Verdana"/>
      <family val="2"/>
    </font>
    <font>
      <sz val="11"/>
      <color indexed="8"/>
      <name val="Calibri"/>
      <family val="2"/>
    </font>
    <font>
      <sz val="8"/>
      <color rgb="FF000000"/>
      <name val="Verdana"/>
      <family val="2"/>
    </font>
    <font>
      <sz val="8"/>
      <name val="Verdana"/>
      <family val="2"/>
    </font>
    <font>
      <b/>
      <sz val="8"/>
      <color theme="0"/>
      <name val="Verdana"/>
      <family val="2"/>
    </font>
    <font>
      <b/>
      <sz val="8"/>
      <name val="Verdana"/>
      <family val="2"/>
    </font>
    <font>
      <sz val="11"/>
      <name val="Calibri"/>
      <family val="2"/>
      <scheme val="minor"/>
    </font>
    <font>
      <i/>
      <u/>
      <sz val="11"/>
      <name val="Calibri"/>
      <family val="2"/>
      <scheme val="minor"/>
    </font>
    <font>
      <sz val="10"/>
      <name val="Calibri"/>
      <family val="2"/>
      <scheme val="minor"/>
    </font>
    <font>
      <sz val="11"/>
      <name val="Calibri"/>
      <family val="2"/>
    </font>
    <font>
      <b/>
      <sz val="8"/>
      <color rgb="FF000000"/>
      <name val="Verdana"/>
      <family val="2"/>
    </font>
    <font>
      <sz val="8"/>
      <color indexed="81"/>
      <name val="Tahoma"/>
      <family val="2"/>
    </font>
    <font>
      <b/>
      <sz val="11"/>
      <color theme="1"/>
      <name val="Calibri"/>
      <family val="2"/>
      <scheme val="minor"/>
    </font>
    <font>
      <b/>
      <sz val="8"/>
      <color rgb="FFFF0000"/>
      <name val="Verdana"/>
      <family val="2"/>
    </font>
    <font>
      <b/>
      <sz val="11"/>
      <color theme="0"/>
      <name val="Calibri"/>
      <family val="2"/>
      <scheme val="minor"/>
    </font>
    <font>
      <b/>
      <sz val="12"/>
      <color rgb="FF000000"/>
      <name val="Verdana"/>
      <family val="2"/>
    </font>
    <font>
      <b/>
      <sz val="12"/>
      <color theme="1"/>
      <name val="Calibri"/>
      <family val="2"/>
      <scheme val="minor"/>
    </font>
    <font>
      <b/>
      <sz val="14"/>
      <color theme="1"/>
      <name val="Calibri"/>
      <family val="2"/>
      <scheme val="minor"/>
    </font>
    <font>
      <sz val="14"/>
      <color theme="1"/>
      <name val="Calibri"/>
      <family val="2"/>
      <scheme val="minor"/>
    </font>
    <font>
      <sz val="8"/>
      <color theme="1"/>
      <name val="Calibri"/>
      <family val="2"/>
      <scheme val="minor"/>
    </font>
    <font>
      <b/>
      <sz val="8"/>
      <color theme="1"/>
      <name val="Calibri"/>
      <family val="2"/>
      <scheme val="minor"/>
    </font>
    <font>
      <b/>
      <sz val="8"/>
      <color rgb="FFFFFFFF"/>
      <name val="Calibri"/>
      <family val="2"/>
      <scheme val="minor"/>
    </font>
    <font>
      <b/>
      <i/>
      <sz val="12"/>
      <color theme="1"/>
      <name val="Calibri"/>
      <family val="2"/>
      <scheme val="minor"/>
    </font>
    <font>
      <sz val="8"/>
      <color rgb="FFFFFFFF"/>
      <name val="Calibri"/>
      <family val="2"/>
      <scheme val="minor"/>
    </font>
    <font>
      <b/>
      <sz val="14"/>
      <color rgb="FFFF0000"/>
      <name val="Calibri"/>
      <family val="2"/>
      <scheme val="minor"/>
    </font>
    <font>
      <b/>
      <sz val="8"/>
      <color indexed="81"/>
      <name val="Tahoma"/>
      <family val="2"/>
    </font>
    <font>
      <b/>
      <sz val="10"/>
      <color theme="1"/>
      <name val="Calibri"/>
      <family val="2"/>
      <scheme val="minor"/>
    </font>
    <font>
      <b/>
      <sz val="10"/>
      <color rgb="FFFF0000"/>
      <name val="Calibri"/>
      <family val="2"/>
      <scheme val="minor"/>
    </font>
    <font>
      <b/>
      <sz val="11"/>
      <name val="Calibri"/>
      <family val="2"/>
      <scheme val="minor"/>
    </font>
    <font>
      <b/>
      <i/>
      <u/>
      <sz val="11"/>
      <color theme="1"/>
      <name val="Calibri"/>
      <family val="2"/>
      <scheme val="minor"/>
    </font>
    <font>
      <sz val="10"/>
      <color theme="1"/>
      <name val="Calibri"/>
      <family val="2"/>
      <scheme val="minor"/>
    </font>
    <font>
      <b/>
      <sz val="11"/>
      <color theme="0"/>
      <name val="Calibri"/>
      <family val="2"/>
      <charset val="1"/>
    </font>
    <font>
      <sz val="10"/>
      <name val="Calibri"/>
      <family val="2"/>
    </font>
    <font>
      <b/>
      <sz val="11"/>
      <color rgb="FFFF0000"/>
      <name val="Calibri"/>
      <family val="2"/>
    </font>
    <font>
      <b/>
      <sz val="11"/>
      <color rgb="FF00B0F0"/>
      <name val="Calibri"/>
      <family val="2"/>
    </font>
    <font>
      <sz val="16"/>
      <name val="Verdana"/>
      <family val="2"/>
    </font>
    <font>
      <sz val="14"/>
      <name val="Verdana"/>
      <family val="2"/>
    </font>
    <font>
      <sz val="10"/>
      <name val="Verdana"/>
      <family val="2"/>
    </font>
    <font>
      <sz val="8.5"/>
      <name val="Verdana"/>
      <family val="2"/>
    </font>
    <font>
      <b/>
      <sz val="12"/>
      <name val="Arial"/>
      <family val="2"/>
    </font>
    <font>
      <b/>
      <sz val="11"/>
      <color rgb="FFFF0000"/>
      <name val="Calibri"/>
      <family val="2"/>
      <scheme val="minor"/>
    </font>
    <font>
      <b/>
      <sz val="11"/>
      <color theme="3"/>
      <name val="Calibri"/>
      <family val="2"/>
    </font>
    <font>
      <b/>
      <sz val="11"/>
      <color theme="4" tint="-0.499984740745262"/>
      <name val="Calibri"/>
      <family val="2"/>
    </font>
  </fonts>
  <fills count="35">
    <fill>
      <patternFill patternType="none"/>
    </fill>
    <fill>
      <patternFill patternType="gray125"/>
    </fill>
    <fill>
      <patternFill patternType="solid">
        <fgColor theme="2" tint="-9.9978637043366805E-2"/>
        <bgColor indexed="64"/>
      </patternFill>
    </fill>
    <fill>
      <patternFill patternType="solid">
        <fgColor rgb="FFFFFFFF"/>
        <bgColor indexed="64"/>
      </patternFill>
    </fill>
    <fill>
      <patternFill patternType="solid">
        <fgColor rgb="FFEEEEEE"/>
        <bgColor indexed="64"/>
      </patternFill>
    </fill>
    <fill>
      <patternFill patternType="solid">
        <fgColor theme="8" tint="0.79998168889431442"/>
        <bgColor indexed="64"/>
      </patternFill>
    </fill>
    <fill>
      <patternFill patternType="solid">
        <fgColor theme="4" tint="-0.249977111117893"/>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rgb="FF92D050"/>
        <bgColor indexed="64"/>
      </patternFill>
    </fill>
    <fill>
      <patternFill patternType="solid">
        <fgColor rgb="FF000000"/>
        <bgColor indexed="64"/>
      </patternFill>
    </fill>
    <fill>
      <patternFill patternType="solid">
        <fgColor rgb="FFFFFF00"/>
        <bgColor indexed="64"/>
      </patternFill>
    </fill>
    <fill>
      <patternFill patternType="solid">
        <fgColor rgb="FF333333"/>
        <bgColor indexed="64"/>
      </patternFill>
    </fill>
    <fill>
      <patternFill patternType="solid">
        <fgColor rgb="FFCCCCCC"/>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5" tint="0.39997558519241921"/>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44" fontId="1" fillId="0" borderId="0" applyFont="0" applyFill="0" applyBorder="0" applyAlignment="0" applyProtection="0"/>
  </cellStyleXfs>
  <cellXfs count="238">
    <xf numFmtId="0" fontId="0" fillId="0" borderId="0" xfId="0"/>
    <xf numFmtId="0" fontId="6" fillId="3" borderId="1" xfId="0" applyFont="1" applyFill="1" applyBorder="1" applyAlignment="1">
      <alignment horizontal="left" vertical="center"/>
    </xf>
    <xf numFmtId="1" fontId="6" fillId="3" borderId="1" xfId="0" applyNumberFormat="1" applyFont="1" applyFill="1" applyBorder="1" applyAlignment="1">
      <alignment horizontal="left" vertical="center"/>
    </xf>
    <xf numFmtId="0" fontId="6" fillId="4" borderId="1" xfId="0" applyFont="1" applyFill="1" applyBorder="1" applyAlignment="1">
      <alignment horizontal="center" vertical="center"/>
    </xf>
    <xf numFmtId="0" fontId="7" fillId="0" borderId="1" xfId="0" applyFont="1" applyFill="1" applyBorder="1" applyAlignment="1">
      <alignment horizontal="left" vertical="center"/>
    </xf>
    <xf numFmtId="164" fontId="6" fillId="4" borderId="1" xfId="0" applyNumberFormat="1" applyFont="1" applyFill="1" applyBorder="1" applyAlignment="1">
      <alignment horizontal="left" vertical="center"/>
    </xf>
    <xf numFmtId="1" fontId="7" fillId="5" borderId="1" xfId="0" applyNumberFormat="1" applyFont="1" applyFill="1" applyBorder="1" applyAlignment="1">
      <alignment horizontal="left" vertical="center"/>
    </xf>
    <xf numFmtId="0" fontId="6" fillId="4" borderId="1" xfId="0" applyFont="1" applyFill="1" applyBorder="1" applyAlignment="1">
      <alignment horizontal="right" vertical="center"/>
    </xf>
    <xf numFmtId="166" fontId="7" fillId="4" borderId="1" xfId="1" applyNumberFormat="1" applyFont="1" applyFill="1" applyBorder="1" applyAlignment="1">
      <alignment horizontal="right" vertical="center"/>
    </xf>
    <xf numFmtId="165" fontId="7" fillId="4" borderId="1" xfId="1" applyNumberFormat="1" applyFont="1" applyFill="1" applyBorder="1" applyAlignment="1">
      <alignment horizontal="right" vertical="center"/>
    </xf>
    <xf numFmtId="0" fontId="8" fillId="6" borderId="1" xfId="0" applyFont="1" applyFill="1" applyBorder="1" applyAlignment="1">
      <alignment horizontal="center" vertical="center"/>
    </xf>
    <xf numFmtId="0" fontId="4" fillId="6" borderId="1" xfId="0" applyFont="1" applyFill="1" applyBorder="1" applyAlignment="1">
      <alignment horizontal="center" vertical="center"/>
    </xf>
    <xf numFmtId="0" fontId="8" fillId="6" borderId="1" xfId="0" applyFont="1" applyFill="1" applyBorder="1" applyAlignment="1">
      <alignment horizontal="right" vertical="center"/>
    </xf>
    <xf numFmtId="0" fontId="9" fillId="7" borderId="1" xfId="0" applyFont="1" applyFill="1" applyBorder="1" applyAlignment="1">
      <alignment horizontal="center" vertical="center"/>
    </xf>
    <xf numFmtId="0" fontId="9" fillId="8" borderId="1" xfId="0" applyFont="1" applyFill="1" applyBorder="1" applyAlignment="1">
      <alignment horizontal="center" vertical="center"/>
    </xf>
    <xf numFmtId="0" fontId="10" fillId="0" borderId="1" xfId="0" applyFont="1" applyBorder="1"/>
    <xf numFmtId="0" fontId="7" fillId="3" borderId="1" xfId="0" applyFont="1" applyFill="1" applyBorder="1" applyAlignment="1">
      <alignment horizontal="left" vertical="center"/>
    </xf>
    <xf numFmtId="1" fontId="7" fillId="3" borderId="1" xfId="0" applyNumberFormat="1" applyFont="1" applyFill="1" applyBorder="1" applyAlignment="1">
      <alignment horizontal="left" vertical="center"/>
    </xf>
    <xf numFmtId="0" fontId="7" fillId="4" borderId="1" xfId="0" applyFont="1" applyFill="1" applyBorder="1" applyAlignment="1">
      <alignment horizontal="center" vertical="center"/>
    </xf>
    <xf numFmtId="164" fontId="7" fillId="4" borderId="1" xfId="0" applyNumberFormat="1" applyFont="1" applyFill="1" applyBorder="1" applyAlignment="1">
      <alignment horizontal="center" vertical="center"/>
    </xf>
    <xf numFmtId="1" fontId="7" fillId="4" borderId="1" xfId="0" applyNumberFormat="1" applyFont="1" applyFill="1" applyBorder="1" applyAlignment="1">
      <alignment horizontal="center" vertical="center"/>
    </xf>
    <xf numFmtId="2" fontId="7" fillId="3" borderId="1" xfId="0" applyNumberFormat="1" applyFont="1" applyFill="1" applyBorder="1" applyAlignment="1">
      <alignment horizontal="left" vertical="center"/>
    </xf>
    <xf numFmtId="2" fontId="7" fillId="4" borderId="1" xfId="0" applyNumberFormat="1" applyFont="1" applyFill="1" applyBorder="1" applyAlignment="1">
      <alignment horizontal="left" vertical="center"/>
    </xf>
    <xf numFmtId="166" fontId="12" fillId="0" borderId="1" xfId="1" applyNumberFormat="1" applyFont="1" applyBorder="1" applyAlignment="1">
      <alignment horizontal="center"/>
    </xf>
    <xf numFmtId="0" fontId="0" fillId="0" borderId="1" xfId="0" applyFont="1" applyBorder="1"/>
    <xf numFmtId="164" fontId="6" fillId="4" borderId="1" xfId="0" applyNumberFormat="1" applyFont="1" applyFill="1" applyBorder="1" applyAlignment="1">
      <alignment horizontal="center" vertical="center"/>
    </xf>
    <xf numFmtId="1" fontId="6" fillId="4" borderId="1" xfId="0" applyNumberFormat="1" applyFont="1" applyFill="1" applyBorder="1" applyAlignment="1">
      <alignment horizontal="center" vertical="center"/>
    </xf>
    <xf numFmtId="164" fontId="7" fillId="4" borderId="1" xfId="0" applyNumberFormat="1" applyFont="1" applyFill="1" applyBorder="1" applyAlignment="1">
      <alignment horizontal="left" vertical="center"/>
    </xf>
    <xf numFmtId="0" fontId="13" fillId="2" borderId="1" xfId="3" applyFont="1" applyFill="1" applyBorder="1" applyAlignment="1">
      <alignment horizontal="right"/>
    </xf>
    <xf numFmtId="0" fontId="7" fillId="4" borderId="1" xfId="0" applyFont="1" applyFill="1" applyBorder="1" applyAlignment="1">
      <alignment horizontal="right" vertical="center"/>
    </xf>
    <xf numFmtId="14" fontId="0" fillId="0" borderId="0" xfId="0" applyNumberFormat="1"/>
    <xf numFmtId="0" fontId="0" fillId="0" borderId="0" xfId="0" applyFont="1"/>
    <xf numFmtId="164" fontId="0" fillId="0" borderId="0" xfId="0" applyNumberFormat="1"/>
    <xf numFmtId="1" fontId="0" fillId="0" borderId="0" xfId="0" applyNumberFormat="1"/>
    <xf numFmtId="0" fontId="8" fillId="6" borderId="2" xfId="0" applyFont="1" applyFill="1" applyBorder="1" applyAlignment="1">
      <alignment horizontal="center" vertical="center"/>
    </xf>
    <xf numFmtId="0" fontId="8" fillId="6" borderId="0" xfId="0" applyFont="1" applyFill="1" applyBorder="1" applyAlignment="1">
      <alignment horizontal="center" vertical="center"/>
    </xf>
    <xf numFmtId="10" fontId="0" fillId="0" borderId="0" xfId="0" applyNumberFormat="1"/>
    <xf numFmtId="2" fontId="0" fillId="0" borderId="0" xfId="0" applyNumberFormat="1"/>
    <xf numFmtId="165" fontId="16" fillId="9" borderId="0" xfId="1" applyNumberFormat="1" applyFont="1" applyFill="1"/>
    <xf numFmtId="164" fontId="0" fillId="0" borderId="0" xfId="0" applyNumberFormat="1" applyAlignment="1">
      <alignment horizontal="center"/>
    </xf>
    <xf numFmtId="0" fontId="17" fillId="0" borderId="1" xfId="0" applyFont="1" applyFill="1" applyBorder="1" applyAlignment="1">
      <alignment horizontal="left" vertical="center"/>
    </xf>
    <xf numFmtId="0" fontId="18" fillId="10" borderId="0" xfId="0" applyFont="1" applyFill="1"/>
    <xf numFmtId="0" fontId="18" fillId="11" borderId="0" xfId="0" applyFont="1" applyFill="1" applyAlignment="1">
      <alignment horizontal="center"/>
    </xf>
    <xf numFmtId="0" fontId="18" fillId="12" borderId="0" xfId="0" applyFont="1" applyFill="1" applyAlignment="1">
      <alignment horizontal="center"/>
    </xf>
    <xf numFmtId="0" fontId="18" fillId="13" borderId="0" xfId="0" applyFont="1" applyFill="1"/>
    <xf numFmtId="0" fontId="18" fillId="12" borderId="0" xfId="0" applyFont="1" applyFill="1"/>
    <xf numFmtId="2" fontId="0" fillId="0" borderId="0" xfId="0" applyNumberFormat="1" applyAlignment="1">
      <alignment horizontal="center"/>
    </xf>
    <xf numFmtId="1" fontId="0" fillId="0" borderId="0" xfId="0" applyNumberFormat="1" applyAlignment="1">
      <alignment horizontal="center"/>
    </xf>
    <xf numFmtId="9" fontId="0" fillId="0" borderId="0" xfId="2" applyFont="1" applyAlignment="1">
      <alignment horizontal="center"/>
    </xf>
    <xf numFmtId="0" fontId="18" fillId="14" borderId="0" xfId="0" applyFont="1" applyFill="1" applyAlignment="1">
      <alignment horizontal="center"/>
    </xf>
    <xf numFmtId="0" fontId="18" fillId="15" borderId="0" xfId="0" applyFont="1" applyFill="1" applyAlignment="1">
      <alignment horizontal="center"/>
    </xf>
    <xf numFmtId="43" fontId="0" fillId="0" borderId="0" xfId="1" applyFont="1" applyAlignment="1">
      <alignment horizontal="center"/>
    </xf>
    <xf numFmtId="0" fontId="16" fillId="0" borderId="0" xfId="0" applyFont="1"/>
    <xf numFmtId="0" fontId="16" fillId="0" borderId="1" xfId="0" applyFont="1" applyBorder="1"/>
    <xf numFmtId="0" fontId="0" fillId="0" borderId="1" xfId="0" applyFill="1" applyBorder="1"/>
    <xf numFmtId="164" fontId="0" fillId="0" borderId="1" xfId="0" applyNumberFormat="1" applyFill="1" applyBorder="1"/>
    <xf numFmtId="167" fontId="0" fillId="0" borderId="1" xfId="0" applyNumberFormat="1" applyFill="1" applyBorder="1"/>
    <xf numFmtId="0" fontId="0" fillId="0" borderId="1" xfId="0" applyBorder="1"/>
    <xf numFmtId="10" fontId="0" fillId="0" borderId="1" xfId="0" applyNumberFormat="1" applyBorder="1"/>
    <xf numFmtId="9" fontId="0" fillId="0" borderId="1" xfId="0" applyNumberFormat="1" applyBorder="1"/>
    <xf numFmtId="168" fontId="0" fillId="0" borderId="1" xfId="4" applyNumberFormat="1" applyFont="1" applyFill="1" applyBorder="1" applyAlignment="1">
      <alignment horizontal="left" indent="2"/>
    </xf>
    <xf numFmtId="168" fontId="0" fillId="0" borderId="1" xfId="4" applyNumberFormat="1" applyFont="1" applyFill="1" applyBorder="1"/>
    <xf numFmtId="164" fontId="0" fillId="0" borderId="1" xfId="0" applyNumberFormat="1" applyBorder="1"/>
    <xf numFmtId="167" fontId="0" fillId="0" borderId="1" xfId="0" applyNumberFormat="1" applyBorder="1"/>
    <xf numFmtId="168" fontId="0" fillId="0" borderId="1" xfId="4" applyNumberFormat="1" applyFont="1" applyBorder="1"/>
    <xf numFmtId="0" fontId="0" fillId="0" borderId="0" xfId="0" applyAlignment="1">
      <alignment horizontal="center"/>
    </xf>
    <xf numFmtId="0" fontId="16" fillId="0" borderId="0" xfId="0" applyFont="1" applyAlignment="1">
      <alignment horizontal="center"/>
    </xf>
    <xf numFmtId="9" fontId="0" fillId="0" borderId="0" xfId="0" applyNumberFormat="1" applyAlignment="1">
      <alignment horizontal="center"/>
    </xf>
    <xf numFmtId="168" fontId="0" fillId="0" borderId="0" xfId="0" applyNumberFormat="1"/>
    <xf numFmtId="165" fontId="0" fillId="0" borderId="0" xfId="0" applyNumberFormat="1"/>
    <xf numFmtId="168" fontId="0" fillId="0" borderId="0" xfId="4" applyNumberFormat="1" applyFont="1"/>
    <xf numFmtId="0" fontId="6" fillId="0" borderId="0" xfId="0" applyFont="1"/>
    <xf numFmtId="0" fontId="19" fillId="0" borderId="0" xfId="0" applyFont="1"/>
    <xf numFmtId="0" fontId="6" fillId="0" borderId="0" xfId="0" applyFont="1" applyFill="1"/>
    <xf numFmtId="0" fontId="14" fillId="0" borderId="0" xfId="0" applyFont="1"/>
    <xf numFmtId="0" fontId="16" fillId="18" borderId="0" xfId="0" applyFont="1" applyFill="1" applyAlignment="1">
      <alignment horizontal="center" wrapText="1"/>
    </xf>
    <xf numFmtId="0" fontId="16" fillId="18" borderId="0" xfId="0" applyFont="1" applyFill="1" applyAlignment="1">
      <alignment wrapText="1"/>
    </xf>
    <xf numFmtId="0" fontId="16" fillId="18" borderId="0" xfId="0" applyFont="1" applyFill="1" applyBorder="1" applyAlignment="1">
      <alignment wrapText="1"/>
    </xf>
    <xf numFmtId="0" fontId="6" fillId="3" borderId="3" xfId="0" applyFont="1" applyFill="1" applyBorder="1" applyAlignment="1">
      <alignment horizontal="left" vertical="top" wrapText="1"/>
    </xf>
    <xf numFmtId="0" fontId="16" fillId="0" borderId="0" xfId="0" applyFont="1" applyFill="1" applyAlignment="1">
      <alignment wrapText="1"/>
    </xf>
    <xf numFmtId="9" fontId="16" fillId="18" borderId="0" xfId="0" applyNumberFormat="1" applyFont="1" applyFill="1" applyAlignment="1">
      <alignment wrapText="1"/>
    </xf>
    <xf numFmtId="0" fontId="0" fillId="0" borderId="0" xfId="0" applyAlignment="1">
      <alignment wrapText="1"/>
    </xf>
    <xf numFmtId="0" fontId="0" fillId="0" borderId="0" xfId="0" applyFont="1" applyBorder="1" applyAlignment="1">
      <alignment wrapText="1"/>
    </xf>
    <xf numFmtId="0" fontId="0" fillId="0" borderId="0" xfId="0" applyFill="1" applyAlignment="1">
      <alignment wrapText="1"/>
    </xf>
    <xf numFmtId="0" fontId="21" fillId="0" borderId="0" xfId="0" applyFont="1" applyFill="1" applyBorder="1" applyAlignment="1">
      <alignment wrapText="1"/>
    </xf>
    <xf numFmtId="9" fontId="21" fillId="18" borderId="1" xfId="0" applyNumberFormat="1" applyFont="1" applyFill="1" applyBorder="1" applyAlignment="1">
      <alignment wrapText="1"/>
    </xf>
    <xf numFmtId="0" fontId="21" fillId="0" borderId="1" xfId="0" applyFont="1" applyBorder="1" applyAlignment="1">
      <alignment wrapText="1"/>
    </xf>
    <xf numFmtId="0" fontId="22" fillId="0" borderId="1" xfId="0" applyFont="1" applyBorder="1" applyAlignment="1">
      <alignment wrapText="1"/>
    </xf>
    <xf numFmtId="9" fontId="16" fillId="18" borderId="0" xfId="0" applyNumberFormat="1" applyFont="1" applyFill="1" applyAlignment="1">
      <alignment horizontal="right" wrapText="1"/>
    </xf>
    <xf numFmtId="0" fontId="0" fillId="0" borderId="0" xfId="0" applyFill="1"/>
    <xf numFmtId="0" fontId="23" fillId="0" borderId="0" xfId="0" applyFont="1" applyFill="1"/>
    <xf numFmtId="0" fontId="23" fillId="0" borderId="0" xfId="0" applyFont="1"/>
    <xf numFmtId="0" fontId="20" fillId="0" borderId="0" xfId="0" applyFont="1"/>
    <xf numFmtId="0" fontId="23" fillId="0" borderId="0" xfId="0" applyFont="1" applyAlignment="1">
      <alignment horizontal="left" indent="2"/>
    </xf>
    <xf numFmtId="0" fontId="25" fillId="19" borderId="0" xfId="0" applyFont="1" applyFill="1" applyAlignment="1">
      <alignment horizontal="center" wrapText="1"/>
    </xf>
    <xf numFmtId="0" fontId="24" fillId="20" borderId="0" xfId="0" applyFont="1" applyFill="1" applyAlignment="1">
      <alignment horizontal="center" wrapText="1"/>
    </xf>
    <xf numFmtId="0" fontId="24" fillId="22" borderId="0" xfId="0" applyFont="1" applyFill="1" applyAlignment="1">
      <alignment horizontal="center" wrapText="1"/>
    </xf>
    <xf numFmtId="0" fontId="24" fillId="23" borderId="0" xfId="0" applyFont="1" applyFill="1" applyAlignment="1">
      <alignment horizontal="center" wrapText="1"/>
    </xf>
    <xf numFmtId="0" fontId="26" fillId="0" borderId="0" xfId="0" applyFont="1"/>
    <xf numFmtId="0" fontId="24" fillId="0" borderId="0" xfId="0" applyFont="1" applyAlignment="1">
      <alignment horizontal="center" wrapText="1"/>
    </xf>
    <xf numFmtId="0" fontId="23" fillId="22" borderId="0" xfId="0" applyFont="1" applyFill="1" applyAlignment="1">
      <alignment wrapText="1"/>
    </xf>
    <xf numFmtId="0" fontId="23" fillId="23" borderId="0" xfId="0" applyFont="1" applyFill="1" applyAlignment="1">
      <alignment wrapText="1"/>
    </xf>
    <xf numFmtId="0" fontId="24" fillId="21" borderId="0" xfId="0" applyFont="1" applyFill="1" applyAlignment="1">
      <alignment horizontal="center" wrapText="1"/>
    </xf>
    <xf numFmtId="0" fontId="21" fillId="26" borderId="4" xfId="0" applyFont="1" applyFill="1" applyBorder="1" applyAlignment="1">
      <alignment horizontal="center"/>
    </xf>
    <xf numFmtId="0" fontId="28" fillId="18" borderId="4" xfId="0" applyFont="1" applyFill="1" applyBorder="1" applyAlignment="1">
      <alignment horizontal="center"/>
    </xf>
    <xf numFmtId="0" fontId="0" fillId="0" borderId="1" xfId="0" applyBorder="1" applyAlignment="1">
      <alignment horizontal="center"/>
    </xf>
    <xf numFmtId="9" fontId="0" fillId="0" borderId="1" xfId="0" applyNumberFormat="1" applyBorder="1" applyAlignment="1">
      <alignment horizontal="center"/>
    </xf>
    <xf numFmtId="0" fontId="18" fillId="10" borderId="0" xfId="0" applyFont="1" applyFill="1" applyAlignment="1">
      <alignment horizontal="center"/>
    </xf>
    <xf numFmtId="167" fontId="30" fillId="0" borderId="1" xfId="0" applyNumberFormat="1" applyFont="1" applyFill="1" applyBorder="1" applyAlignment="1">
      <alignment horizontal="center"/>
    </xf>
    <xf numFmtId="167" fontId="31" fillId="18" borderId="1" xfId="0" applyNumberFormat="1" applyFont="1" applyFill="1" applyBorder="1" applyAlignment="1">
      <alignment horizontal="center"/>
    </xf>
    <xf numFmtId="0" fontId="0" fillId="0" borderId="0" xfId="0" applyAlignment="1">
      <alignment horizontal="right"/>
    </xf>
    <xf numFmtId="164" fontId="7" fillId="3" borderId="1" xfId="0" applyNumberFormat="1" applyFont="1" applyFill="1" applyBorder="1" applyAlignment="1">
      <alignment horizontal="center" vertical="center"/>
    </xf>
    <xf numFmtId="164" fontId="6" fillId="3" borderId="1" xfId="0" applyNumberFormat="1" applyFont="1" applyFill="1" applyBorder="1" applyAlignment="1">
      <alignment horizontal="center" vertical="center"/>
    </xf>
    <xf numFmtId="1" fontId="7" fillId="3" borderId="1" xfId="0" applyNumberFormat="1" applyFont="1" applyFill="1" applyBorder="1" applyAlignment="1">
      <alignment horizontal="center" vertical="center"/>
    </xf>
    <xf numFmtId="0" fontId="0" fillId="18" borderId="0" xfId="0" applyFill="1" applyAlignment="1">
      <alignment horizontal="center"/>
    </xf>
    <xf numFmtId="9" fontId="7" fillId="4" borderId="1" xfId="2" applyFont="1" applyFill="1" applyBorder="1" applyAlignment="1">
      <alignment horizontal="center" vertical="center"/>
    </xf>
    <xf numFmtId="9" fontId="0" fillId="0" borderId="0" xfId="2" applyFont="1"/>
    <xf numFmtId="169" fontId="0" fillId="0" borderId="0" xfId="2" applyNumberFormat="1" applyFont="1"/>
    <xf numFmtId="10" fontId="0" fillId="0" borderId="0" xfId="2" applyNumberFormat="1" applyFont="1"/>
    <xf numFmtId="167" fontId="0" fillId="0" borderId="0" xfId="0" applyNumberFormat="1"/>
    <xf numFmtId="43" fontId="12" fillId="0" borderId="1" xfId="1" applyNumberFormat="1" applyFont="1" applyBorder="1" applyAlignment="1">
      <alignment horizontal="center"/>
    </xf>
    <xf numFmtId="2" fontId="11" fillId="0" borderId="1" xfId="0" applyNumberFormat="1" applyFont="1" applyBorder="1"/>
    <xf numFmtId="9" fontId="16" fillId="18" borderId="0" xfId="0" applyNumberFormat="1" applyFont="1" applyFill="1" applyBorder="1" applyAlignment="1">
      <alignment wrapText="1"/>
    </xf>
    <xf numFmtId="0" fontId="16" fillId="0" borderId="0" xfId="0" applyFont="1" applyBorder="1" applyAlignment="1">
      <alignment wrapText="1"/>
    </xf>
    <xf numFmtId="0" fontId="20" fillId="18" borderId="0" xfId="0" applyFont="1" applyFill="1" applyBorder="1" applyAlignment="1">
      <alignment wrapText="1"/>
    </xf>
    <xf numFmtId="0" fontId="0" fillId="0" borderId="0" xfId="0" applyBorder="1" applyAlignment="1">
      <alignment wrapText="1"/>
    </xf>
    <xf numFmtId="0" fontId="20" fillId="0" borderId="0" xfId="0" applyFont="1" applyBorder="1" applyAlignment="1">
      <alignment wrapText="1"/>
    </xf>
    <xf numFmtId="0" fontId="0" fillId="27" borderId="0" xfId="0" applyFill="1" applyAlignment="1">
      <alignment horizontal="center"/>
    </xf>
    <xf numFmtId="165" fontId="0" fillId="0" borderId="0" xfId="1" applyNumberFormat="1" applyFont="1"/>
    <xf numFmtId="9" fontId="7" fillId="4" borderId="1" xfId="2" applyNumberFormat="1" applyFont="1" applyFill="1" applyBorder="1" applyAlignment="1">
      <alignment horizontal="center" vertical="center"/>
    </xf>
    <xf numFmtId="14" fontId="7" fillId="4" borderId="1" xfId="0" applyNumberFormat="1" applyFont="1" applyFill="1" applyBorder="1" applyAlignment="1">
      <alignment horizontal="center" vertical="center"/>
    </xf>
    <xf numFmtId="2" fontId="7" fillId="4" borderId="1" xfId="0" applyNumberFormat="1" applyFont="1" applyFill="1" applyBorder="1" applyAlignment="1">
      <alignment horizontal="center" vertical="center"/>
    </xf>
    <xf numFmtId="0" fontId="8" fillId="14" borderId="2" xfId="0" applyFont="1" applyFill="1" applyBorder="1" applyAlignment="1">
      <alignment horizontal="center" vertical="center"/>
    </xf>
    <xf numFmtId="0" fontId="8" fillId="28" borderId="2" xfId="0" applyFont="1" applyFill="1" applyBorder="1" applyAlignment="1">
      <alignment horizontal="center" vertical="center"/>
    </xf>
    <xf numFmtId="166" fontId="0" fillId="0" borderId="0" xfId="1" applyNumberFormat="1" applyFont="1" applyFill="1" applyBorder="1"/>
    <xf numFmtId="166" fontId="0" fillId="0" borderId="0" xfId="0" applyNumberFormat="1"/>
    <xf numFmtId="170" fontId="0" fillId="0" borderId="0" xfId="4" applyNumberFormat="1" applyFont="1"/>
    <xf numFmtId="0" fontId="33" fillId="0" borderId="0" xfId="0" applyFont="1"/>
    <xf numFmtId="0" fontId="34" fillId="0" borderId="0" xfId="0" applyFont="1"/>
    <xf numFmtId="0" fontId="0" fillId="0" borderId="0" xfId="0" applyAlignment="1"/>
    <xf numFmtId="0" fontId="3" fillId="0" borderId="0" xfId="3" applyFont="1" applyFill="1"/>
    <xf numFmtId="0" fontId="4" fillId="0" borderId="0" xfId="0" applyFont="1" applyFill="1" applyBorder="1" applyAlignment="1">
      <alignment horizontal="center" vertical="center"/>
    </xf>
    <xf numFmtId="14" fontId="0" fillId="0" borderId="1" xfId="0" applyNumberFormat="1" applyBorder="1" applyAlignment="1">
      <alignment horizontal="center"/>
    </xf>
    <xf numFmtId="0" fontId="35" fillId="0" borderId="0" xfId="3" applyFont="1" applyFill="1" applyBorder="1" applyAlignment="1">
      <alignment horizontal="left"/>
    </xf>
    <xf numFmtId="0" fontId="35" fillId="0" borderId="0" xfId="3" applyFont="1" applyFill="1" applyBorder="1" applyAlignment="1">
      <alignment horizontal="center"/>
    </xf>
    <xf numFmtId="0" fontId="36" fillId="0" borderId="0" xfId="3" applyFont="1" applyFill="1" applyBorder="1" applyAlignment="1">
      <alignment horizontal="center"/>
    </xf>
    <xf numFmtId="14" fontId="3" fillId="0" borderId="0" xfId="3" applyNumberFormat="1" applyFont="1" applyFill="1" applyAlignment="1">
      <alignment horizontal="center"/>
    </xf>
    <xf numFmtId="0" fontId="3" fillId="0" borderId="0" xfId="3" applyFont="1" applyFill="1" applyAlignment="1">
      <alignment horizontal="center"/>
    </xf>
    <xf numFmtId="1" fontId="37" fillId="0" borderId="0" xfId="3" applyNumberFormat="1" applyFont="1" applyFill="1" applyAlignment="1">
      <alignment horizontal="center"/>
    </xf>
    <xf numFmtId="1" fontId="38" fillId="0" borderId="0" xfId="3" applyNumberFormat="1" applyFont="1" applyFill="1" applyAlignment="1">
      <alignment horizontal="center"/>
    </xf>
    <xf numFmtId="1" fontId="3" fillId="0" borderId="0" xfId="3" applyNumberFormat="1" applyFont="1" applyFill="1" applyAlignment="1">
      <alignment horizontal="center"/>
    </xf>
    <xf numFmtId="0" fontId="8" fillId="16" borderId="1" xfId="0" applyFont="1" applyFill="1" applyBorder="1" applyAlignment="1">
      <alignment horizontal="center" vertical="center"/>
    </xf>
    <xf numFmtId="0" fontId="9" fillId="16"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9" fontId="0" fillId="0" borderId="1" xfId="2" applyFont="1" applyBorder="1" applyAlignment="1">
      <alignment horizontal="center"/>
    </xf>
    <xf numFmtId="2" fontId="6" fillId="3" borderId="1" xfId="0" applyNumberFormat="1" applyFont="1" applyFill="1" applyBorder="1" applyAlignment="1">
      <alignment horizontal="center" vertical="center"/>
    </xf>
    <xf numFmtId="2" fontId="16" fillId="0" borderId="0" xfId="0" applyNumberFormat="1" applyFont="1"/>
    <xf numFmtId="0" fontId="41" fillId="29" borderId="1" xfId="0" applyFont="1" applyFill="1" applyBorder="1" applyAlignment="1">
      <alignment horizontal="center" vertical="top" wrapText="1"/>
    </xf>
    <xf numFmtId="0" fontId="42" fillId="29" borderId="1" xfId="0" applyFont="1" applyFill="1" applyBorder="1" applyAlignment="1">
      <alignment horizontal="center" vertical="top" wrapText="1"/>
    </xf>
    <xf numFmtId="0" fontId="41" fillId="30" borderId="1" xfId="0" applyFont="1" applyFill="1" applyBorder="1" applyAlignment="1">
      <alignment horizontal="center" vertical="top" wrapText="1"/>
    </xf>
    <xf numFmtId="0" fontId="42" fillId="30" borderId="1" xfId="0" applyFont="1" applyFill="1" applyBorder="1" applyAlignment="1">
      <alignment horizontal="center" vertical="top" wrapText="1"/>
    </xf>
    <xf numFmtId="168" fontId="0" fillId="26" borderId="0" xfId="4" applyNumberFormat="1" applyFont="1" applyFill="1"/>
    <xf numFmtId="0" fontId="0" fillId="0" borderId="0" xfId="0" applyAlignment="1">
      <alignment horizontal="center"/>
    </xf>
    <xf numFmtId="169" fontId="0" fillId="0" borderId="0" xfId="0" applyNumberFormat="1" applyAlignment="1">
      <alignment horizontal="center"/>
    </xf>
    <xf numFmtId="9" fontId="0" fillId="5" borderId="0" xfId="0" applyNumberFormat="1" applyFill="1" applyAlignment="1">
      <alignment horizontal="center"/>
    </xf>
    <xf numFmtId="0" fontId="0" fillId="5" borderId="0" xfId="0" applyFill="1" applyAlignment="1">
      <alignment horizontal="center"/>
    </xf>
    <xf numFmtId="168" fontId="0" fillId="5" borderId="0" xfId="0" applyNumberFormat="1" applyFill="1"/>
    <xf numFmtId="10" fontId="0" fillId="5" borderId="0" xfId="0" applyNumberFormat="1" applyFill="1" applyAlignment="1">
      <alignment horizontal="center"/>
    </xf>
    <xf numFmtId="169" fontId="0" fillId="16" borderId="0" xfId="0" applyNumberFormat="1" applyFill="1" applyAlignment="1">
      <alignment horizontal="center"/>
    </xf>
    <xf numFmtId="169" fontId="0" fillId="0" borderId="0" xfId="0" applyNumberFormat="1"/>
    <xf numFmtId="169" fontId="0" fillId="5" borderId="0" xfId="0" applyNumberFormat="1" applyFill="1" applyAlignment="1">
      <alignment horizontal="center"/>
    </xf>
    <xf numFmtId="169" fontId="0" fillId="5" borderId="0" xfId="0" applyNumberFormat="1" applyFill="1"/>
    <xf numFmtId="2" fontId="0" fillId="5" borderId="0" xfId="0" applyNumberFormat="1" applyFill="1"/>
    <xf numFmtId="164" fontId="0" fillId="5" borderId="0" xfId="0" applyNumberFormat="1" applyFill="1"/>
    <xf numFmtId="9" fontId="0" fillId="27" borderId="0" xfId="0" applyNumberFormat="1" applyFill="1" applyAlignment="1">
      <alignment horizontal="center"/>
    </xf>
    <xf numFmtId="169" fontId="0" fillId="27" borderId="0" xfId="0" applyNumberFormat="1" applyFill="1" applyAlignment="1">
      <alignment horizontal="center"/>
    </xf>
    <xf numFmtId="168" fontId="0" fillId="27" borderId="0" xfId="0" applyNumberFormat="1" applyFill="1"/>
    <xf numFmtId="169" fontId="0" fillId="27" borderId="0" xfId="0" applyNumberFormat="1" applyFill="1"/>
    <xf numFmtId="2" fontId="0" fillId="27" borderId="0" xfId="0" applyNumberFormat="1" applyFill="1"/>
    <xf numFmtId="164" fontId="0" fillId="27" borderId="0" xfId="0" applyNumberFormat="1" applyFill="1"/>
    <xf numFmtId="9" fontId="16" fillId="31" borderId="0" xfId="0" applyNumberFormat="1" applyFont="1" applyFill="1" applyAlignment="1">
      <alignment horizontal="center"/>
    </xf>
    <xf numFmtId="10" fontId="16" fillId="31" borderId="0" xfId="0" applyNumberFormat="1" applyFont="1" applyFill="1" applyAlignment="1">
      <alignment horizontal="center"/>
    </xf>
    <xf numFmtId="169" fontId="16" fillId="31" borderId="0" xfId="0" applyNumberFormat="1" applyFont="1" applyFill="1" applyAlignment="1">
      <alignment horizontal="center"/>
    </xf>
    <xf numFmtId="0" fontId="16" fillId="31" borderId="0" xfId="0" applyFont="1" applyFill="1" applyAlignment="1">
      <alignment horizontal="center"/>
    </xf>
    <xf numFmtId="168" fontId="16" fillId="31" borderId="0" xfId="0" applyNumberFormat="1" applyFont="1" applyFill="1"/>
    <xf numFmtId="169" fontId="16" fillId="31" borderId="0" xfId="0" applyNumberFormat="1" applyFont="1" applyFill="1"/>
    <xf numFmtId="2" fontId="16" fillId="31" borderId="0" xfId="0" applyNumberFormat="1" applyFont="1" applyFill="1"/>
    <xf numFmtId="164" fontId="16" fillId="31" borderId="0" xfId="0" applyNumberFormat="1" applyFont="1" applyFill="1"/>
    <xf numFmtId="0" fontId="0" fillId="0" borderId="0" xfId="0" applyAlignment="1">
      <alignment horizontal="center"/>
    </xf>
    <xf numFmtId="0" fontId="43" fillId="7" borderId="0" xfId="0" applyFont="1" applyFill="1" applyAlignment="1">
      <alignment horizontal="center"/>
    </xf>
    <xf numFmtId="10" fontId="0" fillId="0" borderId="0" xfId="0" applyNumberFormat="1" applyAlignment="1">
      <alignment horizontal="center"/>
    </xf>
    <xf numFmtId="0" fontId="0" fillId="0" borderId="0" xfId="0" applyAlignment="1">
      <alignment horizontal="center"/>
    </xf>
    <xf numFmtId="1" fontId="7" fillId="4" borderId="2" xfId="0" applyNumberFormat="1" applyFont="1" applyFill="1" applyBorder="1" applyAlignment="1">
      <alignment horizontal="center" vertical="center"/>
    </xf>
    <xf numFmtId="0" fontId="0" fillId="0" borderId="0" xfId="0" applyAlignment="1">
      <alignment horizontal="center"/>
    </xf>
    <xf numFmtId="1" fontId="16" fillId="0" borderId="0" xfId="0" applyNumberFormat="1" applyFont="1" applyAlignment="1">
      <alignment horizontal="center"/>
    </xf>
    <xf numFmtId="0" fontId="0" fillId="0" borderId="0" xfId="0" applyFill="1" applyBorder="1" applyAlignment="1">
      <alignment horizontal="center"/>
    </xf>
    <xf numFmtId="1" fontId="16" fillId="0" borderId="0" xfId="0" applyNumberFormat="1" applyFont="1"/>
    <xf numFmtId="0" fontId="0" fillId="18" borderId="0" xfId="0" applyFill="1"/>
    <xf numFmtId="164" fontId="0" fillId="18" borderId="0" xfId="0" applyNumberFormat="1" applyFill="1"/>
    <xf numFmtId="0" fontId="0" fillId="32" borderId="1" xfId="0" applyFill="1" applyBorder="1"/>
    <xf numFmtId="0" fontId="0" fillId="33" borderId="1" xfId="0" applyFill="1" applyBorder="1"/>
    <xf numFmtId="0" fontId="0" fillId="18" borderId="1" xfId="0" applyFill="1" applyBorder="1"/>
    <xf numFmtId="0" fontId="32" fillId="32" borderId="1" xfId="0" applyFont="1" applyFill="1" applyBorder="1" applyAlignment="1">
      <alignment horizontal="center"/>
    </xf>
    <xf numFmtId="0" fontId="32" fillId="33" borderId="1" xfId="0" applyFont="1" applyFill="1" applyBorder="1" applyAlignment="1">
      <alignment horizontal="center"/>
    </xf>
    <xf numFmtId="0" fontId="16" fillId="0" borderId="0" xfId="0" applyFont="1" applyAlignment="1">
      <alignment horizontal="center" vertical="center" wrapText="1"/>
    </xf>
    <xf numFmtId="0" fontId="32" fillId="0" borderId="0" xfId="0" applyFont="1" applyFill="1"/>
    <xf numFmtId="0" fontId="10" fillId="0" borderId="0" xfId="0" applyFont="1" applyFill="1"/>
    <xf numFmtId="164" fontId="10" fillId="0" borderId="0" xfId="0" applyNumberFormat="1" applyFont="1" applyFill="1"/>
    <xf numFmtId="2" fontId="10" fillId="0" borderId="1" xfId="0" applyNumberFormat="1" applyFont="1" applyFill="1" applyBorder="1" applyAlignment="1">
      <alignment horizontal="center"/>
    </xf>
    <xf numFmtId="1" fontId="32" fillId="0" borderId="1" xfId="0" applyNumberFormat="1" applyFont="1" applyFill="1" applyBorder="1" applyAlignment="1">
      <alignment horizontal="center"/>
    </xf>
    <xf numFmtId="1" fontId="44" fillId="0" borderId="0" xfId="0" applyNumberFormat="1" applyFont="1" applyFill="1"/>
    <xf numFmtId="2" fontId="32" fillId="0" borderId="1" xfId="0" applyNumberFormat="1" applyFont="1" applyFill="1" applyBorder="1" applyAlignment="1">
      <alignment horizontal="center"/>
    </xf>
    <xf numFmtId="0" fontId="42" fillId="30" borderId="0" xfId="0" applyFont="1" applyFill="1" applyBorder="1" applyAlignment="1">
      <alignment horizontal="center" vertical="top" wrapText="1"/>
    </xf>
    <xf numFmtId="1" fontId="7" fillId="4" borderId="0" xfId="0" applyNumberFormat="1" applyFont="1" applyFill="1" applyBorder="1" applyAlignment="1">
      <alignment horizontal="center" vertical="center"/>
    </xf>
    <xf numFmtId="0" fontId="13" fillId="34" borderId="1" xfId="3" applyFont="1" applyFill="1" applyBorder="1" applyAlignment="1">
      <alignment horizontal="right"/>
    </xf>
    <xf numFmtId="0" fontId="5" fillId="34" borderId="1" xfId="3" applyFont="1" applyFill="1" applyBorder="1" applyAlignment="1">
      <alignment horizontal="right"/>
    </xf>
    <xf numFmtId="0" fontId="0" fillId="0" borderId="0" xfId="0" applyAlignment="1">
      <alignment horizontal="center"/>
    </xf>
    <xf numFmtId="2" fontId="7" fillId="3" borderId="1" xfId="0" applyNumberFormat="1" applyFont="1" applyFill="1" applyBorder="1" applyAlignment="1">
      <alignment horizontal="center" vertical="center"/>
    </xf>
    <xf numFmtId="0" fontId="16" fillId="0" borderId="0" xfId="0" applyFont="1" applyAlignment="1">
      <alignment horizontal="right"/>
    </xf>
    <xf numFmtId="0" fontId="0" fillId="0" borderId="0" xfId="0" applyAlignment="1">
      <alignment horizontal="center"/>
    </xf>
    <xf numFmtId="14" fontId="0" fillId="0" borderId="0" xfId="0" applyNumberFormat="1" applyAlignment="1">
      <alignment horizontal="center"/>
    </xf>
    <xf numFmtId="0" fontId="45" fillId="34" borderId="1" xfId="3" applyFont="1" applyFill="1" applyBorder="1" applyAlignment="1">
      <alignment horizontal="right"/>
    </xf>
    <xf numFmtId="0" fontId="46" fillId="34" borderId="1" xfId="3" applyFont="1" applyFill="1" applyBorder="1" applyAlignment="1">
      <alignment horizontal="right"/>
    </xf>
    <xf numFmtId="0" fontId="0" fillId="0" borderId="0" xfId="0" applyAlignment="1">
      <alignment horizontal="center"/>
    </xf>
    <xf numFmtId="0" fontId="16" fillId="0" borderId="1" xfId="0" applyFont="1" applyBorder="1" applyAlignment="1">
      <alignment horizontal="center"/>
    </xf>
    <xf numFmtId="0" fontId="16" fillId="26" borderId="1" xfId="0" applyFont="1" applyFill="1" applyBorder="1" applyAlignment="1">
      <alignment horizontal="center"/>
    </xf>
    <xf numFmtId="0" fontId="16" fillId="14" borderId="1" xfId="0" applyFont="1" applyFill="1" applyBorder="1" applyAlignment="1">
      <alignment horizontal="center"/>
    </xf>
    <xf numFmtId="0" fontId="24" fillId="21" borderId="0" xfId="0" applyFont="1" applyFill="1" applyAlignment="1">
      <alignment horizontal="center" wrapText="1"/>
    </xf>
    <xf numFmtId="0" fontId="27" fillId="17" borderId="0" xfId="0" applyFont="1" applyFill="1" applyAlignment="1">
      <alignment horizontal="center" wrapText="1"/>
    </xf>
    <xf numFmtId="0" fontId="24" fillId="24" borderId="0" xfId="0" applyFont="1" applyFill="1" applyAlignment="1">
      <alignment horizontal="center" wrapText="1"/>
    </xf>
    <xf numFmtId="0" fontId="24" fillId="25" borderId="0" xfId="0" applyFont="1" applyFill="1" applyAlignment="1">
      <alignment horizontal="center" wrapText="1"/>
    </xf>
    <xf numFmtId="0" fontId="24" fillId="22" borderId="0" xfId="0" applyFont="1" applyFill="1" applyAlignment="1">
      <alignment horizontal="center" wrapText="1"/>
    </xf>
    <xf numFmtId="0" fontId="24" fillId="23" borderId="0" xfId="0" applyFont="1" applyFill="1" applyAlignment="1">
      <alignment horizontal="center" wrapText="1"/>
    </xf>
    <xf numFmtId="0" fontId="39" fillId="29" borderId="1" xfId="0" applyFont="1" applyFill="1" applyBorder="1" applyAlignment="1">
      <alignment horizontal="center" vertical="top" wrapText="1"/>
    </xf>
    <xf numFmtId="0" fontId="40" fillId="30" borderId="1" xfId="0" applyFont="1" applyFill="1" applyBorder="1" applyAlignment="1">
      <alignment horizontal="center" vertical="top" wrapText="1"/>
    </xf>
    <xf numFmtId="0" fontId="41" fillId="30" borderId="1" xfId="0" applyFont="1" applyFill="1" applyBorder="1" applyAlignment="1">
      <alignment horizontal="center" vertical="top" wrapText="1"/>
    </xf>
    <xf numFmtId="0" fontId="0" fillId="0" borderId="0" xfId="0" applyAlignment="1">
      <alignment horizontal="center"/>
    </xf>
  </cellXfs>
  <cellStyles count="5">
    <cellStyle name="Excel Built-in Normal" xfId="3"/>
    <cellStyle name="Millares" xfId="1" builtinId="3"/>
    <cellStyle name="Moneda" xfId="4" builtinId="4"/>
    <cellStyle name="Normal" xfId="0" builtinId="0"/>
    <cellStyle name="Porcentaje" xfId="2" builtinId="5"/>
  </cellStyles>
  <dxfs count="29">
    <dxf>
      <font>
        <b/>
        <i val="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16" Type="http://schemas.openxmlformats.org/officeDocument/2006/relationships/hyperlink" Target="http://www88.hattrick.org/World/Leagues/League.aspx?LeagueID=25" TargetMode="External"/><Relationship Id="rId29" Type="http://schemas.openxmlformats.org/officeDocument/2006/relationships/hyperlink" Target="http://www83.hattrick.org/World/Leagues/League.aspx?LeagueID=4" TargetMode="External"/><Relationship Id="rId11" Type="http://schemas.openxmlformats.org/officeDocument/2006/relationships/hyperlink" Target="http://www88.hattrick.org/World/Leagues/League.aspx?LeagueID=11" TargetMode="External"/><Relationship Id="rId24" Type="http://schemas.openxmlformats.org/officeDocument/2006/relationships/hyperlink" Target="http://www83.hattrick.org/World/Leagues/League.aspx?LeagueID=93"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66" Type="http://schemas.openxmlformats.org/officeDocument/2006/relationships/hyperlink" Target="http://www78.hattrick.org/World/Leagues/League.aspx?LeagueID=3"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87" Type="http://schemas.openxmlformats.org/officeDocument/2006/relationships/hyperlink" Target="http://www92.hattrick.org/World/Leagues/League.aspx?LeagueID=64"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56" Type="http://schemas.openxmlformats.org/officeDocument/2006/relationships/hyperlink" Target="http://www94.hattrick.org/World/Leagues/League.aspx?LeagueID=70"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25" Type="http://schemas.openxmlformats.org/officeDocument/2006/relationships/hyperlink" Target="http://www83.hattrick.org/World/Leagues/League.aspx?LeagueID=34"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46" Type="http://schemas.openxmlformats.org/officeDocument/2006/relationships/hyperlink" Target="http://www94.hattrick.org/World/Leagues/League.aspx?LeagueID=7" TargetMode="External"/><Relationship Id="rId59" Type="http://schemas.openxmlformats.org/officeDocument/2006/relationships/hyperlink" Target="http://www88.hattrick.org/World/Leagues/League.aspx?LeagueID=12" TargetMode="External"/><Relationship Id="rId67" Type="http://schemas.openxmlformats.org/officeDocument/2006/relationships/hyperlink" Target="http://www78.hattrick.org/World/Leagues/League.aspx?LeagueID=19"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381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772150" y="4000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772150" y="4191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772150" y="36195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20</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477"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8"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9"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0"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1"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2"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3"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4"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5"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6"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7"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8"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9"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0"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1"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3"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4"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5"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6"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7"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498"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499"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0"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1"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2"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3"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4"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5"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6"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7"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8"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9"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0"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1"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2"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3"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6"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7"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8"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11</xdr:col>
      <xdr:colOff>336476</xdr:colOff>
      <xdr:row>58</xdr:row>
      <xdr:rowOff>143381</xdr:rowOff>
    </xdr:to>
    <xdr:pic>
      <xdr:nvPicPr>
        <xdr:cNvPr id="2" name="Picture 1" descr="http://www.escuelaercantohattrick.com/images/stories/tablassalariales.png"/>
        <xdr:cNvPicPr>
          <a:picLocks noChangeAspect="1" noChangeArrowheads="1"/>
        </xdr:cNvPicPr>
      </xdr:nvPicPr>
      <xdr:blipFill>
        <a:blip xmlns:r="http://schemas.openxmlformats.org/officeDocument/2006/relationships" r:embed="rId1" cstate="print"/>
        <a:srcRect/>
        <a:stretch>
          <a:fillRect/>
        </a:stretch>
      </xdr:blipFill>
      <xdr:spPr bwMode="auto">
        <a:xfrm>
          <a:off x="3943350" y="0"/>
          <a:ext cx="5670476" cy="11192381"/>
        </a:xfrm>
        <a:prstGeom prst="rect">
          <a:avLst/>
        </a:prstGeom>
        <a:noFill/>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T145"/>
  <sheetViews>
    <sheetView zoomScale="80" zoomScaleNormal="80" workbookViewId="0">
      <selection activeCell="AQ15" sqref="AQ15"/>
    </sheetView>
  </sheetViews>
  <sheetFormatPr baseColWidth="10" defaultColWidth="11.42578125" defaultRowHeight="15" x14ac:dyDescent="0.25"/>
  <cols>
    <col min="1" max="1" width="5.5703125" customWidth="1"/>
    <col min="2" max="3" width="9.140625" bestFit="1" customWidth="1"/>
    <col min="4" max="4" width="8.85546875" bestFit="1" customWidth="1"/>
    <col min="5" max="6" width="9.28515625" bestFit="1" customWidth="1"/>
    <col min="7" max="7" width="6.28515625" bestFit="1" customWidth="1"/>
    <col min="8" max="8" width="7.140625" customWidth="1"/>
    <col min="9" max="23" width="6.28515625" bestFit="1" customWidth="1"/>
    <col min="24" max="24" width="5.5703125" customWidth="1"/>
    <col min="25" max="25" width="8.7109375" customWidth="1"/>
    <col min="26" max="26" width="5.85546875" bestFit="1" customWidth="1"/>
    <col min="27" max="44" width="4" bestFit="1" customWidth="1"/>
    <col min="45" max="45" width="3" bestFit="1" customWidth="1"/>
    <col min="46" max="46" width="5.5703125" bestFit="1" customWidth="1"/>
  </cols>
  <sheetData>
    <row r="1" spans="1:46" ht="15.75" x14ac:dyDescent="0.25">
      <c r="A1" s="71" t="s">
        <v>120</v>
      </c>
      <c r="B1" s="71"/>
      <c r="C1" s="71"/>
      <c r="D1" s="71"/>
      <c r="E1" s="71"/>
      <c r="F1" s="71"/>
      <c r="G1" s="71"/>
      <c r="H1" s="72"/>
      <c r="I1" s="71"/>
      <c r="J1" s="71"/>
      <c r="K1" s="71"/>
      <c r="L1" s="71"/>
      <c r="M1" s="71"/>
      <c r="N1" s="71"/>
      <c r="O1" s="71"/>
      <c r="P1" s="71"/>
      <c r="Q1" s="71"/>
      <c r="R1" s="71"/>
      <c r="S1" s="71"/>
      <c r="T1" s="71"/>
      <c r="U1" s="71"/>
      <c r="V1" s="71"/>
      <c r="W1" s="71"/>
      <c r="X1" s="73"/>
      <c r="Y1" s="74" t="s">
        <v>121</v>
      </c>
      <c r="Z1" s="74"/>
    </row>
    <row r="2" spans="1:46" ht="15.75" x14ac:dyDescent="0.25">
      <c r="A2" s="75" t="s">
        <v>122</v>
      </c>
      <c r="B2" s="76">
        <v>17</v>
      </c>
      <c r="C2" s="76">
        <v>18</v>
      </c>
      <c r="D2" s="76">
        <v>19</v>
      </c>
      <c r="E2" s="76">
        <v>20</v>
      </c>
      <c r="F2" s="77">
        <v>21</v>
      </c>
      <c r="G2" s="124">
        <v>22</v>
      </c>
      <c r="H2" s="76">
        <v>23</v>
      </c>
      <c r="I2" s="76">
        <v>24</v>
      </c>
      <c r="J2" s="76">
        <v>25</v>
      </c>
      <c r="K2" s="76">
        <v>26</v>
      </c>
      <c r="L2" s="76">
        <v>27</v>
      </c>
      <c r="M2" s="77">
        <v>28</v>
      </c>
      <c r="N2" s="77">
        <v>29</v>
      </c>
      <c r="O2" s="77">
        <v>30</v>
      </c>
      <c r="P2" s="77">
        <v>31</v>
      </c>
      <c r="Q2" s="76">
        <v>32</v>
      </c>
      <c r="R2" s="76">
        <v>33</v>
      </c>
      <c r="S2" s="76">
        <v>34</v>
      </c>
      <c r="T2" s="76">
        <v>35</v>
      </c>
      <c r="U2" s="76">
        <v>36</v>
      </c>
      <c r="V2" s="76">
        <v>37</v>
      </c>
      <c r="W2" s="76">
        <v>38</v>
      </c>
      <c r="X2" s="79"/>
      <c r="Y2" s="71" t="s">
        <v>125</v>
      </c>
      <c r="Z2" s="71"/>
    </row>
    <row r="3" spans="1:46" ht="16.5" thickBot="1" x14ac:dyDescent="0.3">
      <c r="A3" s="80">
        <v>0.05</v>
      </c>
      <c r="B3" s="81">
        <v>3.2</v>
      </c>
      <c r="C3" s="81">
        <v>3.7</v>
      </c>
      <c r="D3" s="81">
        <v>4.0999999999999996</v>
      </c>
      <c r="E3" s="81">
        <v>4.4000000000000004</v>
      </c>
      <c r="F3" s="125">
        <v>4.5999999999999996</v>
      </c>
      <c r="G3" s="126">
        <v>4.7</v>
      </c>
      <c r="H3" s="81">
        <v>4.55</v>
      </c>
      <c r="I3" s="81">
        <v>4.4000000000000004</v>
      </c>
      <c r="J3" s="81">
        <v>4.25</v>
      </c>
      <c r="K3" s="81">
        <v>4.0999999999999996</v>
      </c>
      <c r="L3" s="81">
        <v>3.95</v>
      </c>
      <c r="M3" s="82">
        <v>3.8</v>
      </c>
      <c r="N3" s="82">
        <v>3.6500000000000004</v>
      </c>
      <c r="O3" s="82">
        <v>3.5</v>
      </c>
      <c r="P3" s="82">
        <v>3.3499999999999996</v>
      </c>
      <c r="Q3" s="81">
        <v>3.1500000000000004</v>
      </c>
      <c r="R3" s="81">
        <v>2.95</v>
      </c>
      <c r="S3" s="81">
        <v>2.65</v>
      </c>
      <c r="T3" s="81">
        <v>2.2999999999999998</v>
      </c>
      <c r="U3" s="81">
        <v>1.9</v>
      </c>
      <c r="V3" s="81">
        <v>1.4500000000000002</v>
      </c>
      <c r="W3" s="81">
        <v>0.95</v>
      </c>
      <c r="X3" s="83"/>
      <c r="Y3" s="71"/>
      <c r="Z3" s="71"/>
    </row>
    <row r="4" spans="1:46" ht="16.5" thickBot="1" x14ac:dyDescent="0.3">
      <c r="A4" s="80">
        <v>0.06</v>
      </c>
      <c r="B4" s="81">
        <v>3.5700000000000003</v>
      </c>
      <c r="C4" s="81">
        <v>4.07</v>
      </c>
      <c r="D4" s="81">
        <v>4.47</v>
      </c>
      <c r="E4" s="81">
        <v>4.7699999999999996</v>
      </c>
      <c r="F4" s="125">
        <v>4.97</v>
      </c>
      <c r="G4" s="126">
        <v>5.07</v>
      </c>
      <c r="H4" s="81">
        <v>4.92</v>
      </c>
      <c r="I4" s="81">
        <v>4.7699999999999996</v>
      </c>
      <c r="J4" s="81">
        <v>4.62</v>
      </c>
      <c r="K4" s="81">
        <v>4.47</v>
      </c>
      <c r="L4" s="81">
        <v>4.32</v>
      </c>
      <c r="M4" s="82">
        <v>4.17</v>
      </c>
      <c r="N4" s="82">
        <v>4.0199999999999996</v>
      </c>
      <c r="O4" s="82">
        <v>3.87</v>
      </c>
      <c r="P4" s="82">
        <v>3.7199999999999998</v>
      </c>
      <c r="Q4" s="81">
        <v>3.5199999999999996</v>
      </c>
      <c r="R4" s="81">
        <v>3.3200000000000003</v>
      </c>
      <c r="S4" s="81">
        <v>3.0199999999999996</v>
      </c>
      <c r="T4" s="81">
        <v>2.67</v>
      </c>
      <c r="U4" s="81">
        <v>2.27</v>
      </c>
      <c r="V4" s="81">
        <v>1.8199999999999998</v>
      </c>
      <c r="W4" s="81">
        <v>1.3199999999999998</v>
      </c>
      <c r="X4" s="83"/>
      <c r="Y4" s="78" t="s">
        <v>123</v>
      </c>
      <c r="Z4" s="78" t="s">
        <v>161</v>
      </c>
      <c r="AA4" s="78">
        <v>0</v>
      </c>
      <c r="AB4" s="78">
        <v>5</v>
      </c>
      <c r="AC4" s="78">
        <v>10</v>
      </c>
      <c r="AD4" s="78">
        <v>15</v>
      </c>
      <c r="AE4" s="78">
        <v>20</v>
      </c>
      <c r="AF4" s="78">
        <v>25</v>
      </c>
      <c r="AG4" s="78">
        <v>30</v>
      </c>
      <c r="AH4" s="78">
        <v>35</v>
      </c>
      <c r="AI4" s="78">
        <v>40</v>
      </c>
      <c r="AJ4" s="78">
        <v>45</v>
      </c>
      <c r="AK4" s="78">
        <v>50</v>
      </c>
      <c r="AL4" s="78">
        <v>55</v>
      </c>
      <c r="AM4" s="78">
        <v>60</v>
      </c>
      <c r="AN4" s="78">
        <v>65</v>
      </c>
      <c r="AO4" s="78">
        <v>70</v>
      </c>
      <c r="AP4" s="78">
        <v>75</v>
      </c>
      <c r="AQ4" s="78">
        <v>80</v>
      </c>
      <c r="AR4" s="78">
        <v>85</v>
      </c>
      <c r="AS4" s="78">
        <v>90</v>
      </c>
      <c r="AT4" s="78" t="s">
        <v>124</v>
      </c>
    </row>
    <row r="5" spans="1:46" ht="16.5" thickBot="1" x14ac:dyDescent="0.3">
      <c r="A5" s="80">
        <v>7.0000000000000007E-2</v>
      </c>
      <c r="B5" s="81">
        <v>3.92</v>
      </c>
      <c r="C5" s="81">
        <v>4.42</v>
      </c>
      <c r="D5" s="81">
        <v>4.82</v>
      </c>
      <c r="E5" s="81">
        <v>5.12</v>
      </c>
      <c r="F5" s="125">
        <v>5.32</v>
      </c>
      <c r="G5" s="126">
        <v>5.42</v>
      </c>
      <c r="H5" s="81">
        <v>5.27</v>
      </c>
      <c r="I5" s="81">
        <v>5.12</v>
      </c>
      <c r="J5" s="81">
        <v>4.97</v>
      </c>
      <c r="K5" s="81">
        <v>4.82</v>
      </c>
      <c r="L5" s="81">
        <v>4.67</v>
      </c>
      <c r="M5" s="82">
        <v>4.5199999999999996</v>
      </c>
      <c r="N5" s="82">
        <v>4.37</v>
      </c>
      <c r="O5" s="82">
        <v>4.22</v>
      </c>
      <c r="P5" s="82">
        <v>4.07</v>
      </c>
      <c r="Q5" s="81">
        <v>3.87</v>
      </c>
      <c r="R5" s="81">
        <v>3.67</v>
      </c>
      <c r="S5" s="81">
        <v>3.37</v>
      </c>
      <c r="T5" s="81">
        <v>3.0199999999999996</v>
      </c>
      <c r="U5" s="81">
        <v>2.62</v>
      </c>
      <c r="V5" s="81">
        <v>2.17</v>
      </c>
      <c r="W5" s="81">
        <v>1.67</v>
      </c>
      <c r="X5" s="83"/>
      <c r="Y5" s="78">
        <v>9</v>
      </c>
      <c r="Z5" s="78">
        <f>Y5-1</f>
        <v>8</v>
      </c>
      <c r="AA5" s="78">
        <v>100</v>
      </c>
      <c r="AB5" s="78">
        <v>100</v>
      </c>
      <c r="AC5" s="78">
        <v>100</v>
      </c>
      <c r="AD5" s="78">
        <v>100</v>
      </c>
      <c r="AE5" s="78">
        <v>100</v>
      </c>
      <c r="AF5" s="78">
        <v>100</v>
      </c>
      <c r="AG5" s="78">
        <v>100</v>
      </c>
      <c r="AH5" s="78">
        <v>100</v>
      </c>
      <c r="AI5" s="78">
        <v>100</v>
      </c>
      <c r="AJ5" s="78">
        <v>100</v>
      </c>
      <c r="AK5" s="78">
        <v>100</v>
      </c>
      <c r="AL5" s="78">
        <v>100</v>
      </c>
      <c r="AM5" s="78">
        <v>100</v>
      </c>
      <c r="AN5" s="78">
        <v>100</v>
      </c>
      <c r="AO5" s="78">
        <v>100</v>
      </c>
      <c r="AP5" s="78">
        <v>100</v>
      </c>
      <c r="AQ5" s="78">
        <v>100</v>
      </c>
      <c r="AR5" s="78">
        <v>100</v>
      </c>
      <c r="AS5" s="78">
        <v>99</v>
      </c>
      <c r="AT5" s="78">
        <v>99.95</v>
      </c>
    </row>
    <row r="6" spans="1:46" ht="19.5" thickBot="1" x14ac:dyDescent="0.35">
      <c r="A6" s="80">
        <v>0.08</v>
      </c>
      <c r="B6" s="81">
        <v>4.24</v>
      </c>
      <c r="C6" s="81">
        <v>4.74</v>
      </c>
      <c r="D6" s="81">
        <v>5.14</v>
      </c>
      <c r="E6" s="81">
        <v>5.44</v>
      </c>
      <c r="F6" s="125">
        <v>5.64</v>
      </c>
      <c r="G6" s="126">
        <v>5.74</v>
      </c>
      <c r="H6" s="81">
        <v>5.59</v>
      </c>
      <c r="I6" s="81">
        <v>5.44</v>
      </c>
      <c r="J6" s="81">
        <v>5.29</v>
      </c>
      <c r="K6" s="81">
        <v>5.14</v>
      </c>
      <c r="L6" s="81">
        <v>4.99</v>
      </c>
      <c r="M6" s="82">
        <v>4.84</v>
      </c>
      <c r="N6" s="82">
        <v>4.6900000000000004</v>
      </c>
      <c r="O6" s="82">
        <v>4.54</v>
      </c>
      <c r="P6" s="82">
        <v>4.3899999999999997</v>
      </c>
      <c r="Q6" s="81">
        <v>4.1900000000000004</v>
      </c>
      <c r="R6" s="81">
        <v>3.99</v>
      </c>
      <c r="S6" s="81">
        <v>3.6900000000000004</v>
      </c>
      <c r="T6" s="81">
        <v>3.34</v>
      </c>
      <c r="U6" s="81">
        <v>2.94</v>
      </c>
      <c r="V6" s="81">
        <v>2.4900000000000002</v>
      </c>
      <c r="W6" s="81">
        <v>1.9900000000000002</v>
      </c>
      <c r="X6" s="84"/>
      <c r="Y6" s="78">
        <v>8.9</v>
      </c>
      <c r="Z6" s="78">
        <f t="shared" ref="Z6:Z45" si="0">Y6-1</f>
        <v>7.9</v>
      </c>
      <c r="AA6" s="78">
        <v>100</v>
      </c>
      <c r="AB6" s="78">
        <v>100</v>
      </c>
      <c r="AC6" s="78">
        <v>100</v>
      </c>
      <c r="AD6" s="78">
        <v>100</v>
      </c>
      <c r="AE6" s="78">
        <v>100</v>
      </c>
      <c r="AF6" s="78">
        <v>100</v>
      </c>
      <c r="AG6" s="78">
        <v>100</v>
      </c>
      <c r="AH6" s="78">
        <v>100</v>
      </c>
      <c r="AI6" s="78">
        <v>100</v>
      </c>
      <c r="AJ6" s="78">
        <v>100</v>
      </c>
      <c r="AK6" s="78">
        <v>100</v>
      </c>
      <c r="AL6" s="78">
        <v>100</v>
      </c>
      <c r="AM6" s="78">
        <v>100</v>
      </c>
      <c r="AN6" s="78">
        <v>100</v>
      </c>
      <c r="AO6" s="78">
        <v>100</v>
      </c>
      <c r="AP6" s="78">
        <v>100</v>
      </c>
      <c r="AQ6" s="78">
        <v>100</v>
      </c>
      <c r="AR6" s="78">
        <v>100</v>
      </c>
      <c r="AS6" s="78">
        <v>98</v>
      </c>
      <c r="AT6" s="78">
        <v>99.89</v>
      </c>
    </row>
    <row r="7" spans="1:46" ht="16.5" thickBot="1" x14ac:dyDescent="0.3">
      <c r="A7" s="80">
        <v>0.09</v>
      </c>
      <c r="B7" s="81">
        <v>4.53</v>
      </c>
      <c r="C7" s="81">
        <v>5.03</v>
      </c>
      <c r="D7" s="81">
        <v>5.43</v>
      </c>
      <c r="E7" s="81">
        <v>5.73</v>
      </c>
      <c r="F7" s="125">
        <v>5.93</v>
      </c>
      <c r="G7" s="126">
        <v>6.03</v>
      </c>
      <c r="H7" s="81">
        <v>5.88</v>
      </c>
      <c r="I7" s="81">
        <v>5.73</v>
      </c>
      <c r="J7" s="81">
        <v>5.58</v>
      </c>
      <c r="K7" s="81">
        <v>5.43</v>
      </c>
      <c r="L7" s="81">
        <v>5.28</v>
      </c>
      <c r="M7" s="82">
        <v>5.13</v>
      </c>
      <c r="N7" s="82">
        <v>4.9800000000000004</v>
      </c>
      <c r="O7" s="82">
        <v>4.83</v>
      </c>
      <c r="P7" s="82">
        <v>4.68</v>
      </c>
      <c r="Q7" s="81">
        <v>4.4800000000000004</v>
      </c>
      <c r="R7" s="81">
        <v>4.28</v>
      </c>
      <c r="S7" s="81">
        <v>3.9800000000000004</v>
      </c>
      <c r="T7" s="81">
        <v>3.63</v>
      </c>
      <c r="U7" s="81">
        <v>3.2300000000000004</v>
      </c>
      <c r="V7" s="81">
        <v>2.78</v>
      </c>
      <c r="W7" s="81">
        <v>2.2799999999999998</v>
      </c>
      <c r="X7" s="83"/>
      <c r="Y7" s="78">
        <v>8.8000000000000007</v>
      </c>
      <c r="Z7" s="78">
        <f t="shared" si="0"/>
        <v>7.8000000000000007</v>
      </c>
      <c r="AA7" s="78">
        <v>100</v>
      </c>
      <c r="AB7" s="78">
        <v>100</v>
      </c>
      <c r="AC7" s="78">
        <v>100</v>
      </c>
      <c r="AD7" s="78">
        <v>100</v>
      </c>
      <c r="AE7" s="78">
        <v>100</v>
      </c>
      <c r="AF7" s="78">
        <v>100</v>
      </c>
      <c r="AG7" s="78">
        <v>100</v>
      </c>
      <c r="AH7" s="78">
        <v>100</v>
      </c>
      <c r="AI7" s="78">
        <v>100</v>
      </c>
      <c r="AJ7" s="78">
        <v>100</v>
      </c>
      <c r="AK7" s="78">
        <v>100</v>
      </c>
      <c r="AL7" s="78">
        <v>100</v>
      </c>
      <c r="AM7" s="78">
        <v>100</v>
      </c>
      <c r="AN7" s="78">
        <v>100</v>
      </c>
      <c r="AO7" s="78">
        <v>100</v>
      </c>
      <c r="AP7" s="78">
        <v>100</v>
      </c>
      <c r="AQ7" s="78">
        <v>100</v>
      </c>
      <c r="AR7" s="78">
        <v>100</v>
      </c>
      <c r="AS7" s="78">
        <v>97</v>
      </c>
      <c r="AT7" s="78">
        <v>99.84</v>
      </c>
    </row>
    <row r="8" spans="1:46" ht="15.75" thickBot="1" x14ac:dyDescent="0.3">
      <c r="A8" s="122">
        <v>0.1</v>
      </c>
      <c r="B8" s="123">
        <v>4.8099999999999996</v>
      </c>
      <c r="C8" s="123">
        <v>5.31</v>
      </c>
      <c r="D8" s="123">
        <v>5.71</v>
      </c>
      <c r="E8" s="123">
        <v>6.01</v>
      </c>
      <c r="F8" s="123">
        <v>6.21</v>
      </c>
      <c r="G8" s="123">
        <v>6.31</v>
      </c>
      <c r="H8" s="123">
        <v>6.16</v>
      </c>
      <c r="I8" s="123">
        <v>6.01</v>
      </c>
      <c r="J8" s="123">
        <v>5.86</v>
      </c>
      <c r="K8" s="123">
        <v>5.71</v>
      </c>
      <c r="L8" s="123">
        <v>5.56</v>
      </c>
      <c r="M8" s="123">
        <v>5.41</v>
      </c>
      <c r="N8" s="123">
        <v>5.26</v>
      </c>
      <c r="O8" s="123">
        <v>5.1100000000000003</v>
      </c>
      <c r="P8" s="123">
        <v>4.96</v>
      </c>
      <c r="Q8" s="123">
        <v>4.76</v>
      </c>
      <c r="R8" s="123">
        <v>4.5599999999999996</v>
      </c>
      <c r="S8" s="123">
        <v>4.26</v>
      </c>
      <c r="T8" s="123">
        <v>3.91</v>
      </c>
      <c r="U8" s="123">
        <v>3.51</v>
      </c>
      <c r="V8" s="123">
        <v>3.0599999999999996</v>
      </c>
      <c r="W8" s="123">
        <v>2.56</v>
      </c>
      <c r="X8" s="83"/>
      <c r="Y8" s="78">
        <v>8.6999999999999993</v>
      </c>
      <c r="Z8" s="78">
        <f t="shared" si="0"/>
        <v>7.6999999999999993</v>
      </c>
      <c r="AA8" s="78">
        <v>100</v>
      </c>
      <c r="AB8" s="78">
        <v>100</v>
      </c>
      <c r="AC8" s="78">
        <v>100</v>
      </c>
      <c r="AD8" s="78">
        <v>100</v>
      </c>
      <c r="AE8" s="78">
        <v>100</v>
      </c>
      <c r="AF8" s="78">
        <v>100</v>
      </c>
      <c r="AG8" s="78">
        <v>100</v>
      </c>
      <c r="AH8" s="78">
        <v>100</v>
      </c>
      <c r="AI8" s="78">
        <v>100</v>
      </c>
      <c r="AJ8" s="78">
        <v>100</v>
      </c>
      <c r="AK8" s="78">
        <v>100</v>
      </c>
      <c r="AL8" s="78">
        <v>100</v>
      </c>
      <c r="AM8" s="78">
        <v>100</v>
      </c>
      <c r="AN8" s="78">
        <v>100</v>
      </c>
      <c r="AO8" s="78">
        <v>100</v>
      </c>
      <c r="AP8" s="78">
        <v>100</v>
      </c>
      <c r="AQ8" s="78">
        <v>100</v>
      </c>
      <c r="AR8" s="78">
        <v>100</v>
      </c>
      <c r="AS8" s="78">
        <v>96</v>
      </c>
      <c r="AT8" s="78">
        <v>99.79</v>
      </c>
    </row>
    <row r="9" spans="1:46" ht="15.75" thickBot="1" x14ac:dyDescent="0.3">
      <c r="A9" s="122">
        <v>0.11</v>
      </c>
      <c r="B9" s="82">
        <v>5.0599999999999996</v>
      </c>
      <c r="C9" s="82">
        <v>5.56</v>
      </c>
      <c r="D9" s="82">
        <v>5.96</v>
      </c>
      <c r="E9" s="82">
        <v>6.26</v>
      </c>
      <c r="F9" s="82">
        <v>6.46</v>
      </c>
      <c r="G9" s="123">
        <v>6.56</v>
      </c>
      <c r="H9" s="82">
        <v>6.41</v>
      </c>
      <c r="I9" s="82">
        <v>6.26</v>
      </c>
      <c r="J9" s="82">
        <v>6.11</v>
      </c>
      <c r="K9" s="82">
        <v>5.96</v>
      </c>
      <c r="L9" s="82">
        <v>5.81</v>
      </c>
      <c r="M9" s="82">
        <v>5.66</v>
      </c>
      <c r="N9" s="82">
        <v>5.51</v>
      </c>
      <c r="O9" s="82">
        <v>5.36</v>
      </c>
      <c r="P9" s="82">
        <v>5.21</v>
      </c>
      <c r="Q9" s="82">
        <v>5.01</v>
      </c>
      <c r="R9" s="82">
        <v>4.8099999999999996</v>
      </c>
      <c r="S9" s="82">
        <v>4.51</v>
      </c>
      <c r="T9" s="82">
        <v>4.16</v>
      </c>
      <c r="U9" s="82">
        <v>3.76</v>
      </c>
      <c r="V9" s="82">
        <v>3.3099999999999996</v>
      </c>
      <c r="W9" s="82">
        <v>2.81</v>
      </c>
      <c r="X9" s="83"/>
      <c r="Y9" s="78">
        <v>8.6</v>
      </c>
      <c r="Z9" s="78">
        <f t="shared" si="0"/>
        <v>7.6</v>
      </c>
      <c r="AA9" s="78">
        <v>100</v>
      </c>
      <c r="AB9" s="78">
        <v>100</v>
      </c>
      <c r="AC9" s="78">
        <v>100</v>
      </c>
      <c r="AD9" s="78">
        <v>100</v>
      </c>
      <c r="AE9" s="78">
        <v>100</v>
      </c>
      <c r="AF9" s="78">
        <v>100</v>
      </c>
      <c r="AG9" s="78">
        <v>100</v>
      </c>
      <c r="AH9" s="78">
        <v>100</v>
      </c>
      <c r="AI9" s="78">
        <v>100</v>
      </c>
      <c r="AJ9" s="78">
        <v>100</v>
      </c>
      <c r="AK9" s="78">
        <v>100</v>
      </c>
      <c r="AL9" s="78">
        <v>100</v>
      </c>
      <c r="AM9" s="78">
        <v>100</v>
      </c>
      <c r="AN9" s="78">
        <v>100</v>
      </c>
      <c r="AO9" s="78">
        <v>100</v>
      </c>
      <c r="AP9" s="78">
        <v>100</v>
      </c>
      <c r="AQ9" s="78">
        <v>100</v>
      </c>
      <c r="AR9" s="78">
        <v>98</v>
      </c>
      <c r="AS9" s="78">
        <v>95</v>
      </c>
      <c r="AT9" s="78">
        <v>99.63</v>
      </c>
    </row>
    <row r="10" spans="1:46" ht="15.75" thickBot="1" x14ac:dyDescent="0.3">
      <c r="A10" s="122">
        <v>0.12</v>
      </c>
      <c r="B10" s="123">
        <v>5.3</v>
      </c>
      <c r="C10" s="123">
        <v>5.8</v>
      </c>
      <c r="D10" s="123">
        <v>6.2</v>
      </c>
      <c r="E10" s="123">
        <v>6.5</v>
      </c>
      <c r="F10" s="123">
        <v>6.7</v>
      </c>
      <c r="G10" s="123">
        <v>6.8</v>
      </c>
      <c r="H10" s="123">
        <v>6.65</v>
      </c>
      <c r="I10" s="123">
        <v>6.5</v>
      </c>
      <c r="J10" s="123">
        <v>6.35</v>
      </c>
      <c r="K10" s="123">
        <v>6.2</v>
      </c>
      <c r="L10" s="123">
        <v>6.05</v>
      </c>
      <c r="M10" s="123">
        <v>5.9</v>
      </c>
      <c r="N10" s="123">
        <v>5.75</v>
      </c>
      <c r="O10" s="123">
        <v>5.6</v>
      </c>
      <c r="P10" s="123">
        <v>5.45</v>
      </c>
      <c r="Q10" s="123">
        <v>5.25</v>
      </c>
      <c r="R10" s="123">
        <v>5.05</v>
      </c>
      <c r="S10" s="123">
        <v>4.75</v>
      </c>
      <c r="T10" s="123">
        <v>4.4000000000000004</v>
      </c>
      <c r="U10" s="123">
        <v>4</v>
      </c>
      <c r="V10" s="123">
        <v>3.55</v>
      </c>
      <c r="W10" s="123">
        <v>3.05</v>
      </c>
      <c r="X10" s="79"/>
      <c r="Y10" s="78">
        <v>8.5</v>
      </c>
      <c r="Z10" s="78">
        <f t="shared" si="0"/>
        <v>7.5</v>
      </c>
      <c r="AA10" s="78">
        <v>100</v>
      </c>
      <c r="AB10" s="78">
        <v>100</v>
      </c>
      <c r="AC10" s="78">
        <v>100</v>
      </c>
      <c r="AD10" s="78">
        <v>100</v>
      </c>
      <c r="AE10" s="78">
        <v>100</v>
      </c>
      <c r="AF10" s="78">
        <v>100</v>
      </c>
      <c r="AG10" s="78">
        <v>100</v>
      </c>
      <c r="AH10" s="78">
        <v>100</v>
      </c>
      <c r="AI10" s="78">
        <v>100</v>
      </c>
      <c r="AJ10" s="78">
        <v>100</v>
      </c>
      <c r="AK10" s="78">
        <v>100</v>
      </c>
      <c r="AL10" s="78">
        <v>100</v>
      </c>
      <c r="AM10" s="78">
        <v>100</v>
      </c>
      <c r="AN10" s="78">
        <v>100</v>
      </c>
      <c r="AO10" s="78">
        <v>100</v>
      </c>
      <c r="AP10" s="78">
        <v>100</v>
      </c>
      <c r="AQ10" s="78">
        <v>100</v>
      </c>
      <c r="AR10" s="78">
        <v>98</v>
      </c>
      <c r="AS10" s="78">
        <v>94</v>
      </c>
      <c r="AT10" s="78">
        <v>99.58</v>
      </c>
    </row>
    <row r="11" spans="1:46" ht="15.75" thickBot="1" x14ac:dyDescent="0.3">
      <c r="A11" s="122">
        <v>0.13</v>
      </c>
      <c r="B11" s="82">
        <v>5.52</v>
      </c>
      <c r="C11" s="82">
        <v>6.02</v>
      </c>
      <c r="D11" s="82">
        <v>6.42</v>
      </c>
      <c r="E11" s="82">
        <v>6.72</v>
      </c>
      <c r="F11" s="82">
        <v>6.92</v>
      </c>
      <c r="G11" s="123">
        <v>7.02</v>
      </c>
      <c r="H11" s="82">
        <v>6.87</v>
      </c>
      <c r="I11" s="82">
        <v>6.72</v>
      </c>
      <c r="J11" s="82">
        <v>6.57</v>
      </c>
      <c r="K11" s="82">
        <v>6.42</v>
      </c>
      <c r="L11" s="82">
        <v>6.27</v>
      </c>
      <c r="M11" s="82">
        <v>6.12</v>
      </c>
      <c r="N11" s="82">
        <v>5.97</v>
      </c>
      <c r="O11" s="82">
        <v>5.82</v>
      </c>
      <c r="P11" s="82">
        <v>5.67</v>
      </c>
      <c r="Q11" s="82">
        <v>5.47</v>
      </c>
      <c r="R11" s="82">
        <v>5.27</v>
      </c>
      <c r="S11" s="82">
        <v>4.97</v>
      </c>
      <c r="T11" s="82">
        <v>4.62</v>
      </c>
      <c r="U11" s="82">
        <v>4.22</v>
      </c>
      <c r="V11" s="82">
        <v>3.7699999999999996</v>
      </c>
      <c r="W11" s="82">
        <v>3.2699999999999996</v>
      </c>
      <c r="X11" s="83"/>
      <c r="Y11" s="78">
        <v>8.4</v>
      </c>
      <c r="Z11" s="78">
        <f t="shared" si="0"/>
        <v>7.4</v>
      </c>
      <c r="AA11" s="78">
        <v>100</v>
      </c>
      <c r="AB11" s="78">
        <v>100</v>
      </c>
      <c r="AC11" s="78">
        <v>100</v>
      </c>
      <c r="AD11" s="78">
        <v>100</v>
      </c>
      <c r="AE11" s="78">
        <v>100</v>
      </c>
      <c r="AF11" s="78">
        <v>100</v>
      </c>
      <c r="AG11" s="78">
        <v>100</v>
      </c>
      <c r="AH11" s="78">
        <v>100</v>
      </c>
      <c r="AI11" s="78">
        <v>100</v>
      </c>
      <c r="AJ11" s="78">
        <v>100</v>
      </c>
      <c r="AK11" s="78">
        <v>100</v>
      </c>
      <c r="AL11" s="78">
        <v>100</v>
      </c>
      <c r="AM11" s="78">
        <v>100</v>
      </c>
      <c r="AN11" s="78">
        <v>100</v>
      </c>
      <c r="AO11" s="78">
        <v>100</v>
      </c>
      <c r="AP11" s="78">
        <v>100</v>
      </c>
      <c r="AQ11" s="78">
        <v>99</v>
      </c>
      <c r="AR11" s="78">
        <v>96</v>
      </c>
      <c r="AS11" s="78">
        <v>93</v>
      </c>
      <c r="AT11" s="78">
        <v>99.37</v>
      </c>
    </row>
    <row r="12" spans="1:46" ht="15.75" thickBot="1" x14ac:dyDescent="0.3">
      <c r="A12" s="122">
        <v>0.14000000000000001</v>
      </c>
      <c r="B12" s="82">
        <v>5.72</v>
      </c>
      <c r="C12" s="82">
        <v>6.22</v>
      </c>
      <c r="D12" s="82">
        <v>6.62</v>
      </c>
      <c r="E12" s="82">
        <v>6.92</v>
      </c>
      <c r="F12" s="82">
        <v>7.1199999999999992</v>
      </c>
      <c r="G12" s="123">
        <v>7.2200000000000006</v>
      </c>
      <c r="H12" s="82">
        <v>7.07</v>
      </c>
      <c r="I12" s="82">
        <v>6.92</v>
      </c>
      <c r="J12" s="82">
        <v>6.77</v>
      </c>
      <c r="K12" s="82">
        <v>6.62</v>
      </c>
      <c r="L12" s="82">
        <v>6.47</v>
      </c>
      <c r="M12" s="82">
        <v>6.32</v>
      </c>
      <c r="N12" s="82">
        <v>6.17</v>
      </c>
      <c r="O12" s="82">
        <v>6.02</v>
      </c>
      <c r="P12" s="82">
        <v>5.87</v>
      </c>
      <c r="Q12" s="82">
        <v>5.67</v>
      </c>
      <c r="R12" s="82">
        <v>5.47</v>
      </c>
      <c r="S12" s="82">
        <v>5.17</v>
      </c>
      <c r="T12" s="82">
        <v>4.82</v>
      </c>
      <c r="U12" s="82">
        <v>4.42</v>
      </c>
      <c r="V12" s="82">
        <v>3.9699999999999998</v>
      </c>
      <c r="W12" s="82">
        <v>3.4699999999999998</v>
      </c>
      <c r="X12" s="83"/>
      <c r="Y12" s="78">
        <v>8.3000000000000007</v>
      </c>
      <c r="Z12" s="78">
        <f t="shared" si="0"/>
        <v>7.3000000000000007</v>
      </c>
      <c r="AA12" s="78">
        <v>100</v>
      </c>
      <c r="AB12" s="78">
        <v>100</v>
      </c>
      <c r="AC12" s="78">
        <v>100</v>
      </c>
      <c r="AD12" s="78">
        <v>100</v>
      </c>
      <c r="AE12" s="78">
        <v>100</v>
      </c>
      <c r="AF12" s="78">
        <v>100</v>
      </c>
      <c r="AG12" s="78">
        <v>100</v>
      </c>
      <c r="AH12" s="78">
        <v>100</v>
      </c>
      <c r="AI12" s="78">
        <v>100</v>
      </c>
      <c r="AJ12" s="78">
        <v>100</v>
      </c>
      <c r="AK12" s="78">
        <v>100</v>
      </c>
      <c r="AL12" s="78">
        <v>100</v>
      </c>
      <c r="AM12" s="78">
        <v>100</v>
      </c>
      <c r="AN12" s="78">
        <v>100</v>
      </c>
      <c r="AO12" s="78">
        <v>100</v>
      </c>
      <c r="AP12" s="78">
        <v>100</v>
      </c>
      <c r="AQ12" s="78">
        <v>99</v>
      </c>
      <c r="AR12" s="78">
        <v>95</v>
      </c>
      <c r="AS12" s="78">
        <v>92</v>
      </c>
      <c r="AT12" s="78">
        <v>99.26</v>
      </c>
    </row>
    <row r="13" spans="1:46" ht="15.75" thickBot="1" x14ac:dyDescent="0.3">
      <c r="A13" s="122">
        <v>0.15</v>
      </c>
      <c r="B13" s="82">
        <v>5.91</v>
      </c>
      <c r="C13" s="82">
        <v>6.41</v>
      </c>
      <c r="D13" s="82">
        <v>6.81</v>
      </c>
      <c r="E13" s="82">
        <v>7.1099999999999994</v>
      </c>
      <c r="F13" s="82">
        <v>7.3100000000000005</v>
      </c>
      <c r="G13" s="123">
        <v>7.41</v>
      </c>
      <c r="H13" s="82">
        <v>7.26</v>
      </c>
      <c r="I13" s="82">
        <v>7.1099999999999994</v>
      </c>
      <c r="J13" s="82">
        <v>6.96</v>
      </c>
      <c r="K13" s="82">
        <v>6.81</v>
      </c>
      <c r="L13" s="82">
        <v>6.66</v>
      </c>
      <c r="M13" s="82">
        <v>6.51</v>
      </c>
      <c r="N13" s="82">
        <v>6.36</v>
      </c>
      <c r="O13" s="82">
        <v>6.21</v>
      </c>
      <c r="P13" s="82">
        <v>6.06</v>
      </c>
      <c r="Q13" s="82">
        <v>5.86</v>
      </c>
      <c r="R13" s="82">
        <v>5.66</v>
      </c>
      <c r="S13" s="82">
        <v>5.36</v>
      </c>
      <c r="T13" s="82">
        <v>5.01</v>
      </c>
      <c r="U13" s="82">
        <v>4.6100000000000003</v>
      </c>
      <c r="V13" s="82">
        <v>4.16</v>
      </c>
      <c r="W13" s="82">
        <v>3.66</v>
      </c>
      <c r="X13" s="83"/>
      <c r="Y13" s="78">
        <v>8.1999999999999993</v>
      </c>
      <c r="Z13" s="78">
        <f t="shared" si="0"/>
        <v>7.1999999999999993</v>
      </c>
      <c r="AA13" s="78">
        <v>100</v>
      </c>
      <c r="AB13" s="78">
        <v>100</v>
      </c>
      <c r="AC13" s="78">
        <v>100</v>
      </c>
      <c r="AD13" s="78">
        <v>100</v>
      </c>
      <c r="AE13" s="78">
        <v>100</v>
      </c>
      <c r="AF13" s="78">
        <v>100</v>
      </c>
      <c r="AG13" s="78">
        <v>100</v>
      </c>
      <c r="AH13" s="78">
        <v>100</v>
      </c>
      <c r="AI13" s="78">
        <v>100</v>
      </c>
      <c r="AJ13" s="78">
        <v>100</v>
      </c>
      <c r="AK13" s="78">
        <v>100</v>
      </c>
      <c r="AL13" s="78">
        <v>100</v>
      </c>
      <c r="AM13" s="78">
        <v>100</v>
      </c>
      <c r="AN13" s="78">
        <v>100</v>
      </c>
      <c r="AO13" s="78">
        <v>100</v>
      </c>
      <c r="AP13" s="78">
        <v>100</v>
      </c>
      <c r="AQ13" s="78">
        <v>97</v>
      </c>
      <c r="AR13" s="78">
        <v>94</v>
      </c>
      <c r="AS13" s="78">
        <v>91</v>
      </c>
      <c r="AT13" s="78">
        <v>99.05</v>
      </c>
    </row>
    <row r="14" spans="1:46" ht="15.75" thickBot="1" x14ac:dyDescent="0.3">
      <c r="A14" s="122">
        <v>0.16</v>
      </c>
      <c r="B14" s="82">
        <v>6.09</v>
      </c>
      <c r="C14" s="82">
        <v>6.59</v>
      </c>
      <c r="D14" s="82">
        <v>6.99</v>
      </c>
      <c r="E14" s="82">
        <v>7.2899999999999991</v>
      </c>
      <c r="F14" s="82">
        <v>7.49</v>
      </c>
      <c r="G14" s="123">
        <v>7.59</v>
      </c>
      <c r="H14" s="82">
        <v>7.4399999999999995</v>
      </c>
      <c r="I14" s="82">
        <v>7.2899999999999991</v>
      </c>
      <c r="J14" s="82">
        <v>7.1400000000000006</v>
      </c>
      <c r="K14" s="82">
        <v>6.99</v>
      </c>
      <c r="L14" s="82">
        <v>6.84</v>
      </c>
      <c r="M14" s="82">
        <v>6.69</v>
      </c>
      <c r="N14" s="82">
        <v>6.54</v>
      </c>
      <c r="O14" s="82">
        <v>6.39</v>
      </c>
      <c r="P14" s="82">
        <v>6.24</v>
      </c>
      <c r="Q14" s="82">
        <v>6.04</v>
      </c>
      <c r="R14" s="82">
        <v>5.84</v>
      </c>
      <c r="S14" s="82">
        <v>5.54</v>
      </c>
      <c r="T14" s="82">
        <v>5.19</v>
      </c>
      <c r="U14" s="82">
        <v>4.79</v>
      </c>
      <c r="V14" s="82">
        <v>4.34</v>
      </c>
      <c r="W14" s="82">
        <v>3.84</v>
      </c>
      <c r="X14" s="83"/>
      <c r="Y14" s="78">
        <v>8.1</v>
      </c>
      <c r="Z14" s="78">
        <f t="shared" si="0"/>
        <v>7.1</v>
      </c>
      <c r="AA14" s="78">
        <v>100</v>
      </c>
      <c r="AB14" s="78">
        <v>100</v>
      </c>
      <c r="AC14" s="78">
        <v>100</v>
      </c>
      <c r="AD14" s="78">
        <v>100</v>
      </c>
      <c r="AE14" s="78">
        <v>100</v>
      </c>
      <c r="AF14" s="78">
        <v>100</v>
      </c>
      <c r="AG14" s="78">
        <v>100</v>
      </c>
      <c r="AH14" s="78">
        <v>100</v>
      </c>
      <c r="AI14" s="78">
        <v>100</v>
      </c>
      <c r="AJ14" s="78">
        <v>100</v>
      </c>
      <c r="AK14" s="78">
        <v>100</v>
      </c>
      <c r="AL14" s="78">
        <v>100</v>
      </c>
      <c r="AM14" s="78">
        <v>100</v>
      </c>
      <c r="AN14" s="78">
        <v>100</v>
      </c>
      <c r="AO14" s="78">
        <v>100</v>
      </c>
      <c r="AP14" s="78">
        <v>100</v>
      </c>
      <c r="AQ14" s="78">
        <v>97</v>
      </c>
      <c r="AR14" s="78">
        <v>93</v>
      </c>
      <c r="AS14" s="78">
        <v>90</v>
      </c>
      <c r="AT14" s="78">
        <v>98.95</v>
      </c>
    </row>
    <row r="15" spans="1:46" ht="19.5" thickBot="1" x14ac:dyDescent="0.35">
      <c r="A15" s="122">
        <v>0.17</v>
      </c>
      <c r="B15" s="123">
        <v>6.25</v>
      </c>
      <c r="C15" s="123">
        <v>6.75</v>
      </c>
      <c r="D15" s="123">
        <v>7.15</v>
      </c>
      <c r="E15" s="123">
        <v>7.4499999999999993</v>
      </c>
      <c r="F15" s="123">
        <v>7.65</v>
      </c>
      <c r="G15" s="123">
        <v>7.75</v>
      </c>
      <c r="H15" s="123">
        <v>7.6</v>
      </c>
      <c r="I15" s="123">
        <v>7.4499999999999993</v>
      </c>
      <c r="J15" s="123">
        <v>7.3000000000000007</v>
      </c>
      <c r="K15" s="123">
        <v>7.15</v>
      </c>
      <c r="L15" s="123">
        <v>7</v>
      </c>
      <c r="M15" s="123">
        <v>6.85</v>
      </c>
      <c r="N15" s="123">
        <v>6.7</v>
      </c>
      <c r="O15" s="123">
        <v>6.55</v>
      </c>
      <c r="P15" s="123">
        <v>6.4</v>
      </c>
      <c r="Q15" s="123">
        <v>6.2</v>
      </c>
      <c r="R15" s="123">
        <v>6</v>
      </c>
      <c r="S15" s="123">
        <v>5.7</v>
      </c>
      <c r="T15" s="123">
        <v>5.35</v>
      </c>
      <c r="U15" s="123">
        <v>4.95</v>
      </c>
      <c r="V15" s="123">
        <v>4.5</v>
      </c>
      <c r="W15" s="123">
        <v>4</v>
      </c>
      <c r="X15" s="84"/>
      <c r="Y15" s="78">
        <v>8</v>
      </c>
      <c r="Z15" s="78">
        <f t="shared" si="0"/>
        <v>7</v>
      </c>
      <c r="AA15" s="78">
        <v>100</v>
      </c>
      <c r="AB15" s="78">
        <v>100</v>
      </c>
      <c r="AC15" s="78">
        <v>100</v>
      </c>
      <c r="AD15" s="78">
        <v>100</v>
      </c>
      <c r="AE15" s="78">
        <v>100</v>
      </c>
      <c r="AF15" s="78">
        <v>100</v>
      </c>
      <c r="AG15" s="78">
        <v>100</v>
      </c>
      <c r="AH15" s="78">
        <v>100</v>
      </c>
      <c r="AI15" s="78">
        <v>100</v>
      </c>
      <c r="AJ15" s="78">
        <v>99</v>
      </c>
      <c r="AK15" s="78">
        <v>100</v>
      </c>
      <c r="AL15" s="78">
        <v>100</v>
      </c>
      <c r="AM15" s="78">
        <v>100</v>
      </c>
      <c r="AN15" s="78">
        <v>100</v>
      </c>
      <c r="AO15" s="78">
        <v>100</v>
      </c>
      <c r="AP15" s="78">
        <v>99</v>
      </c>
      <c r="AQ15" s="78">
        <v>95</v>
      </c>
      <c r="AR15" s="78">
        <v>92</v>
      </c>
      <c r="AS15" s="78">
        <v>89</v>
      </c>
      <c r="AT15" s="78">
        <v>98.63</v>
      </c>
    </row>
    <row r="16" spans="1:46" ht="15.75" thickBot="1" x14ac:dyDescent="0.3">
      <c r="A16" s="122">
        <v>0.18</v>
      </c>
      <c r="B16" s="82">
        <v>6.4</v>
      </c>
      <c r="C16" s="82">
        <v>6.9</v>
      </c>
      <c r="D16" s="82">
        <v>7.3000000000000007</v>
      </c>
      <c r="E16" s="82">
        <v>7.6</v>
      </c>
      <c r="F16" s="82">
        <v>7.8000000000000007</v>
      </c>
      <c r="G16" s="123">
        <v>7.9</v>
      </c>
      <c r="H16" s="82">
        <v>7.75</v>
      </c>
      <c r="I16" s="82">
        <v>7.6</v>
      </c>
      <c r="J16" s="82">
        <v>7.4499999999999993</v>
      </c>
      <c r="K16" s="82">
        <v>7.3000000000000007</v>
      </c>
      <c r="L16" s="82">
        <v>7.15</v>
      </c>
      <c r="M16" s="82">
        <v>7</v>
      </c>
      <c r="N16" s="82">
        <v>6.85</v>
      </c>
      <c r="O16" s="82">
        <v>6.7</v>
      </c>
      <c r="P16" s="82">
        <v>6.55</v>
      </c>
      <c r="Q16" s="82">
        <v>6.35</v>
      </c>
      <c r="R16" s="82">
        <v>6.15</v>
      </c>
      <c r="S16" s="82">
        <v>5.85</v>
      </c>
      <c r="T16" s="82">
        <v>5.5</v>
      </c>
      <c r="U16" s="82">
        <v>5.0999999999999996</v>
      </c>
      <c r="V16" s="82">
        <v>4.6500000000000004</v>
      </c>
      <c r="W16" s="82">
        <v>4.1500000000000004</v>
      </c>
      <c r="X16" s="83"/>
      <c r="Y16" s="78">
        <v>7.9</v>
      </c>
      <c r="Z16" s="78">
        <f t="shared" si="0"/>
        <v>6.9</v>
      </c>
      <c r="AA16" s="78">
        <v>100</v>
      </c>
      <c r="AB16" s="78">
        <v>100</v>
      </c>
      <c r="AC16" s="78">
        <v>100</v>
      </c>
      <c r="AD16" s="78">
        <v>100</v>
      </c>
      <c r="AE16" s="78">
        <v>100</v>
      </c>
      <c r="AF16" s="78">
        <v>100</v>
      </c>
      <c r="AG16" s="78">
        <v>100</v>
      </c>
      <c r="AH16" s="78">
        <v>100</v>
      </c>
      <c r="AI16" s="78">
        <v>100</v>
      </c>
      <c r="AJ16" s="78">
        <v>99</v>
      </c>
      <c r="AK16" s="78">
        <v>100</v>
      </c>
      <c r="AL16" s="78">
        <v>100</v>
      </c>
      <c r="AM16" s="78">
        <v>100</v>
      </c>
      <c r="AN16" s="78">
        <v>100</v>
      </c>
      <c r="AO16" s="78">
        <v>100</v>
      </c>
      <c r="AP16" s="78">
        <v>98</v>
      </c>
      <c r="AQ16" s="78">
        <v>95</v>
      </c>
      <c r="AR16" s="78">
        <v>92</v>
      </c>
      <c r="AS16" s="78">
        <v>88</v>
      </c>
      <c r="AT16" s="78">
        <v>98.53</v>
      </c>
    </row>
    <row r="17" spans="1:46" ht="15.75" thickBot="1" x14ac:dyDescent="0.3">
      <c r="A17" s="122">
        <v>0.19</v>
      </c>
      <c r="B17" s="82">
        <v>6.54</v>
      </c>
      <c r="C17" s="82">
        <v>7.0399999999999991</v>
      </c>
      <c r="D17" s="82">
        <v>7.4399999999999995</v>
      </c>
      <c r="E17" s="82">
        <v>7.74</v>
      </c>
      <c r="F17" s="82">
        <v>7.9399999999999995</v>
      </c>
      <c r="G17" s="123">
        <v>8.0399999999999991</v>
      </c>
      <c r="H17" s="82">
        <v>7.8900000000000006</v>
      </c>
      <c r="I17" s="82">
        <v>7.74</v>
      </c>
      <c r="J17" s="82">
        <v>7.59</v>
      </c>
      <c r="K17" s="82">
        <v>7.4399999999999995</v>
      </c>
      <c r="L17" s="82">
        <v>7.2899999999999991</v>
      </c>
      <c r="M17" s="82">
        <v>7.1400000000000006</v>
      </c>
      <c r="N17" s="82">
        <v>6.99</v>
      </c>
      <c r="O17" s="82">
        <v>6.84</v>
      </c>
      <c r="P17" s="82">
        <v>6.69</v>
      </c>
      <c r="Q17" s="82">
        <v>6.49</v>
      </c>
      <c r="R17" s="82">
        <v>6.29</v>
      </c>
      <c r="S17" s="82">
        <v>5.99</v>
      </c>
      <c r="T17" s="82">
        <v>5.64</v>
      </c>
      <c r="U17" s="82">
        <v>5.24</v>
      </c>
      <c r="V17" s="82">
        <v>4.79</v>
      </c>
      <c r="W17" s="82">
        <v>4.29</v>
      </c>
      <c r="X17" s="83"/>
      <c r="Y17" s="78">
        <v>7.8</v>
      </c>
      <c r="Z17" s="78">
        <f t="shared" si="0"/>
        <v>6.8</v>
      </c>
      <c r="AA17" s="78">
        <v>100</v>
      </c>
      <c r="AB17" s="78">
        <v>100</v>
      </c>
      <c r="AC17" s="78">
        <v>100</v>
      </c>
      <c r="AD17" s="78">
        <v>100</v>
      </c>
      <c r="AE17" s="78">
        <v>100</v>
      </c>
      <c r="AF17" s="78">
        <v>100</v>
      </c>
      <c r="AG17" s="78">
        <v>100</v>
      </c>
      <c r="AH17" s="78">
        <v>100</v>
      </c>
      <c r="AI17" s="78">
        <v>100</v>
      </c>
      <c r="AJ17" s="78">
        <v>98</v>
      </c>
      <c r="AK17" s="78">
        <v>100</v>
      </c>
      <c r="AL17" s="78">
        <v>100</v>
      </c>
      <c r="AM17" s="78">
        <v>100</v>
      </c>
      <c r="AN17" s="78">
        <v>100</v>
      </c>
      <c r="AO17" s="78">
        <v>100</v>
      </c>
      <c r="AP17" s="78">
        <v>97</v>
      </c>
      <c r="AQ17" s="78">
        <v>94</v>
      </c>
      <c r="AR17" s="78">
        <v>91</v>
      </c>
      <c r="AS17" s="78">
        <v>87</v>
      </c>
      <c r="AT17" s="78">
        <v>98.26</v>
      </c>
    </row>
    <row r="18" spans="1:46" ht="19.5" thickBot="1" x14ac:dyDescent="0.35">
      <c r="A18" s="85">
        <v>0.2</v>
      </c>
      <c r="B18" s="87">
        <v>6.67</v>
      </c>
      <c r="C18" s="87">
        <v>7.17</v>
      </c>
      <c r="D18" s="87">
        <v>7.57</v>
      </c>
      <c r="E18" s="87">
        <v>7.8699999999999992</v>
      </c>
      <c r="F18" s="87">
        <v>8.07</v>
      </c>
      <c r="G18" s="86">
        <v>8.17</v>
      </c>
      <c r="H18" s="87">
        <v>8.02</v>
      </c>
      <c r="I18" s="87">
        <v>7.8699999999999992</v>
      </c>
      <c r="J18" s="87">
        <v>7.7200000000000006</v>
      </c>
      <c r="K18" s="87">
        <v>7.57</v>
      </c>
      <c r="L18" s="87">
        <v>7.42</v>
      </c>
      <c r="M18" s="87">
        <v>7.27</v>
      </c>
      <c r="N18" s="87">
        <v>7.1199999999999992</v>
      </c>
      <c r="O18" s="87">
        <v>6.97</v>
      </c>
      <c r="P18" s="87">
        <v>6.82</v>
      </c>
      <c r="Q18" s="87">
        <v>6.62</v>
      </c>
      <c r="R18" s="87">
        <v>6.42</v>
      </c>
      <c r="S18" s="87">
        <v>6.12</v>
      </c>
      <c r="T18" s="87">
        <v>5.77</v>
      </c>
      <c r="U18" s="87">
        <v>5.37</v>
      </c>
      <c r="V18" s="87">
        <v>4.92</v>
      </c>
      <c r="W18" s="87">
        <v>4.42</v>
      </c>
      <c r="X18" s="83"/>
      <c r="Y18" s="78">
        <v>7.7</v>
      </c>
      <c r="Z18" s="78">
        <f t="shared" si="0"/>
        <v>6.7</v>
      </c>
      <c r="AA18" s="78">
        <v>100</v>
      </c>
      <c r="AB18" s="78">
        <v>100</v>
      </c>
      <c r="AC18" s="78">
        <v>100</v>
      </c>
      <c r="AD18" s="78">
        <v>100</v>
      </c>
      <c r="AE18" s="78">
        <v>100</v>
      </c>
      <c r="AF18" s="78">
        <v>100</v>
      </c>
      <c r="AG18" s="78">
        <v>100</v>
      </c>
      <c r="AH18" s="78">
        <v>100</v>
      </c>
      <c r="AI18" s="78">
        <v>100</v>
      </c>
      <c r="AJ18" s="78">
        <v>97</v>
      </c>
      <c r="AK18" s="78">
        <v>100</v>
      </c>
      <c r="AL18" s="78">
        <v>100</v>
      </c>
      <c r="AM18" s="78">
        <v>100</v>
      </c>
      <c r="AN18" s="78">
        <v>100</v>
      </c>
      <c r="AO18" s="78">
        <v>99</v>
      </c>
      <c r="AP18" s="78">
        <v>96</v>
      </c>
      <c r="AQ18" s="78">
        <v>93</v>
      </c>
      <c r="AR18" s="78">
        <v>89</v>
      </c>
      <c r="AS18" s="78">
        <v>86</v>
      </c>
      <c r="AT18" s="78">
        <v>97.89</v>
      </c>
    </row>
    <row r="19" spans="1:46" ht="16.5" customHeight="1" thickBot="1" x14ac:dyDescent="0.3">
      <c r="A19" s="80">
        <v>0.21</v>
      </c>
      <c r="B19" s="81">
        <v>6.8</v>
      </c>
      <c r="C19" s="81">
        <v>7.3000000000000007</v>
      </c>
      <c r="D19" s="81">
        <v>7.6999999999999993</v>
      </c>
      <c r="E19" s="81">
        <v>8</v>
      </c>
      <c r="F19" s="125">
        <v>8.1999999999999993</v>
      </c>
      <c r="G19" s="126">
        <v>8.3000000000000007</v>
      </c>
      <c r="H19" s="81">
        <v>8.15</v>
      </c>
      <c r="I19" s="81">
        <v>8</v>
      </c>
      <c r="J19" s="81">
        <v>7.85</v>
      </c>
      <c r="K19" s="81">
        <v>7.6999999999999993</v>
      </c>
      <c r="L19" s="81">
        <v>7.5500000000000007</v>
      </c>
      <c r="M19" s="82">
        <v>7.4</v>
      </c>
      <c r="N19" s="82">
        <v>7.25</v>
      </c>
      <c r="O19" s="82">
        <v>7.1</v>
      </c>
      <c r="P19" s="82">
        <v>6.95</v>
      </c>
      <c r="Q19" s="81">
        <v>6.75</v>
      </c>
      <c r="R19" s="81">
        <v>6.55</v>
      </c>
      <c r="S19" s="81">
        <v>6.25</v>
      </c>
      <c r="T19" s="81">
        <v>5.9</v>
      </c>
      <c r="U19" s="81">
        <v>5.5</v>
      </c>
      <c r="V19" s="81">
        <v>5.05</v>
      </c>
      <c r="W19" s="81">
        <v>4.55</v>
      </c>
      <c r="X19" s="83"/>
      <c r="Y19" s="78">
        <v>7.6</v>
      </c>
      <c r="Z19" s="78">
        <f t="shared" si="0"/>
        <v>6.6</v>
      </c>
      <c r="AA19" s="78">
        <v>100</v>
      </c>
      <c r="AB19" s="78">
        <v>100</v>
      </c>
      <c r="AC19" s="78">
        <v>100</v>
      </c>
      <c r="AD19" s="78">
        <v>100</v>
      </c>
      <c r="AE19" s="78">
        <v>100</v>
      </c>
      <c r="AF19" s="78">
        <v>100</v>
      </c>
      <c r="AG19" s="78">
        <v>100</v>
      </c>
      <c r="AH19" s="78">
        <v>100</v>
      </c>
      <c r="AI19" s="78">
        <v>100</v>
      </c>
      <c r="AJ19" s="78">
        <v>96</v>
      </c>
      <c r="AK19" s="78">
        <v>100</v>
      </c>
      <c r="AL19" s="78">
        <v>100</v>
      </c>
      <c r="AM19" s="78">
        <v>100</v>
      </c>
      <c r="AN19" s="78">
        <v>100</v>
      </c>
      <c r="AO19" s="78">
        <v>98</v>
      </c>
      <c r="AP19" s="78">
        <v>95</v>
      </c>
      <c r="AQ19" s="78">
        <v>91</v>
      </c>
      <c r="AR19" s="78">
        <v>88</v>
      </c>
      <c r="AS19" s="78">
        <v>85</v>
      </c>
      <c r="AT19" s="78">
        <v>97.53</v>
      </c>
    </row>
    <row r="20" spans="1:46" ht="16.5" customHeight="1" thickBot="1" x14ac:dyDescent="0.3">
      <c r="A20" s="80">
        <v>0.22</v>
      </c>
      <c r="B20" s="81">
        <v>6.91</v>
      </c>
      <c r="C20" s="81">
        <v>7.41</v>
      </c>
      <c r="D20" s="81">
        <v>7.8100000000000005</v>
      </c>
      <c r="E20" s="81">
        <v>8.11</v>
      </c>
      <c r="F20" s="125">
        <v>8.31</v>
      </c>
      <c r="G20" s="126">
        <v>8.33</v>
      </c>
      <c r="H20" s="81">
        <v>8.26</v>
      </c>
      <c r="I20" s="81">
        <v>8.11</v>
      </c>
      <c r="J20" s="81">
        <v>7.9600000000000009</v>
      </c>
      <c r="K20" s="81">
        <v>7.8100000000000005</v>
      </c>
      <c r="L20" s="81">
        <v>7.66</v>
      </c>
      <c r="M20" s="82">
        <v>7.51</v>
      </c>
      <c r="N20" s="82">
        <v>7.3599999999999994</v>
      </c>
      <c r="O20" s="82">
        <v>7.2100000000000009</v>
      </c>
      <c r="P20" s="82">
        <v>7.0600000000000005</v>
      </c>
      <c r="Q20" s="81">
        <v>6.86</v>
      </c>
      <c r="R20" s="81">
        <v>6.66</v>
      </c>
      <c r="S20" s="81">
        <v>6.36</v>
      </c>
      <c r="T20" s="81">
        <v>6.01</v>
      </c>
      <c r="U20" s="81">
        <v>5.61</v>
      </c>
      <c r="V20" s="81">
        <v>5.16</v>
      </c>
      <c r="W20" s="81">
        <v>4.66</v>
      </c>
      <c r="X20" s="83"/>
      <c r="Y20" s="78">
        <v>7.5</v>
      </c>
      <c r="Z20" s="78">
        <f t="shared" si="0"/>
        <v>6.5</v>
      </c>
      <c r="AA20" s="78">
        <v>100</v>
      </c>
      <c r="AB20" s="78">
        <v>100</v>
      </c>
      <c r="AC20" s="78">
        <v>100</v>
      </c>
      <c r="AD20" s="78">
        <v>100</v>
      </c>
      <c r="AE20" s="78">
        <v>100</v>
      </c>
      <c r="AF20" s="78">
        <v>100</v>
      </c>
      <c r="AG20" s="78">
        <v>100</v>
      </c>
      <c r="AH20" s="78">
        <v>100</v>
      </c>
      <c r="AI20" s="78">
        <v>100</v>
      </c>
      <c r="AJ20" s="78">
        <v>96</v>
      </c>
      <c r="AK20" s="78">
        <v>100</v>
      </c>
      <c r="AL20" s="78">
        <v>100</v>
      </c>
      <c r="AM20" s="78">
        <v>100</v>
      </c>
      <c r="AN20" s="78">
        <v>100</v>
      </c>
      <c r="AO20" s="78">
        <v>98</v>
      </c>
      <c r="AP20" s="78">
        <v>95</v>
      </c>
      <c r="AQ20" s="78">
        <v>91</v>
      </c>
      <c r="AR20" s="78">
        <v>88</v>
      </c>
      <c r="AS20" s="78">
        <v>84</v>
      </c>
      <c r="AT20" s="78">
        <v>97.47</v>
      </c>
    </row>
    <row r="21" spans="1:46" ht="16.5" customHeight="1" thickBot="1" x14ac:dyDescent="0.3">
      <c r="A21" s="80">
        <v>0.23</v>
      </c>
      <c r="B21" s="81">
        <v>7.01</v>
      </c>
      <c r="C21" s="81">
        <v>7.51</v>
      </c>
      <c r="D21" s="81">
        <v>7.91</v>
      </c>
      <c r="E21" s="81">
        <v>8.2100000000000009</v>
      </c>
      <c r="F21" s="125">
        <v>8.33</v>
      </c>
      <c r="G21" s="126">
        <v>8.33</v>
      </c>
      <c r="H21" s="81">
        <v>8.33</v>
      </c>
      <c r="I21" s="81">
        <v>8.2100000000000009</v>
      </c>
      <c r="J21" s="81">
        <v>8.06</v>
      </c>
      <c r="K21" s="81">
        <v>7.91</v>
      </c>
      <c r="L21" s="81">
        <v>7.76</v>
      </c>
      <c r="M21" s="82">
        <v>7.6099999999999994</v>
      </c>
      <c r="N21" s="82">
        <v>7.4600000000000009</v>
      </c>
      <c r="O21" s="82">
        <v>7.3100000000000005</v>
      </c>
      <c r="P21" s="82">
        <v>7.16</v>
      </c>
      <c r="Q21" s="81">
        <v>6.96</v>
      </c>
      <c r="R21" s="81">
        <v>6.76</v>
      </c>
      <c r="S21" s="81">
        <v>6.46</v>
      </c>
      <c r="T21" s="81">
        <v>6.11</v>
      </c>
      <c r="U21" s="81">
        <v>5.71</v>
      </c>
      <c r="V21" s="81">
        <v>5.26</v>
      </c>
      <c r="W21" s="81">
        <v>4.76</v>
      </c>
      <c r="X21" s="83"/>
      <c r="Y21" s="78">
        <v>7.4</v>
      </c>
      <c r="Z21" s="78">
        <f t="shared" si="0"/>
        <v>6.4</v>
      </c>
      <c r="AA21" s="78">
        <v>100</v>
      </c>
      <c r="AB21" s="78">
        <v>100</v>
      </c>
      <c r="AC21" s="78">
        <v>100</v>
      </c>
      <c r="AD21" s="78">
        <v>100</v>
      </c>
      <c r="AE21" s="78">
        <v>100</v>
      </c>
      <c r="AF21" s="78">
        <v>100</v>
      </c>
      <c r="AG21" s="78">
        <v>100</v>
      </c>
      <c r="AH21" s="78">
        <v>100</v>
      </c>
      <c r="AI21" s="78">
        <v>99</v>
      </c>
      <c r="AJ21" s="78">
        <v>96</v>
      </c>
      <c r="AK21" s="78">
        <v>100</v>
      </c>
      <c r="AL21" s="78">
        <v>100</v>
      </c>
      <c r="AM21" s="78">
        <v>100</v>
      </c>
      <c r="AN21" s="78">
        <v>100</v>
      </c>
      <c r="AO21" s="78">
        <v>97</v>
      </c>
      <c r="AP21" s="78">
        <v>94</v>
      </c>
      <c r="AQ21" s="78">
        <v>90</v>
      </c>
      <c r="AR21" s="78">
        <v>87</v>
      </c>
      <c r="AS21" s="78">
        <v>83</v>
      </c>
      <c r="AT21" s="78">
        <v>97.16</v>
      </c>
    </row>
    <row r="22" spans="1:46" ht="16.5" customHeight="1" thickBot="1" x14ac:dyDescent="0.3">
      <c r="A22" s="80">
        <v>0.24</v>
      </c>
      <c r="B22" s="81">
        <v>7.1099999999999994</v>
      </c>
      <c r="C22" s="81">
        <v>7.6099999999999994</v>
      </c>
      <c r="D22" s="81">
        <v>8.01</v>
      </c>
      <c r="E22" s="81">
        <v>8.31</v>
      </c>
      <c r="F22" s="125">
        <v>8.33</v>
      </c>
      <c r="G22" s="126">
        <v>8.33</v>
      </c>
      <c r="H22" s="81">
        <v>8.33</v>
      </c>
      <c r="I22" s="81">
        <v>8.31</v>
      </c>
      <c r="J22" s="81">
        <v>8.16</v>
      </c>
      <c r="K22" s="81">
        <v>8.01</v>
      </c>
      <c r="L22" s="81">
        <v>7.8599999999999994</v>
      </c>
      <c r="M22" s="82">
        <v>7.7100000000000009</v>
      </c>
      <c r="N22" s="82">
        <v>7.5600000000000005</v>
      </c>
      <c r="O22" s="82">
        <v>7.41</v>
      </c>
      <c r="P22" s="82">
        <v>7.26</v>
      </c>
      <c r="Q22" s="81">
        <v>7.0600000000000005</v>
      </c>
      <c r="R22" s="81">
        <v>6.86</v>
      </c>
      <c r="S22" s="81">
        <v>6.56</v>
      </c>
      <c r="T22" s="81">
        <v>6.21</v>
      </c>
      <c r="U22" s="81">
        <v>5.81</v>
      </c>
      <c r="V22" s="81">
        <v>5.36</v>
      </c>
      <c r="W22" s="81">
        <v>4.8600000000000003</v>
      </c>
      <c r="X22" s="83"/>
      <c r="Y22" s="78">
        <v>7.3</v>
      </c>
      <c r="Z22" s="78">
        <f t="shared" si="0"/>
        <v>6.3</v>
      </c>
      <c r="AA22" s="78">
        <v>100</v>
      </c>
      <c r="AB22" s="78">
        <v>100</v>
      </c>
      <c r="AC22" s="78">
        <v>100</v>
      </c>
      <c r="AD22" s="78">
        <v>100</v>
      </c>
      <c r="AE22" s="78">
        <v>100</v>
      </c>
      <c r="AF22" s="78">
        <v>100</v>
      </c>
      <c r="AG22" s="78">
        <v>100</v>
      </c>
      <c r="AH22" s="78">
        <v>100</v>
      </c>
      <c r="AI22" s="78">
        <v>98</v>
      </c>
      <c r="AJ22" s="78">
        <v>95</v>
      </c>
      <c r="AK22" s="78">
        <v>100</v>
      </c>
      <c r="AL22" s="78">
        <v>100</v>
      </c>
      <c r="AM22" s="78">
        <v>100</v>
      </c>
      <c r="AN22" s="78">
        <v>100</v>
      </c>
      <c r="AO22" s="78">
        <v>96</v>
      </c>
      <c r="AP22" s="78">
        <v>93</v>
      </c>
      <c r="AQ22" s="78">
        <v>89</v>
      </c>
      <c r="AR22" s="78">
        <v>86</v>
      </c>
      <c r="AS22" s="78">
        <v>82</v>
      </c>
      <c r="AT22" s="78">
        <v>96.79</v>
      </c>
    </row>
    <row r="23" spans="1:46" ht="19.5" thickBot="1" x14ac:dyDescent="0.35">
      <c r="A23" s="85">
        <v>0.25</v>
      </c>
      <c r="B23" s="87">
        <v>7.1999999999999993</v>
      </c>
      <c r="C23" s="87">
        <v>7.6999999999999993</v>
      </c>
      <c r="D23" s="87">
        <v>8.1</v>
      </c>
      <c r="E23" s="87">
        <v>8.33</v>
      </c>
      <c r="F23" s="87">
        <v>8.33</v>
      </c>
      <c r="G23" s="86">
        <v>8.33</v>
      </c>
      <c r="H23" s="87">
        <v>8.33</v>
      </c>
      <c r="I23" s="87">
        <v>8.33</v>
      </c>
      <c r="J23" s="87">
        <v>8.25</v>
      </c>
      <c r="K23" s="87">
        <v>8.1</v>
      </c>
      <c r="L23" s="87">
        <v>7.9499999999999993</v>
      </c>
      <c r="M23" s="87">
        <v>7.8000000000000007</v>
      </c>
      <c r="N23" s="87">
        <v>7.65</v>
      </c>
      <c r="O23" s="87">
        <v>7.5</v>
      </c>
      <c r="P23" s="87">
        <v>7.35</v>
      </c>
      <c r="Q23" s="87">
        <v>7.15</v>
      </c>
      <c r="R23" s="87">
        <v>6.95</v>
      </c>
      <c r="S23" s="87">
        <v>6.65</v>
      </c>
      <c r="T23" s="87">
        <v>6.3</v>
      </c>
      <c r="U23" s="87">
        <v>5.9</v>
      </c>
      <c r="V23" s="87">
        <v>5.45</v>
      </c>
      <c r="W23" s="87">
        <v>4.95</v>
      </c>
      <c r="X23" s="83"/>
      <c r="Y23" s="78">
        <v>7.2</v>
      </c>
      <c r="Z23" s="78">
        <f t="shared" si="0"/>
        <v>6.2</v>
      </c>
      <c r="AA23" s="78">
        <v>100</v>
      </c>
      <c r="AB23" s="78">
        <v>100</v>
      </c>
      <c r="AC23" s="78">
        <v>100</v>
      </c>
      <c r="AD23" s="78">
        <v>100</v>
      </c>
      <c r="AE23" s="78">
        <v>100</v>
      </c>
      <c r="AF23" s="78">
        <v>100</v>
      </c>
      <c r="AG23" s="78">
        <v>100</v>
      </c>
      <c r="AH23" s="78">
        <v>100</v>
      </c>
      <c r="AI23" s="78">
        <v>98</v>
      </c>
      <c r="AJ23" s="78">
        <v>94</v>
      </c>
      <c r="AK23" s="78">
        <v>100</v>
      </c>
      <c r="AL23" s="78">
        <v>100</v>
      </c>
      <c r="AM23" s="78">
        <v>100</v>
      </c>
      <c r="AN23" s="78">
        <v>99</v>
      </c>
      <c r="AO23" s="78">
        <v>95</v>
      </c>
      <c r="AP23" s="78">
        <v>92</v>
      </c>
      <c r="AQ23" s="78">
        <v>88</v>
      </c>
      <c r="AR23" s="78">
        <v>85</v>
      </c>
      <c r="AS23" s="78">
        <v>81</v>
      </c>
      <c r="AT23" s="78">
        <v>96.42</v>
      </c>
    </row>
    <row r="24" spans="1:46" ht="16.5" thickBot="1" x14ac:dyDescent="0.3">
      <c r="A24" s="80">
        <v>0.26</v>
      </c>
      <c r="B24" s="81">
        <v>7.2799999999999994</v>
      </c>
      <c r="C24" s="81">
        <v>7.7799999999999994</v>
      </c>
      <c r="D24" s="81">
        <v>8.18</v>
      </c>
      <c r="E24" s="81">
        <v>8.33</v>
      </c>
      <c r="F24" s="125">
        <v>8.33</v>
      </c>
      <c r="G24" s="126">
        <v>8.33</v>
      </c>
      <c r="H24" s="81">
        <v>8.33</v>
      </c>
      <c r="I24" s="81">
        <v>8.33</v>
      </c>
      <c r="J24" s="81">
        <v>8.33</v>
      </c>
      <c r="K24" s="81">
        <v>8.18</v>
      </c>
      <c r="L24" s="81">
        <v>8.0299999999999994</v>
      </c>
      <c r="M24" s="82">
        <v>7.8800000000000008</v>
      </c>
      <c r="N24" s="82">
        <v>7.73</v>
      </c>
      <c r="O24" s="82">
        <v>7.58</v>
      </c>
      <c r="P24" s="82">
        <v>7.43</v>
      </c>
      <c r="Q24" s="81">
        <v>7.23</v>
      </c>
      <c r="R24" s="81">
        <v>7.0299999999999994</v>
      </c>
      <c r="S24" s="81">
        <v>6.73</v>
      </c>
      <c r="T24" s="81">
        <v>6.38</v>
      </c>
      <c r="U24" s="81">
        <v>5.98</v>
      </c>
      <c r="V24" s="81">
        <v>5.53</v>
      </c>
      <c r="W24" s="81">
        <v>5.03</v>
      </c>
      <c r="X24" s="83"/>
      <c r="Y24" s="78">
        <v>7.1</v>
      </c>
      <c r="Z24" s="78">
        <f t="shared" si="0"/>
        <v>6.1</v>
      </c>
      <c r="AA24" s="78">
        <v>100</v>
      </c>
      <c r="AB24" s="78">
        <v>100</v>
      </c>
      <c r="AC24" s="78">
        <v>100</v>
      </c>
      <c r="AD24" s="78">
        <v>100</v>
      </c>
      <c r="AE24" s="78">
        <v>100</v>
      </c>
      <c r="AF24" s="78">
        <v>100</v>
      </c>
      <c r="AG24" s="78">
        <v>100</v>
      </c>
      <c r="AH24" s="78">
        <v>100</v>
      </c>
      <c r="AI24" s="78">
        <v>97</v>
      </c>
      <c r="AJ24" s="78">
        <v>94</v>
      </c>
      <c r="AK24" s="78">
        <v>100</v>
      </c>
      <c r="AL24" s="78">
        <v>100</v>
      </c>
      <c r="AM24" s="78">
        <v>100</v>
      </c>
      <c r="AN24" s="78">
        <v>98</v>
      </c>
      <c r="AO24" s="78">
        <v>95</v>
      </c>
      <c r="AP24" s="78">
        <v>91</v>
      </c>
      <c r="AQ24" s="78">
        <v>87</v>
      </c>
      <c r="AR24" s="78">
        <v>84</v>
      </c>
      <c r="AS24" s="78">
        <v>80</v>
      </c>
      <c r="AT24" s="78">
        <v>96.11</v>
      </c>
    </row>
    <row r="25" spans="1:46" ht="16.5" customHeight="1" thickBot="1" x14ac:dyDescent="0.3">
      <c r="A25" s="80">
        <v>0.27</v>
      </c>
      <c r="B25" s="81">
        <v>7.3599999999999994</v>
      </c>
      <c r="C25" s="81">
        <v>7.8599999999999994</v>
      </c>
      <c r="D25" s="81">
        <v>8.26</v>
      </c>
      <c r="E25" s="81">
        <v>8.33</v>
      </c>
      <c r="F25" s="125">
        <v>8.33</v>
      </c>
      <c r="G25" s="126">
        <v>8.33</v>
      </c>
      <c r="H25" s="81">
        <v>8.33</v>
      </c>
      <c r="I25" s="81">
        <v>8.33</v>
      </c>
      <c r="J25" s="81">
        <v>8.33</v>
      </c>
      <c r="K25" s="81">
        <v>8.26</v>
      </c>
      <c r="L25" s="81">
        <v>8.11</v>
      </c>
      <c r="M25" s="82">
        <v>7.9600000000000009</v>
      </c>
      <c r="N25" s="82">
        <v>7.8100000000000005</v>
      </c>
      <c r="O25" s="82">
        <v>7.66</v>
      </c>
      <c r="P25" s="82">
        <v>7.51</v>
      </c>
      <c r="Q25" s="81">
        <v>7.3100000000000005</v>
      </c>
      <c r="R25" s="81">
        <v>7.1099999999999994</v>
      </c>
      <c r="S25" s="81">
        <v>6.81</v>
      </c>
      <c r="T25" s="81">
        <v>6.46</v>
      </c>
      <c r="U25" s="81">
        <v>6.06</v>
      </c>
      <c r="V25" s="81">
        <v>5.61</v>
      </c>
      <c r="W25" s="81">
        <v>5.1100000000000003</v>
      </c>
      <c r="X25" s="83"/>
      <c r="Y25" s="78">
        <v>7</v>
      </c>
      <c r="Z25" s="78">
        <f t="shared" si="0"/>
        <v>6</v>
      </c>
      <c r="AA25" s="78">
        <v>100</v>
      </c>
      <c r="AB25" s="78">
        <v>100</v>
      </c>
      <c r="AC25" s="78">
        <v>100</v>
      </c>
      <c r="AD25" s="78">
        <v>100</v>
      </c>
      <c r="AE25" s="78">
        <v>100</v>
      </c>
      <c r="AF25" s="78">
        <v>100</v>
      </c>
      <c r="AG25" s="78">
        <v>100</v>
      </c>
      <c r="AH25" s="78">
        <v>100</v>
      </c>
      <c r="AI25" s="78">
        <v>96</v>
      </c>
      <c r="AJ25" s="78">
        <v>93</v>
      </c>
      <c r="AK25" s="78">
        <v>100</v>
      </c>
      <c r="AL25" s="78">
        <v>100</v>
      </c>
      <c r="AM25" s="78">
        <v>100</v>
      </c>
      <c r="AN25" s="78">
        <v>97</v>
      </c>
      <c r="AO25" s="78">
        <v>94</v>
      </c>
      <c r="AP25" s="78">
        <v>90</v>
      </c>
      <c r="AQ25" s="78">
        <v>86</v>
      </c>
      <c r="AR25" s="78">
        <v>82</v>
      </c>
      <c r="AS25" s="78">
        <v>79</v>
      </c>
      <c r="AT25" s="78">
        <v>95.79</v>
      </c>
    </row>
    <row r="26" spans="1:46" ht="16.5" customHeight="1" thickBot="1" x14ac:dyDescent="0.3">
      <c r="A26" s="80">
        <v>0.28000000000000003</v>
      </c>
      <c r="B26" s="81">
        <v>7.43</v>
      </c>
      <c r="C26" s="81">
        <v>7.93</v>
      </c>
      <c r="D26" s="81">
        <v>8.33</v>
      </c>
      <c r="E26" s="81">
        <v>8.33</v>
      </c>
      <c r="F26" s="125">
        <v>8.33</v>
      </c>
      <c r="G26" s="126">
        <v>8.33</v>
      </c>
      <c r="H26" s="81">
        <v>8.33</v>
      </c>
      <c r="I26" s="81">
        <v>8.33</v>
      </c>
      <c r="J26" s="81">
        <v>8.33</v>
      </c>
      <c r="K26" s="81">
        <v>8.33</v>
      </c>
      <c r="L26" s="81">
        <v>8.18</v>
      </c>
      <c r="M26" s="82">
        <v>8.0299999999999994</v>
      </c>
      <c r="N26" s="82">
        <v>7.8800000000000008</v>
      </c>
      <c r="O26" s="82">
        <v>7.73</v>
      </c>
      <c r="P26" s="82">
        <v>7.58</v>
      </c>
      <c r="Q26" s="81">
        <v>7.3800000000000008</v>
      </c>
      <c r="R26" s="81">
        <v>7.18</v>
      </c>
      <c r="S26" s="81">
        <v>6.88</v>
      </c>
      <c r="T26" s="81">
        <v>6.53</v>
      </c>
      <c r="U26" s="81">
        <v>6.13</v>
      </c>
      <c r="V26" s="81">
        <v>5.68</v>
      </c>
      <c r="W26" s="81">
        <v>5.18</v>
      </c>
      <c r="X26" s="83"/>
      <c r="Y26" s="78">
        <v>6.9</v>
      </c>
      <c r="Z26" s="78">
        <f t="shared" si="0"/>
        <v>5.9</v>
      </c>
      <c r="AA26" s="78">
        <v>100</v>
      </c>
      <c r="AB26" s="78">
        <v>100</v>
      </c>
      <c r="AC26" s="78">
        <v>100</v>
      </c>
      <c r="AD26" s="78">
        <v>100</v>
      </c>
      <c r="AE26" s="78">
        <v>100</v>
      </c>
      <c r="AF26" s="78">
        <v>100</v>
      </c>
      <c r="AG26" s="78">
        <v>100</v>
      </c>
      <c r="AH26" s="78">
        <v>100</v>
      </c>
      <c r="AI26" s="78">
        <v>96</v>
      </c>
      <c r="AJ26" s="78">
        <v>92</v>
      </c>
      <c r="AK26" s="78">
        <v>100</v>
      </c>
      <c r="AL26" s="78">
        <v>100</v>
      </c>
      <c r="AM26" s="78">
        <v>100</v>
      </c>
      <c r="AN26" s="78">
        <v>96</v>
      </c>
      <c r="AO26" s="78">
        <v>93</v>
      </c>
      <c r="AP26" s="78">
        <v>89</v>
      </c>
      <c r="AQ26" s="78">
        <v>85</v>
      </c>
      <c r="AR26" s="78">
        <v>82</v>
      </c>
      <c r="AS26" s="78">
        <v>78</v>
      </c>
      <c r="AT26" s="78">
        <v>95.32</v>
      </c>
    </row>
    <row r="27" spans="1:46" ht="16.5" thickBot="1" x14ac:dyDescent="0.3">
      <c r="A27" s="80">
        <v>0.28999999999999998</v>
      </c>
      <c r="B27" s="81">
        <v>7.5</v>
      </c>
      <c r="C27" s="81">
        <v>8</v>
      </c>
      <c r="D27" s="81">
        <v>8.33</v>
      </c>
      <c r="E27" s="81">
        <v>8.33</v>
      </c>
      <c r="F27" s="125">
        <v>8.33</v>
      </c>
      <c r="G27" s="126">
        <v>8.33</v>
      </c>
      <c r="H27" s="81">
        <v>8.33</v>
      </c>
      <c r="I27" s="81">
        <v>8.33</v>
      </c>
      <c r="J27" s="81">
        <v>8.33</v>
      </c>
      <c r="K27" s="81">
        <v>8.33</v>
      </c>
      <c r="L27" s="81">
        <v>8.25</v>
      </c>
      <c r="M27" s="82">
        <v>8.1</v>
      </c>
      <c r="N27" s="82">
        <v>7.9499999999999993</v>
      </c>
      <c r="O27" s="82">
        <v>7.8000000000000007</v>
      </c>
      <c r="P27" s="82">
        <v>7.65</v>
      </c>
      <c r="Q27" s="81">
        <v>7.4499999999999993</v>
      </c>
      <c r="R27" s="81">
        <v>7.25</v>
      </c>
      <c r="S27" s="81">
        <v>6.95</v>
      </c>
      <c r="T27" s="81">
        <v>6.6</v>
      </c>
      <c r="U27" s="81">
        <v>6.2</v>
      </c>
      <c r="V27" s="81">
        <v>5.75</v>
      </c>
      <c r="W27" s="81">
        <v>5.25</v>
      </c>
      <c r="X27" s="83"/>
      <c r="Y27" s="78">
        <v>6.8</v>
      </c>
      <c r="Z27" s="78">
        <f t="shared" si="0"/>
        <v>5.8</v>
      </c>
      <c r="AA27" s="78">
        <v>100</v>
      </c>
      <c r="AB27" s="78">
        <v>100</v>
      </c>
      <c r="AC27" s="78">
        <v>100</v>
      </c>
      <c r="AD27" s="78">
        <v>100</v>
      </c>
      <c r="AE27" s="78">
        <v>100</v>
      </c>
      <c r="AF27" s="78">
        <v>100</v>
      </c>
      <c r="AG27" s="78">
        <v>100</v>
      </c>
      <c r="AH27" s="78">
        <v>99</v>
      </c>
      <c r="AI27" s="78">
        <v>95</v>
      </c>
      <c r="AJ27" s="78">
        <v>91</v>
      </c>
      <c r="AK27" s="78">
        <v>100</v>
      </c>
      <c r="AL27" s="78">
        <v>100</v>
      </c>
      <c r="AM27" s="78">
        <v>99</v>
      </c>
      <c r="AN27" s="78">
        <v>95</v>
      </c>
      <c r="AO27" s="78">
        <v>91</v>
      </c>
      <c r="AP27" s="78">
        <v>88</v>
      </c>
      <c r="AQ27" s="78">
        <v>84</v>
      </c>
      <c r="AR27" s="78">
        <v>80</v>
      </c>
      <c r="AS27" s="78">
        <v>77</v>
      </c>
      <c r="AT27" s="78">
        <v>94.68</v>
      </c>
    </row>
    <row r="28" spans="1:46" ht="16.5" customHeight="1" thickBot="1" x14ac:dyDescent="0.3">
      <c r="A28" s="80">
        <v>0.3</v>
      </c>
      <c r="B28" s="81">
        <v>7.5600000000000005</v>
      </c>
      <c r="C28" s="81">
        <v>8.06</v>
      </c>
      <c r="D28" s="81">
        <v>8.33</v>
      </c>
      <c r="E28" s="81">
        <v>8.33</v>
      </c>
      <c r="F28" s="125">
        <v>8.33</v>
      </c>
      <c r="G28" s="126">
        <v>8.33</v>
      </c>
      <c r="H28" s="81">
        <v>8.33</v>
      </c>
      <c r="I28" s="81">
        <v>8.33</v>
      </c>
      <c r="J28" s="81">
        <v>8.33</v>
      </c>
      <c r="K28" s="81">
        <v>8.33</v>
      </c>
      <c r="L28" s="81">
        <v>8.31</v>
      </c>
      <c r="M28" s="82">
        <v>8.16</v>
      </c>
      <c r="N28" s="82">
        <v>8.01</v>
      </c>
      <c r="O28" s="82">
        <v>7.8599999999999994</v>
      </c>
      <c r="P28" s="82">
        <v>7.7100000000000009</v>
      </c>
      <c r="Q28" s="81">
        <v>7.51</v>
      </c>
      <c r="R28" s="81">
        <v>7.3100000000000005</v>
      </c>
      <c r="S28" s="81">
        <v>7.01</v>
      </c>
      <c r="T28" s="81">
        <v>6.66</v>
      </c>
      <c r="U28" s="81">
        <v>6.26</v>
      </c>
      <c r="V28" s="81">
        <v>5.81</v>
      </c>
      <c r="W28" s="81">
        <v>5.31</v>
      </c>
      <c r="X28" s="83"/>
      <c r="Y28" s="78">
        <v>6.7</v>
      </c>
      <c r="Z28" s="78">
        <f t="shared" si="0"/>
        <v>5.7</v>
      </c>
      <c r="AA28" s="78">
        <v>100</v>
      </c>
      <c r="AB28" s="78">
        <v>100</v>
      </c>
      <c r="AC28" s="78">
        <v>100</v>
      </c>
      <c r="AD28" s="78">
        <v>100</v>
      </c>
      <c r="AE28" s="78">
        <v>100</v>
      </c>
      <c r="AF28" s="78">
        <v>100</v>
      </c>
      <c r="AG28" s="78">
        <v>100</v>
      </c>
      <c r="AH28" s="78">
        <v>99</v>
      </c>
      <c r="AI28" s="78">
        <v>95</v>
      </c>
      <c r="AJ28" s="78">
        <v>91</v>
      </c>
      <c r="AK28" s="78">
        <v>100</v>
      </c>
      <c r="AL28" s="78">
        <v>100</v>
      </c>
      <c r="AM28" s="78">
        <v>99</v>
      </c>
      <c r="AN28" s="78">
        <v>95</v>
      </c>
      <c r="AO28" s="78">
        <v>91</v>
      </c>
      <c r="AP28" s="78">
        <v>87</v>
      </c>
      <c r="AQ28" s="78">
        <v>84</v>
      </c>
      <c r="AR28" s="78">
        <v>80</v>
      </c>
      <c r="AS28" s="78">
        <v>76</v>
      </c>
      <c r="AT28" s="78">
        <v>94.58</v>
      </c>
    </row>
    <row r="29" spans="1:46" ht="16.5" customHeight="1" thickBot="1" x14ac:dyDescent="0.3">
      <c r="A29" s="80">
        <v>0.31</v>
      </c>
      <c r="B29" s="81">
        <v>7.6199999999999992</v>
      </c>
      <c r="C29" s="81">
        <v>8.1199999999999992</v>
      </c>
      <c r="D29" s="81">
        <v>8.33</v>
      </c>
      <c r="E29" s="81">
        <v>8.33</v>
      </c>
      <c r="F29" s="125">
        <v>8.33</v>
      </c>
      <c r="G29" s="126">
        <v>8.33</v>
      </c>
      <c r="H29" s="81">
        <v>8.33</v>
      </c>
      <c r="I29" s="81">
        <v>8.33</v>
      </c>
      <c r="J29" s="81">
        <v>8.33</v>
      </c>
      <c r="K29" s="81">
        <v>8.33</v>
      </c>
      <c r="L29" s="81">
        <v>8.33</v>
      </c>
      <c r="M29" s="82">
        <v>8.2200000000000006</v>
      </c>
      <c r="N29" s="82">
        <v>8.07</v>
      </c>
      <c r="O29" s="82">
        <v>7.92</v>
      </c>
      <c r="P29" s="82">
        <v>7.77</v>
      </c>
      <c r="Q29" s="81">
        <v>7.57</v>
      </c>
      <c r="R29" s="81">
        <v>7.3699999999999992</v>
      </c>
      <c r="S29" s="81">
        <v>7.07</v>
      </c>
      <c r="T29" s="81">
        <v>6.72</v>
      </c>
      <c r="U29" s="81">
        <v>6.32</v>
      </c>
      <c r="V29" s="81">
        <v>5.87</v>
      </c>
      <c r="W29" s="81">
        <v>5.37</v>
      </c>
      <c r="X29" s="83"/>
      <c r="Y29" s="78">
        <v>6.6</v>
      </c>
      <c r="Z29" s="78">
        <f t="shared" si="0"/>
        <v>5.6</v>
      </c>
      <c r="AA29" s="78">
        <v>100</v>
      </c>
      <c r="AB29" s="78">
        <v>100</v>
      </c>
      <c r="AC29" s="78">
        <v>100</v>
      </c>
      <c r="AD29" s="78">
        <v>100</v>
      </c>
      <c r="AE29" s="78">
        <v>100</v>
      </c>
      <c r="AF29" s="78">
        <v>100</v>
      </c>
      <c r="AG29" s="78">
        <v>100</v>
      </c>
      <c r="AH29" s="78">
        <v>98</v>
      </c>
      <c r="AI29" s="78">
        <v>94</v>
      </c>
      <c r="AJ29" s="78">
        <v>90</v>
      </c>
      <c r="AK29" s="78">
        <v>100</v>
      </c>
      <c r="AL29" s="78">
        <v>100</v>
      </c>
      <c r="AM29" s="78">
        <v>97</v>
      </c>
      <c r="AN29" s="78">
        <v>94</v>
      </c>
      <c r="AO29" s="78">
        <v>90</v>
      </c>
      <c r="AP29" s="78">
        <v>86</v>
      </c>
      <c r="AQ29" s="78">
        <v>82</v>
      </c>
      <c r="AR29" s="78">
        <v>78</v>
      </c>
      <c r="AS29" s="78">
        <v>75</v>
      </c>
      <c r="AT29" s="78">
        <v>93.89</v>
      </c>
    </row>
    <row r="30" spans="1:46" ht="16.5" customHeight="1" thickBot="1" x14ac:dyDescent="0.3">
      <c r="A30" s="80">
        <v>0.32</v>
      </c>
      <c r="B30" s="81">
        <v>7.67</v>
      </c>
      <c r="C30" s="81">
        <v>8.17</v>
      </c>
      <c r="D30" s="81">
        <v>8.33</v>
      </c>
      <c r="E30" s="81">
        <v>8.33</v>
      </c>
      <c r="F30" s="125">
        <v>8.33</v>
      </c>
      <c r="G30" s="126">
        <v>8.33</v>
      </c>
      <c r="H30" s="81">
        <v>8.33</v>
      </c>
      <c r="I30" s="81">
        <v>8.33</v>
      </c>
      <c r="J30" s="81">
        <v>8.33</v>
      </c>
      <c r="K30" s="81">
        <v>8.33</v>
      </c>
      <c r="L30" s="81">
        <v>8.33</v>
      </c>
      <c r="M30" s="82">
        <v>8.27</v>
      </c>
      <c r="N30" s="82">
        <v>8.1199999999999992</v>
      </c>
      <c r="O30" s="82">
        <v>7.9700000000000006</v>
      </c>
      <c r="P30" s="82">
        <v>7.82</v>
      </c>
      <c r="Q30" s="81">
        <v>7.6199999999999992</v>
      </c>
      <c r="R30" s="81">
        <v>7.42</v>
      </c>
      <c r="S30" s="81">
        <v>7.1199999999999992</v>
      </c>
      <c r="T30" s="81">
        <v>6.77</v>
      </c>
      <c r="U30" s="81">
        <v>6.37</v>
      </c>
      <c r="V30" s="81">
        <v>5.92</v>
      </c>
      <c r="W30" s="81">
        <v>5.42</v>
      </c>
      <c r="X30" s="83"/>
      <c r="Y30" s="78">
        <v>6.5</v>
      </c>
      <c r="Z30" s="78">
        <f t="shared" si="0"/>
        <v>5.5</v>
      </c>
      <c r="AA30" s="78">
        <v>100</v>
      </c>
      <c r="AB30" s="78">
        <v>100</v>
      </c>
      <c r="AC30" s="78">
        <v>100</v>
      </c>
      <c r="AD30" s="78">
        <v>100</v>
      </c>
      <c r="AE30" s="78">
        <v>100</v>
      </c>
      <c r="AF30" s="78">
        <v>100</v>
      </c>
      <c r="AG30" s="78">
        <v>100</v>
      </c>
      <c r="AH30" s="78">
        <v>97</v>
      </c>
      <c r="AI30" s="78">
        <v>93</v>
      </c>
      <c r="AJ30" s="78">
        <v>90</v>
      </c>
      <c r="AK30" s="78">
        <v>100</v>
      </c>
      <c r="AL30" s="78">
        <v>100</v>
      </c>
      <c r="AM30" s="78">
        <v>97</v>
      </c>
      <c r="AN30" s="78">
        <v>93</v>
      </c>
      <c r="AO30" s="78">
        <v>89</v>
      </c>
      <c r="AP30" s="78">
        <v>85</v>
      </c>
      <c r="AQ30" s="78">
        <v>82</v>
      </c>
      <c r="AR30" s="78">
        <v>78</v>
      </c>
      <c r="AS30" s="78">
        <v>74</v>
      </c>
      <c r="AT30" s="78">
        <v>93.58</v>
      </c>
    </row>
    <row r="31" spans="1:46" ht="16.5" customHeight="1" thickBot="1" x14ac:dyDescent="0.3">
      <c r="A31" s="80">
        <v>0.33</v>
      </c>
      <c r="B31" s="81">
        <v>7.7200000000000006</v>
      </c>
      <c r="C31" s="81">
        <v>8.2200000000000006</v>
      </c>
      <c r="D31" s="81">
        <v>8.33</v>
      </c>
      <c r="E31" s="81">
        <v>8.33</v>
      </c>
      <c r="F31" s="125">
        <v>8.33</v>
      </c>
      <c r="G31" s="126">
        <v>8.33</v>
      </c>
      <c r="H31" s="81">
        <v>8.33</v>
      </c>
      <c r="I31" s="81">
        <v>8.33</v>
      </c>
      <c r="J31" s="81">
        <v>8.33</v>
      </c>
      <c r="K31" s="81">
        <v>8.33</v>
      </c>
      <c r="L31" s="81">
        <v>8.33</v>
      </c>
      <c r="M31" s="82">
        <v>8.32</v>
      </c>
      <c r="N31" s="82">
        <v>8.17</v>
      </c>
      <c r="O31" s="82">
        <v>8.02</v>
      </c>
      <c r="P31" s="82">
        <v>7.8699999999999992</v>
      </c>
      <c r="Q31" s="81">
        <v>7.67</v>
      </c>
      <c r="R31" s="81">
        <v>7.4700000000000006</v>
      </c>
      <c r="S31" s="81">
        <v>7.17</v>
      </c>
      <c r="T31" s="81">
        <v>6.82</v>
      </c>
      <c r="U31" s="81">
        <v>6.42</v>
      </c>
      <c r="V31" s="81">
        <v>5.97</v>
      </c>
      <c r="W31" s="81">
        <v>5.47</v>
      </c>
      <c r="X31" s="83"/>
      <c r="Y31" s="78">
        <v>6.4</v>
      </c>
      <c r="Z31" s="78">
        <f t="shared" si="0"/>
        <v>5.4</v>
      </c>
      <c r="AA31" s="78">
        <v>100</v>
      </c>
      <c r="AB31" s="78">
        <v>100</v>
      </c>
      <c r="AC31" s="78">
        <v>100</v>
      </c>
      <c r="AD31" s="78">
        <v>100</v>
      </c>
      <c r="AE31" s="78">
        <v>100</v>
      </c>
      <c r="AF31" s="78">
        <v>100</v>
      </c>
      <c r="AG31" s="78">
        <v>100</v>
      </c>
      <c r="AH31" s="78">
        <v>97</v>
      </c>
      <c r="AI31" s="78">
        <v>93</v>
      </c>
      <c r="AJ31" s="78">
        <v>89</v>
      </c>
      <c r="AK31" s="78">
        <v>100</v>
      </c>
      <c r="AL31" s="78">
        <v>100</v>
      </c>
      <c r="AM31" s="78">
        <v>96</v>
      </c>
      <c r="AN31" s="78">
        <v>93</v>
      </c>
      <c r="AO31" s="78">
        <v>89</v>
      </c>
      <c r="AP31" s="78">
        <v>85</v>
      </c>
      <c r="AQ31" s="78">
        <v>81</v>
      </c>
      <c r="AR31" s="78">
        <v>77</v>
      </c>
      <c r="AS31" s="78">
        <v>73</v>
      </c>
      <c r="AT31" s="78">
        <v>93.32</v>
      </c>
    </row>
    <row r="32" spans="1:46" ht="16.5" customHeight="1" thickBot="1" x14ac:dyDescent="0.3">
      <c r="A32" s="80">
        <v>0.34</v>
      </c>
      <c r="B32" s="81">
        <v>7.77</v>
      </c>
      <c r="C32" s="81">
        <v>8.27</v>
      </c>
      <c r="D32" s="81">
        <v>8.33</v>
      </c>
      <c r="E32" s="81">
        <v>8.33</v>
      </c>
      <c r="F32" s="125">
        <v>8.33</v>
      </c>
      <c r="G32" s="126">
        <v>8.33</v>
      </c>
      <c r="H32" s="81">
        <v>8.33</v>
      </c>
      <c r="I32" s="81">
        <v>8.33</v>
      </c>
      <c r="J32" s="81">
        <v>8.33</v>
      </c>
      <c r="K32" s="81">
        <v>8.33</v>
      </c>
      <c r="L32" s="81">
        <v>8.33</v>
      </c>
      <c r="M32" s="82">
        <v>8.33</v>
      </c>
      <c r="N32" s="82">
        <v>8.2200000000000006</v>
      </c>
      <c r="O32" s="82">
        <v>8.07</v>
      </c>
      <c r="P32" s="82">
        <v>7.92</v>
      </c>
      <c r="Q32" s="81">
        <v>7.7200000000000006</v>
      </c>
      <c r="R32" s="81">
        <v>7.52</v>
      </c>
      <c r="S32" s="81">
        <v>7.2200000000000006</v>
      </c>
      <c r="T32" s="81">
        <v>6.87</v>
      </c>
      <c r="U32" s="81">
        <v>6.47</v>
      </c>
      <c r="V32" s="81">
        <v>6.02</v>
      </c>
      <c r="W32" s="81">
        <v>5.52</v>
      </c>
      <c r="X32" s="83"/>
      <c r="Y32" s="78">
        <v>6.3</v>
      </c>
      <c r="Z32" s="78">
        <f t="shared" si="0"/>
        <v>5.3</v>
      </c>
      <c r="AA32" s="78">
        <v>100</v>
      </c>
      <c r="AB32" s="78">
        <v>100</v>
      </c>
      <c r="AC32" s="78">
        <v>100</v>
      </c>
      <c r="AD32" s="78">
        <v>100</v>
      </c>
      <c r="AE32" s="78">
        <v>100</v>
      </c>
      <c r="AF32" s="78">
        <v>100</v>
      </c>
      <c r="AG32" s="78">
        <v>100</v>
      </c>
      <c r="AH32" s="78">
        <v>96</v>
      </c>
      <c r="AI32" s="78">
        <v>92</v>
      </c>
      <c r="AJ32" s="78">
        <v>88</v>
      </c>
      <c r="AK32" s="78">
        <v>100</v>
      </c>
      <c r="AL32" s="78">
        <v>99</v>
      </c>
      <c r="AM32" s="78">
        <v>95</v>
      </c>
      <c r="AN32" s="78">
        <v>91</v>
      </c>
      <c r="AO32" s="78">
        <v>88</v>
      </c>
      <c r="AP32" s="78">
        <v>84</v>
      </c>
      <c r="AQ32" s="78">
        <v>80</v>
      </c>
      <c r="AR32" s="78">
        <v>76</v>
      </c>
      <c r="AS32" s="78">
        <v>72</v>
      </c>
      <c r="AT32" s="78">
        <v>92.68</v>
      </c>
    </row>
    <row r="33" spans="1:46" ht="16.5" customHeight="1" thickBot="1" x14ac:dyDescent="0.3">
      <c r="A33" s="80">
        <v>0.35</v>
      </c>
      <c r="B33" s="81">
        <v>7.8100000000000005</v>
      </c>
      <c r="C33" s="81">
        <v>8.31</v>
      </c>
      <c r="D33" s="81">
        <v>8.33</v>
      </c>
      <c r="E33" s="81">
        <v>8.33</v>
      </c>
      <c r="F33" s="125">
        <v>8.33</v>
      </c>
      <c r="G33" s="126">
        <v>8.33</v>
      </c>
      <c r="H33" s="81">
        <v>8.33</v>
      </c>
      <c r="I33" s="81">
        <v>8.33</v>
      </c>
      <c r="J33" s="81">
        <v>8.33</v>
      </c>
      <c r="K33" s="81">
        <v>8.33</v>
      </c>
      <c r="L33" s="81">
        <v>8.33</v>
      </c>
      <c r="M33" s="82">
        <v>8.33</v>
      </c>
      <c r="N33" s="82">
        <v>8.26</v>
      </c>
      <c r="O33" s="82">
        <v>8.11</v>
      </c>
      <c r="P33" s="82">
        <v>7.9600000000000009</v>
      </c>
      <c r="Q33" s="81">
        <v>7.76</v>
      </c>
      <c r="R33" s="81">
        <v>7.5600000000000005</v>
      </c>
      <c r="S33" s="81">
        <v>7.26</v>
      </c>
      <c r="T33" s="81">
        <v>6.91</v>
      </c>
      <c r="U33" s="81">
        <v>6.51</v>
      </c>
      <c r="V33" s="81">
        <v>6.06</v>
      </c>
      <c r="W33" s="81">
        <v>5.56</v>
      </c>
      <c r="X33" s="83"/>
      <c r="Y33" s="78">
        <v>6.2</v>
      </c>
      <c r="Z33" s="78">
        <f t="shared" si="0"/>
        <v>5.2</v>
      </c>
      <c r="AA33" s="78">
        <v>100</v>
      </c>
      <c r="AB33" s="78">
        <v>100</v>
      </c>
      <c r="AC33" s="78">
        <v>100</v>
      </c>
      <c r="AD33" s="78">
        <v>100</v>
      </c>
      <c r="AE33" s="78">
        <v>100</v>
      </c>
      <c r="AF33" s="78">
        <v>100</v>
      </c>
      <c r="AG33" s="78">
        <v>99</v>
      </c>
      <c r="AH33" s="78">
        <v>95</v>
      </c>
      <c r="AI33" s="78">
        <v>91</v>
      </c>
      <c r="AJ33" s="78">
        <v>87</v>
      </c>
      <c r="AK33" s="78">
        <v>100</v>
      </c>
      <c r="AL33" s="78">
        <v>98</v>
      </c>
      <c r="AM33" s="78">
        <v>94</v>
      </c>
      <c r="AN33" s="78">
        <v>90</v>
      </c>
      <c r="AO33" s="78">
        <v>86</v>
      </c>
      <c r="AP33" s="78">
        <v>82</v>
      </c>
      <c r="AQ33" s="78">
        <v>78</v>
      </c>
      <c r="AR33" s="78">
        <v>75</v>
      </c>
      <c r="AS33" s="78">
        <v>71</v>
      </c>
      <c r="AT33" s="78">
        <v>91.89</v>
      </c>
    </row>
    <row r="34" spans="1:46" ht="16.5" customHeight="1" thickBot="1" x14ac:dyDescent="0.3">
      <c r="A34" s="80">
        <v>0.36</v>
      </c>
      <c r="B34" s="81">
        <v>7.85</v>
      </c>
      <c r="C34" s="81">
        <v>8.33</v>
      </c>
      <c r="D34" s="81">
        <v>8.33</v>
      </c>
      <c r="E34" s="81">
        <v>8.33</v>
      </c>
      <c r="F34" s="125">
        <v>8.33</v>
      </c>
      <c r="G34" s="126">
        <v>8.33</v>
      </c>
      <c r="H34" s="81">
        <v>8.33</v>
      </c>
      <c r="I34" s="81">
        <v>8.33</v>
      </c>
      <c r="J34" s="81">
        <v>8.33</v>
      </c>
      <c r="K34" s="81">
        <v>8.33</v>
      </c>
      <c r="L34" s="81">
        <v>8.33</v>
      </c>
      <c r="M34" s="82">
        <v>8.33</v>
      </c>
      <c r="N34" s="82">
        <v>8.3000000000000007</v>
      </c>
      <c r="O34" s="82">
        <v>8.15</v>
      </c>
      <c r="P34" s="82">
        <v>8</v>
      </c>
      <c r="Q34" s="81">
        <v>7.8000000000000007</v>
      </c>
      <c r="R34" s="81">
        <v>7.6</v>
      </c>
      <c r="S34" s="81">
        <v>7.3000000000000007</v>
      </c>
      <c r="T34" s="81">
        <v>6.95</v>
      </c>
      <c r="U34" s="81">
        <v>6.55</v>
      </c>
      <c r="V34" s="81">
        <v>6.1</v>
      </c>
      <c r="W34" s="81">
        <v>5.6</v>
      </c>
      <c r="X34" s="83"/>
      <c r="Y34" s="78">
        <v>6.1</v>
      </c>
      <c r="Z34" s="78">
        <f t="shared" si="0"/>
        <v>5.0999999999999996</v>
      </c>
      <c r="AA34" s="78">
        <v>100</v>
      </c>
      <c r="AB34" s="78">
        <v>100</v>
      </c>
      <c r="AC34" s="78">
        <v>100</v>
      </c>
      <c r="AD34" s="78">
        <v>100</v>
      </c>
      <c r="AE34" s="78">
        <v>100</v>
      </c>
      <c r="AF34" s="78">
        <v>100</v>
      </c>
      <c r="AG34" s="78">
        <v>99</v>
      </c>
      <c r="AH34" s="78">
        <v>95</v>
      </c>
      <c r="AI34" s="78">
        <v>91</v>
      </c>
      <c r="AJ34" s="78">
        <v>86</v>
      </c>
      <c r="AK34" s="78">
        <v>100</v>
      </c>
      <c r="AL34" s="78">
        <v>98</v>
      </c>
      <c r="AM34" s="78">
        <v>93</v>
      </c>
      <c r="AN34" s="78">
        <v>89</v>
      </c>
      <c r="AO34" s="78">
        <v>86</v>
      </c>
      <c r="AP34" s="78">
        <v>81</v>
      </c>
      <c r="AQ34" s="78">
        <v>78</v>
      </c>
      <c r="AR34" s="78">
        <v>74</v>
      </c>
      <c r="AS34" s="78">
        <v>70</v>
      </c>
      <c r="AT34" s="78">
        <v>91.58</v>
      </c>
    </row>
    <row r="35" spans="1:46" ht="16.5" customHeight="1" thickBot="1" x14ac:dyDescent="0.3">
      <c r="A35" s="80">
        <v>0.37</v>
      </c>
      <c r="B35" s="81">
        <v>7.8800000000000008</v>
      </c>
      <c r="C35" s="81">
        <v>8.33</v>
      </c>
      <c r="D35" s="81">
        <v>8.33</v>
      </c>
      <c r="E35" s="81">
        <v>8.33</v>
      </c>
      <c r="F35" s="125">
        <v>8.33</v>
      </c>
      <c r="G35" s="126">
        <v>8.33</v>
      </c>
      <c r="H35" s="81">
        <v>8.33</v>
      </c>
      <c r="I35" s="81">
        <v>8.33</v>
      </c>
      <c r="J35" s="81">
        <v>8.33</v>
      </c>
      <c r="K35" s="81">
        <v>8.33</v>
      </c>
      <c r="L35" s="81">
        <v>8.33</v>
      </c>
      <c r="M35" s="82">
        <v>8.33</v>
      </c>
      <c r="N35" s="82">
        <v>8.33</v>
      </c>
      <c r="O35" s="82">
        <v>8.18</v>
      </c>
      <c r="P35" s="82">
        <v>8.0299999999999994</v>
      </c>
      <c r="Q35" s="81">
        <v>7.83</v>
      </c>
      <c r="R35" s="81">
        <v>7.6300000000000008</v>
      </c>
      <c r="S35" s="81">
        <v>7.33</v>
      </c>
      <c r="T35" s="81">
        <v>6.98</v>
      </c>
      <c r="U35" s="81">
        <v>6.58</v>
      </c>
      <c r="V35" s="81">
        <v>6.13</v>
      </c>
      <c r="W35" s="81">
        <v>5.63</v>
      </c>
      <c r="X35" s="83"/>
      <c r="Y35" s="78">
        <v>6</v>
      </c>
      <c r="Z35" s="78">
        <f t="shared" si="0"/>
        <v>5</v>
      </c>
      <c r="AA35" s="78">
        <v>100</v>
      </c>
      <c r="AB35" s="78">
        <v>100</v>
      </c>
      <c r="AC35" s="78">
        <v>100</v>
      </c>
      <c r="AD35" s="78">
        <v>100</v>
      </c>
      <c r="AE35" s="78">
        <v>100</v>
      </c>
      <c r="AF35" s="78">
        <v>100</v>
      </c>
      <c r="AG35" s="78">
        <v>98</v>
      </c>
      <c r="AH35" s="78">
        <v>94</v>
      </c>
      <c r="AI35" s="78">
        <v>90</v>
      </c>
      <c r="AJ35" s="78">
        <v>86</v>
      </c>
      <c r="AK35" s="78">
        <v>100</v>
      </c>
      <c r="AL35" s="78">
        <v>97</v>
      </c>
      <c r="AM35" s="78">
        <v>93</v>
      </c>
      <c r="AN35" s="78">
        <v>89</v>
      </c>
      <c r="AO35" s="78">
        <v>85</v>
      </c>
      <c r="AP35" s="78">
        <v>81</v>
      </c>
      <c r="AQ35" s="78">
        <v>77</v>
      </c>
      <c r="AR35" s="78">
        <v>73</v>
      </c>
      <c r="AS35" s="78">
        <v>69</v>
      </c>
      <c r="AT35" s="78">
        <v>91.16</v>
      </c>
    </row>
    <row r="36" spans="1:46" ht="16.5" customHeight="1" thickBot="1" x14ac:dyDescent="0.3">
      <c r="A36" s="80">
        <v>0.38</v>
      </c>
      <c r="B36" s="81">
        <v>7.92</v>
      </c>
      <c r="C36" s="81">
        <v>8.33</v>
      </c>
      <c r="D36" s="81">
        <v>8.33</v>
      </c>
      <c r="E36" s="81">
        <v>8.33</v>
      </c>
      <c r="F36" s="125">
        <v>8.33</v>
      </c>
      <c r="G36" s="126">
        <v>8.33</v>
      </c>
      <c r="H36" s="81">
        <v>8.33</v>
      </c>
      <c r="I36" s="81">
        <v>8.33</v>
      </c>
      <c r="J36" s="81">
        <v>8.33</v>
      </c>
      <c r="K36" s="81">
        <v>8.33</v>
      </c>
      <c r="L36" s="81">
        <v>8.33</v>
      </c>
      <c r="M36" s="82">
        <v>8.33</v>
      </c>
      <c r="N36" s="82">
        <v>8.33</v>
      </c>
      <c r="O36" s="82">
        <v>8.2200000000000006</v>
      </c>
      <c r="P36" s="82">
        <v>8.07</v>
      </c>
      <c r="Q36" s="81">
        <v>7.8699999999999992</v>
      </c>
      <c r="R36" s="81">
        <v>7.67</v>
      </c>
      <c r="S36" s="81">
        <v>7.3699999999999992</v>
      </c>
      <c r="T36" s="81">
        <v>7.02</v>
      </c>
      <c r="U36" s="81">
        <v>6.62</v>
      </c>
      <c r="V36" s="81">
        <v>6.17</v>
      </c>
      <c r="W36" s="81">
        <v>5.67</v>
      </c>
      <c r="X36" s="83"/>
      <c r="Y36" s="78">
        <v>5.9</v>
      </c>
      <c r="Z36" s="78">
        <f t="shared" si="0"/>
        <v>4.9000000000000004</v>
      </c>
      <c r="AA36" s="78">
        <v>100</v>
      </c>
      <c r="AB36" s="78">
        <v>100</v>
      </c>
      <c r="AC36" s="78">
        <v>100</v>
      </c>
      <c r="AD36" s="78">
        <v>100</v>
      </c>
      <c r="AE36" s="78">
        <v>100</v>
      </c>
      <c r="AF36" s="78">
        <v>100</v>
      </c>
      <c r="AG36" s="78">
        <v>98</v>
      </c>
      <c r="AH36" s="78">
        <v>94</v>
      </c>
      <c r="AI36" s="78">
        <v>90</v>
      </c>
      <c r="AJ36" s="78">
        <v>86</v>
      </c>
      <c r="AK36" s="78">
        <v>100</v>
      </c>
      <c r="AL36" s="78">
        <v>96</v>
      </c>
      <c r="AM36" s="78">
        <v>92</v>
      </c>
      <c r="AN36" s="78">
        <v>88</v>
      </c>
      <c r="AO36" s="78">
        <v>84</v>
      </c>
      <c r="AP36" s="78">
        <v>80</v>
      </c>
      <c r="AQ36" s="78">
        <v>76</v>
      </c>
      <c r="AR36" s="78">
        <v>72</v>
      </c>
      <c r="AS36" s="78">
        <v>68</v>
      </c>
      <c r="AT36" s="78">
        <v>90.74</v>
      </c>
    </row>
    <row r="37" spans="1:46" ht="16.5" customHeight="1" thickBot="1" x14ac:dyDescent="0.3">
      <c r="A37" s="80">
        <v>0.39</v>
      </c>
      <c r="B37" s="81">
        <v>7.9499999999999993</v>
      </c>
      <c r="C37" s="81">
        <v>8.33</v>
      </c>
      <c r="D37" s="81">
        <v>8.33</v>
      </c>
      <c r="E37" s="81">
        <v>8.33</v>
      </c>
      <c r="F37" s="125">
        <v>8.33</v>
      </c>
      <c r="G37" s="126">
        <v>8.33</v>
      </c>
      <c r="H37" s="81">
        <v>8.33</v>
      </c>
      <c r="I37" s="81">
        <v>8.33</v>
      </c>
      <c r="J37" s="81">
        <v>8.33</v>
      </c>
      <c r="K37" s="81">
        <v>8.33</v>
      </c>
      <c r="L37" s="81">
        <v>8.33</v>
      </c>
      <c r="M37" s="82">
        <v>8.33</v>
      </c>
      <c r="N37" s="82">
        <v>8.33</v>
      </c>
      <c r="O37" s="82">
        <v>8.25</v>
      </c>
      <c r="P37" s="82">
        <v>8.1</v>
      </c>
      <c r="Q37" s="81">
        <v>7.9</v>
      </c>
      <c r="R37" s="81">
        <v>7.6999999999999993</v>
      </c>
      <c r="S37" s="81">
        <v>7.4</v>
      </c>
      <c r="T37" s="81">
        <v>7.0500000000000007</v>
      </c>
      <c r="U37" s="81">
        <v>6.65</v>
      </c>
      <c r="V37" s="81">
        <v>6.2</v>
      </c>
      <c r="W37" s="81">
        <v>5.7</v>
      </c>
      <c r="X37" s="83"/>
      <c r="Y37" s="78">
        <v>5.8</v>
      </c>
      <c r="Z37" s="78">
        <f t="shared" si="0"/>
        <v>4.8</v>
      </c>
      <c r="AA37" s="78">
        <v>100</v>
      </c>
      <c r="AB37" s="78">
        <v>100</v>
      </c>
      <c r="AC37" s="78">
        <v>100</v>
      </c>
      <c r="AD37" s="78">
        <v>100</v>
      </c>
      <c r="AE37" s="78">
        <v>100</v>
      </c>
      <c r="AF37" s="78">
        <v>100</v>
      </c>
      <c r="AG37" s="78">
        <v>97</v>
      </c>
      <c r="AH37" s="78">
        <v>93</v>
      </c>
      <c r="AI37" s="78">
        <v>89</v>
      </c>
      <c r="AJ37" s="78">
        <v>85</v>
      </c>
      <c r="AK37" s="78">
        <v>100</v>
      </c>
      <c r="AL37" s="78">
        <v>96</v>
      </c>
      <c r="AM37" s="78">
        <v>91</v>
      </c>
      <c r="AN37" s="78">
        <v>88</v>
      </c>
      <c r="AO37" s="78">
        <v>84</v>
      </c>
      <c r="AP37" s="78">
        <v>79</v>
      </c>
      <c r="AQ37" s="78">
        <v>76</v>
      </c>
      <c r="AR37" s="78">
        <v>71</v>
      </c>
      <c r="AS37" s="78">
        <v>67</v>
      </c>
      <c r="AT37" s="78">
        <v>90.32</v>
      </c>
    </row>
    <row r="38" spans="1:46" ht="16.5" customHeight="1" thickBot="1" x14ac:dyDescent="0.3">
      <c r="A38" s="80">
        <v>0.4</v>
      </c>
      <c r="B38" s="81">
        <v>7.98</v>
      </c>
      <c r="C38" s="81">
        <v>8.33</v>
      </c>
      <c r="D38" s="81">
        <v>8.33</v>
      </c>
      <c r="E38" s="81">
        <v>8.33</v>
      </c>
      <c r="F38" s="125">
        <v>8.33</v>
      </c>
      <c r="G38" s="126">
        <v>8.33</v>
      </c>
      <c r="H38" s="81">
        <v>8.33</v>
      </c>
      <c r="I38" s="81">
        <v>8.33</v>
      </c>
      <c r="J38" s="81">
        <v>8.33</v>
      </c>
      <c r="K38" s="81">
        <v>8.33</v>
      </c>
      <c r="L38" s="81">
        <v>8.33</v>
      </c>
      <c r="M38" s="82">
        <v>8.33</v>
      </c>
      <c r="N38" s="82">
        <v>8.33</v>
      </c>
      <c r="O38" s="82">
        <v>8.2799999999999994</v>
      </c>
      <c r="P38" s="82">
        <v>8.1300000000000008</v>
      </c>
      <c r="Q38" s="81">
        <v>7.93</v>
      </c>
      <c r="R38" s="81">
        <v>7.73</v>
      </c>
      <c r="S38" s="81">
        <v>7.43</v>
      </c>
      <c r="T38" s="81">
        <v>7.08</v>
      </c>
      <c r="U38" s="81">
        <v>6.68</v>
      </c>
      <c r="V38" s="81">
        <v>6.23</v>
      </c>
      <c r="W38" s="81">
        <v>5.73</v>
      </c>
      <c r="X38" s="83"/>
      <c r="Y38" s="78">
        <v>5.7</v>
      </c>
      <c r="Z38" s="78">
        <f t="shared" si="0"/>
        <v>4.7</v>
      </c>
      <c r="AA38" s="78">
        <v>100</v>
      </c>
      <c r="AB38" s="78">
        <v>100</v>
      </c>
      <c r="AC38" s="78">
        <v>100</v>
      </c>
      <c r="AD38" s="78">
        <v>100</v>
      </c>
      <c r="AE38" s="78">
        <v>100</v>
      </c>
      <c r="AF38" s="78">
        <v>100</v>
      </c>
      <c r="AG38" s="78">
        <v>97</v>
      </c>
      <c r="AH38" s="78">
        <v>93</v>
      </c>
      <c r="AI38" s="78">
        <v>88</v>
      </c>
      <c r="AJ38" s="78">
        <v>85</v>
      </c>
      <c r="AK38" s="78">
        <v>99</v>
      </c>
      <c r="AL38" s="78">
        <v>95</v>
      </c>
      <c r="AM38" s="78">
        <v>90</v>
      </c>
      <c r="AN38" s="78">
        <v>87</v>
      </c>
      <c r="AO38" s="78">
        <v>83</v>
      </c>
      <c r="AP38" s="78">
        <v>78</v>
      </c>
      <c r="AQ38" s="78">
        <v>75</v>
      </c>
      <c r="AR38" s="78">
        <v>70</v>
      </c>
      <c r="AS38" s="78">
        <v>66</v>
      </c>
      <c r="AT38" s="78">
        <v>89.79</v>
      </c>
    </row>
    <row r="39" spans="1:46" ht="16.5" thickBot="1" x14ac:dyDescent="0.3">
      <c r="A39" s="88">
        <v>0.41</v>
      </c>
      <c r="B39" s="81">
        <v>8.01</v>
      </c>
      <c r="C39" s="81">
        <v>8.33</v>
      </c>
      <c r="D39" s="81">
        <v>8.33</v>
      </c>
      <c r="E39" s="81">
        <v>8.33</v>
      </c>
      <c r="F39" s="125">
        <v>8.33</v>
      </c>
      <c r="G39" s="126">
        <v>8.33</v>
      </c>
      <c r="H39" s="81">
        <v>8.33</v>
      </c>
      <c r="I39" s="81">
        <v>8.33</v>
      </c>
      <c r="J39" s="81">
        <v>8.33</v>
      </c>
      <c r="K39" s="81">
        <v>8.33</v>
      </c>
      <c r="L39" s="81">
        <v>8.33</v>
      </c>
      <c r="M39" s="82">
        <v>8.33</v>
      </c>
      <c r="N39" s="82">
        <v>8.33</v>
      </c>
      <c r="O39" s="82">
        <v>8.31</v>
      </c>
      <c r="P39" s="82">
        <v>8.16</v>
      </c>
      <c r="Q39" s="81">
        <v>7.9600000000000009</v>
      </c>
      <c r="R39" s="81">
        <v>7.76</v>
      </c>
      <c r="S39" s="81">
        <v>7.4600000000000009</v>
      </c>
      <c r="T39" s="81">
        <v>7.1099999999999994</v>
      </c>
      <c r="U39" s="81">
        <v>6.71</v>
      </c>
      <c r="V39" s="81">
        <v>6.26</v>
      </c>
      <c r="W39" s="81">
        <v>5.76</v>
      </c>
      <c r="X39" s="83"/>
      <c r="Y39" s="78">
        <v>5.6</v>
      </c>
      <c r="Z39" s="78">
        <f t="shared" si="0"/>
        <v>4.5999999999999996</v>
      </c>
      <c r="AA39" s="78">
        <v>100</v>
      </c>
      <c r="AB39" s="78">
        <v>100</v>
      </c>
      <c r="AC39" s="78">
        <v>100</v>
      </c>
      <c r="AD39" s="78">
        <v>100</v>
      </c>
      <c r="AE39" s="78">
        <v>100</v>
      </c>
      <c r="AF39" s="78">
        <v>100</v>
      </c>
      <c r="AG39" s="78">
        <v>97</v>
      </c>
      <c r="AH39" s="78">
        <v>93</v>
      </c>
      <c r="AI39" s="78">
        <v>88</v>
      </c>
      <c r="AJ39" s="78">
        <v>84</v>
      </c>
      <c r="AK39" s="78">
        <v>99</v>
      </c>
      <c r="AL39" s="78">
        <v>95</v>
      </c>
      <c r="AM39" s="78">
        <v>90</v>
      </c>
      <c r="AN39" s="78">
        <v>86</v>
      </c>
      <c r="AO39" s="78">
        <v>82</v>
      </c>
      <c r="AP39" s="78">
        <v>78</v>
      </c>
      <c r="AQ39" s="78">
        <v>74</v>
      </c>
      <c r="AR39" s="78">
        <v>69</v>
      </c>
      <c r="AS39" s="78">
        <v>65</v>
      </c>
      <c r="AT39" s="78">
        <v>89.47</v>
      </c>
    </row>
    <row r="40" spans="1:46" ht="16.5" thickBot="1" x14ac:dyDescent="0.3">
      <c r="A40" s="88">
        <v>0.42</v>
      </c>
      <c r="B40" s="81">
        <v>8.0299999999999994</v>
      </c>
      <c r="C40" s="81">
        <v>8.33</v>
      </c>
      <c r="D40" s="81">
        <v>8.33</v>
      </c>
      <c r="E40" s="81">
        <v>8.33</v>
      </c>
      <c r="F40" s="125">
        <v>8.33</v>
      </c>
      <c r="G40" s="126">
        <v>8.33</v>
      </c>
      <c r="H40" s="81">
        <v>8.33</v>
      </c>
      <c r="I40" s="81">
        <v>8.33</v>
      </c>
      <c r="J40" s="81">
        <v>8.33</v>
      </c>
      <c r="K40" s="81">
        <v>8.33</v>
      </c>
      <c r="L40" s="81">
        <v>8.33</v>
      </c>
      <c r="M40" s="82">
        <v>8.33</v>
      </c>
      <c r="N40" s="82">
        <v>8.33</v>
      </c>
      <c r="O40" s="82">
        <v>8.33</v>
      </c>
      <c r="P40" s="82">
        <v>8.18</v>
      </c>
      <c r="Q40" s="81">
        <v>7.98</v>
      </c>
      <c r="R40" s="81">
        <v>7.7799999999999994</v>
      </c>
      <c r="S40" s="81">
        <v>7.48</v>
      </c>
      <c r="T40" s="81">
        <v>7.1300000000000008</v>
      </c>
      <c r="U40" s="81">
        <v>6.73</v>
      </c>
      <c r="V40" s="81">
        <v>6.28</v>
      </c>
      <c r="W40" s="81">
        <v>5.78</v>
      </c>
      <c r="X40" s="83"/>
      <c r="Y40" s="78">
        <v>5.5</v>
      </c>
      <c r="Z40" s="78">
        <f t="shared" si="0"/>
        <v>4.5</v>
      </c>
      <c r="AA40" s="78">
        <v>100</v>
      </c>
      <c r="AB40" s="78">
        <v>100</v>
      </c>
      <c r="AC40" s="78">
        <v>100</v>
      </c>
      <c r="AD40" s="78">
        <v>100</v>
      </c>
      <c r="AE40" s="78">
        <v>100</v>
      </c>
      <c r="AF40" s="78">
        <v>100</v>
      </c>
      <c r="AG40" s="78">
        <v>96</v>
      </c>
      <c r="AH40" s="78">
        <v>92</v>
      </c>
      <c r="AI40" s="78">
        <v>87</v>
      </c>
      <c r="AJ40" s="78">
        <v>83</v>
      </c>
      <c r="AK40" s="78">
        <v>98</v>
      </c>
      <c r="AL40" s="78">
        <v>94</v>
      </c>
      <c r="AM40" s="78">
        <v>89</v>
      </c>
      <c r="AN40" s="78">
        <v>85</v>
      </c>
      <c r="AO40" s="78">
        <v>81</v>
      </c>
      <c r="AP40" s="78">
        <v>77</v>
      </c>
      <c r="AQ40" s="78">
        <v>73</v>
      </c>
      <c r="AR40" s="78">
        <v>68</v>
      </c>
      <c r="AS40" s="78">
        <v>64</v>
      </c>
      <c r="AT40" s="78">
        <v>88.79</v>
      </c>
    </row>
    <row r="41" spans="1:46" ht="16.5" thickBot="1" x14ac:dyDescent="0.3">
      <c r="A41" s="88">
        <v>0.43</v>
      </c>
      <c r="B41" s="81">
        <v>8.0500000000000007</v>
      </c>
      <c r="C41" s="81">
        <v>8.33</v>
      </c>
      <c r="D41" s="81">
        <v>8.33</v>
      </c>
      <c r="E41" s="81">
        <v>8.33</v>
      </c>
      <c r="F41" s="125">
        <v>8.33</v>
      </c>
      <c r="G41" s="126">
        <v>8.33</v>
      </c>
      <c r="H41" s="81">
        <v>8.33</v>
      </c>
      <c r="I41" s="81">
        <v>8.33</v>
      </c>
      <c r="J41" s="81">
        <v>8.33</v>
      </c>
      <c r="K41" s="81">
        <v>8.33</v>
      </c>
      <c r="L41" s="81">
        <v>8.33</v>
      </c>
      <c r="M41" s="82">
        <v>8.33</v>
      </c>
      <c r="N41" s="82">
        <v>8.33</v>
      </c>
      <c r="O41" s="82">
        <v>8.33</v>
      </c>
      <c r="P41" s="82">
        <v>8.1999999999999993</v>
      </c>
      <c r="Q41" s="81">
        <v>8</v>
      </c>
      <c r="R41" s="81">
        <v>7.8000000000000007</v>
      </c>
      <c r="S41" s="81">
        <v>7.5</v>
      </c>
      <c r="T41" s="81">
        <v>7.15</v>
      </c>
      <c r="U41" s="81">
        <v>6.75</v>
      </c>
      <c r="V41" s="81">
        <v>6.3</v>
      </c>
      <c r="W41" s="81">
        <v>5.8</v>
      </c>
      <c r="X41" s="83"/>
      <c r="Y41" s="78">
        <v>5.4</v>
      </c>
      <c r="Z41" s="78">
        <f t="shared" si="0"/>
        <v>4.4000000000000004</v>
      </c>
      <c r="AA41" s="78">
        <v>100</v>
      </c>
      <c r="AB41" s="78">
        <v>100</v>
      </c>
      <c r="AC41" s="78">
        <v>100</v>
      </c>
      <c r="AD41" s="78">
        <v>100</v>
      </c>
      <c r="AE41" s="78">
        <v>100</v>
      </c>
      <c r="AF41" s="78">
        <v>99</v>
      </c>
      <c r="AG41" s="78">
        <v>95</v>
      </c>
      <c r="AH41" s="78">
        <v>91</v>
      </c>
      <c r="AI41" s="78">
        <v>87</v>
      </c>
      <c r="AJ41" s="78">
        <v>82</v>
      </c>
      <c r="AK41" s="78">
        <v>97</v>
      </c>
      <c r="AL41" s="78">
        <v>93</v>
      </c>
      <c r="AM41" s="78">
        <v>88</v>
      </c>
      <c r="AN41" s="78">
        <v>84</v>
      </c>
      <c r="AO41" s="78">
        <v>80</v>
      </c>
      <c r="AP41" s="78">
        <v>76</v>
      </c>
      <c r="AQ41" s="78">
        <v>72</v>
      </c>
      <c r="AR41" s="78">
        <v>67</v>
      </c>
      <c r="AS41" s="78">
        <v>63</v>
      </c>
      <c r="AT41" s="78">
        <v>88.11</v>
      </c>
    </row>
    <row r="42" spans="1:46" ht="16.5" thickBot="1" x14ac:dyDescent="0.3">
      <c r="A42" s="88">
        <v>0.44</v>
      </c>
      <c r="B42" s="81">
        <v>8.08</v>
      </c>
      <c r="C42" s="81">
        <v>8.33</v>
      </c>
      <c r="D42" s="81">
        <v>8.33</v>
      </c>
      <c r="E42" s="81">
        <v>8.33</v>
      </c>
      <c r="F42" s="125">
        <v>8.33</v>
      </c>
      <c r="G42" s="126">
        <v>8.33</v>
      </c>
      <c r="H42" s="81">
        <v>8.33</v>
      </c>
      <c r="I42" s="81">
        <v>8.33</v>
      </c>
      <c r="J42" s="81">
        <v>8.33</v>
      </c>
      <c r="K42" s="81">
        <v>8.33</v>
      </c>
      <c r="L42" s="81">
        <v>8.33</v>
      </c>
      <c r="M42" s="82">
        <v>8.33</v>
      </c>
      <c r="N42" s="82">
        <v>8.33</v>
      </c>
      <c r="O42" s="82">
        <v>8.33</v>
      </c>
      <c r="P42" s="82">
        <v>8.23</v>
      </c>
      <c r="Q42" s="81">
        <v>8.0299999999999994</v>
      </c>
      <c r="R42" s="81">
        <v>7.83</v>
      </c>
      <c r="S42" s="81">
        <v>7.5299999999999994</v>
      </c>
      <c r="T42" s="81">
        <v>7.18</v>
      </c>
      <c r="U42" s="81">
        <v>6.78</v>
      </c>
      <c r="V42" s="81">
        <v>6.33</v>
      </c>
      <c r="W42" s="81">
        <v>5.83</v>
      </c>
      <c r="X42" s="83"/>
      <c r="Y42" s="78">
        <v>5.3</v>
      </c>
      <c r="Z42" s="78">
        <f t="shared" si="0"/>
        <v>4.3</v>
      </c>
      <c r="AA42" s="78">
        <v>100</v>
      </c>
      <c r="AB42" s="78">
        <v>100</v>
      </c>
      <c r="AC42" s="78">
        <v>100</v>
      </c>
      <c r="AD42" s="78">
        <v>100</v>
      </c>
      <c r="AE42" s="78">
        <v>100</v>
      </c>
      <c r="AF42" s="78">
        <v>99</v>
      </c>
      <c r="AG42" s="78">
        <v>95</v>
      </c>
      <c r="AH42" s="78">
        <v>91</v>
      </c>
      <c r="AI42" s="78">
        <v>86</v>
      </c>
      <c r="AJ42" s="78">
        <v>82</v>
      </c>
      <c r="AK42" s="78">
        <v>97</v>
      </c>
      <c r="AL42" s="78">
        <v>92</v>
      </c>
      <c r="AM42" s="78">
        <v>88</v>
      </c>
      <c r="AN42" s="78">
        <v>84</v>
      </c>
      <c r="AO42" s="78">
        <v>80</v>
      </c>
      <c r="AP42" s="78">
        <v>75</v>
      </c>
      <c r="AQ42" s="78">
        <v>71</v>
      </c>
      <c r="AR42" s="78">
        <v>67</v>
      </c>
      <c r="AS42" s="78">
        <v>62</v>
      </c>
      <c r="AT42" s="78">
        <v>87.84</v>
      </c>
    </row>
    <row r="43" spans="1:46" ht="16.5" thickBot="1" x14ac:dyDescent="0.3">
      <c r="A43" s="88">
        <v>0.45</v>
      </c>
      <c r="B43" s="81">
        <v>8.1</v>
      </c>
      <c r="C43" s="81">
        <v>8.33</v>
      </c>
      <c r="D43" s="81">
        <v>8.33</v>
      </c>
      <c r="E43" s="81">
        <v>8.33</v>
      </c>
      <c r="F43" s="125">
        <v>8.33</v>
      </c>
      <c r="G43" s="126">
        <v>8.33</v>
      </c>
      <c r="H43" s="81">
        <v>8.33</v>
      </c>
      <c r="I43" s="81">
        <v>8.33</v>
      </c>
      <c r="J43" s="81">
        <v>8.33</v>
      </c>
      <c r="K43" s="81">
        <v>8.33</v>
      </c>
      <c r="L43" s="81">
        <v>8.33</v>
      </c>
      <c r="M43" s="82">
        <v>8.33</v>
      </c>
      <c r="N43" s="82">
        <v>8.33</v>
      </c>
      <c r="O43" s="82">
        <v>8.33</v>
      </c>
      <c r="P43" s="82">
        <v>8.25</v>
      </c>
      <c r="Q43" s="81">
        <v>8.0500000000000007</v>
      </c>
      <c r="R43" s="81">
        <v>7.85</v>
      </c>
      <c r="S43" s="81">
        <v>7.5500000000000007</v>
      </c>
      <c r="T43" s="81">
        <v>7.1999999999999993</v>
      </c>
      <c r="U43" s="81">
        <v>6.8</v>
      </c>
      <c r="V43" s="81">
        <v>6.35</v>
      </c>
      <c r="W43" s="81">
        <v>5.85</v>
      </c>
      <c r="X43" s="83"/>
      <c r="Y43" s="78">
        <v>5.2</v>
      </c>
      <c r="Z43" s="78">
        <f t="shared" si="0"/>
        <v>4.2</v>
      </c>
      <c r="AA43" s="78">
        <v>100</v>
      </c>
      <c r="AB43" s="78">
        <v>100</v>
      </c>
      <c r="AC43" s="78">
        <v>100</v>
      </c>
      <c r="AD43" s="78">
        <v>100</v>
      </c>
      <c r="AE43" s="78">
        <v>100</v>
      </c>
      <c r="AF43" s="78">
        <v>99</v>
      </c>
      <c r="AG43" s="78">
        <v>94</v>
      </c>
      <c r="AH43" s="78">
        <v>90</v>
      </c>
      <c r="AI43" s="78">
        <v>86</v>
      </c>
      <c r="AJ43" s="78">
        <v>81</v>
      </c>
      <c r="AK43" s="78">
        <v>96</v>
      </c>
      <c r="AL43" s="78">
        <v>91</v>
      </c>
      <c r="AM43" s="78">
        <v>87</v>
      </c>
      <c r="AN43" s="78">
        <v>83</v>
      </c>
      <c r="AO43" s="78">
        <v>78</v>
      </c>
      <c r="AP43" s="78">
        <v>74</v>
      </c>
      <c r="AQ43" s="78">
        <v>70</v>
      </c>
      <c r="AR43" s="78">
        <v>66</v>
      </c>
      <c r="AS43" s="78">
        <v>61</v>
      </c>
      <c r="AT43" s="78">
        <v>87.16</v>
      </c>
    </row>
    <row r="44" spans="1:46" ht="16.5" thickBot="1" x14ac:dyDescent="0.3">
      <c r="A44" s="88">
        <v>0.46</v>
      </c>
      <c r="B44" s="81">
        <v>8.11</v>
      </c>
      <c r="C44" s="81">
        <v>8.33</v>
      </c>
      <c r="D44" s="81">
        <v>8.33</v>
      </c>
      <c r="E44" s="81">
        <v>8.33</v>
      </c>
      <c r="F44" s="125">
        <v>8.33</v>
      </c>
      <c r="G44" s="126">
        <v>8.33</v>
      </c>
      <c r="H44" s="81">
        <v>8.33</v>
      </c>
      <c r="I44" s="81">
        <v>8.33</v>
      </c>
      <c r="J44" s="81">
        <v>8.33</v>
      </c>
      <c r="K44" s="81">
        <v>8.33</v>
      </c>
      <c r="L44" s="81">
        <v>8.33</v>
      </c>
      <c r="M44" s="82">
        <v>8.33</v>
      </c>
      <c r="N44" s="82">
        <v>8.33</v>
      </c>
      <c r="O44" s="82">
        <v>8.33</v>
      </c>
      <c r="P44" s="82">
        <v>8.26</v>
      </c>
      <c r="Q44" s="81">
        <v>8.06</v>
      </c>
      <c r="R44" s="81">
        <v>7.8599999999999994</v>
      </c>
      <c r="S44" s="81">
        <v>7.5600000000000005</v>
      </c>
      <c r="T44" s="81">
        <v>7.2100000000000009</v>
      </c>
      <c r="U44" s="81">
        <v>6.81</v>
      </c>
      <c r="V44" s="81">
        <v>6.36</v>
      </c>
      <c r="W44" s="81">
        <v>5.86</v>
      </c>
      <c r="X44" s="83"/>
      <c r="Y44" s="78">
        <v>5.0999999999999996</v>
      </c>
      <c r="Z44" s="78">
        <f t="shared" si="0"/>
        <v>4.0999999999999996</v>
      </c>
      <c r="AA44" s="78">
        <v>100</v>
      </c>
      <c r="AB44" s="78">
        <v>100</v>
      </c>
      <c r="AC44" s="78">
        <v>100</v>
      </c>
      <c r="AD44" s="78">
        <v>100</v>
      </c>
      <c r="AE44" s="78">
        <v>100</v>
      </c>
      <c r="AF44" s="78">
        <v>98</v>
      </c>
      <c r="AG44" s="78">
        <v>94</v>
      </c>
      <c r="AH44" s="78">
        <v>89</v>
      </c>
      <c r="AI44" s="78">
        <v>85</v>
      </c>
      <c r="AJ44" s="78">
        <v>81</v>
      </c>
      <c r="AK44" s="78">
        <v>95</v>
      </c>
      <c r="AL44" s="78">
        <v>91</v>
      </c>
      <c r="AM44" s="78">
        <v>86</v>
      </c>
      <c r="AN44" s="78">
        <v>82</v>
      </c>
      <c r="AO44" s="78">
        <v>78</v>
      </c>
      <c r="AP44" s="78">
        <v>73</v>
      </c>
      <c r="AQ44" s="78">
        <v>69</v>
      </c>
      <c r="AR44" s="78">
        <v>64</v>
      </c>
      <c r="AS44" s="78">
        <v>60</v>
      </c>
      <c r="AT44" s="78">
        <v>86.58</v>
      </c>
    </row>
    <row r="45" spans="1:46" ht="16.5" thickBot="1" x14ac:dyDescent="0.3">
      <c r="A45" s="88">
        <v>0.47</v>
      </c>
      <c r="B45" s="81">
        <v>8.1300000000000008</v>
      </c>
      <c r="C45" s="81">
        <v>8.33</v>
      </c>
      <c r="D45" s="81">
        <v>8.33</v>
      </c>
      <c r="E45" s="81">
        <v>8.33</v>
      </c>
      <c r="F45" s="125">
        <v>8.33</v>
      </c>
      <c r="G45" s="126">
        <v>8.33</v>
      </c>
      <c r="H45" s="81">
        <v>8.33</v>
      </c>
      <c r="I45" s="81">
        <v>8.33</v>
      </c>
      <c r="J45" s="81">
        <v>8.33</v>
      </c>
      <c r="K45" s="81">
        <v>8.33</v>
      </c>
      <c r="L45" s="81">
        <v>8.33</v>
      </c>
      <c r="M45" s="82">
        <v>8.33</v>
      </c>
      <c r="N45" s="82">
        <v>8.33</v>
      </c>
      <c r="O45" s="82">
        <v>8.33</v>
      </c>
      <c r="P45" s="82">
        <v>8.2799999999999994</v>
      </c>
      <c r="Q45" s="81">
        <v>8.08</v>
      </c>
      <c r="R45" s="81">
        <v>7.8800000000000008</v>
      </c>
      <c r="S45" s="81">
        <v>7.58</v>
      </c>
      <c r="T45" s="81">
        <v>7.23</v>
      </c>
      <c r="U45" s="81">
        <v>6.83</v>
      </c>
      <c r="V45" s="81">
        <v>6.38</v>
      </c>
      <c r="W45" s="81">
        <v>5.88</v>
      </c>
      <c r="X45" s="83"/>
      <c r="Y45" s="78">
        <v>5</v>
      </c>
      <c r="Z45" s="78">
        <f t="shared" si="0"/>
        <v>4</v>
      </c>
      <c r="AA45" s="78">
        <v>100</v>
      </c>
      <c r="AB45" s="78">
        <v>100</v>
      </c>
      <c r="AC45" s="78">
        <v>100</v>
      </c>
      <c r="AD45" s="78">
        <v>100</v>
      </c>
      <c r="AE45" s="78">
        <v>100</v>
      </c>
      <c r="AF45" s="78">
        <v>97</v>
      </c>
      <c r="AG45" s="78">
        <v>93</v>
      </c>
      <c r="AH45" s="78">
        <v>89</v>
      </c>
      <c r="AI45" s="78">
        <v>84</v>
      </c>
      <c r="AJ45" s="78">
        <v>80</v>
      </c>
      <c r="AK45" s="78">
        <v>95</v>
      </c>
      <c r="AL45" s="78">
        <v>90</v>
      </c>
      <c r="AM45" s="78">
        <v>85</v>
      </c>
      <c r="AN45" s="78">
        <v>81</v>
      </c>
      <c r="AO45" s="78">
        <v>77</v>
      </c>
      <c r="AP45" s="78">
        <v>72</v>
      </c>
      <c r="AQ45" s="78">
        <v>68</v>
      </c>
      <c r="AR45" s="78">
        <v>63</v>
      </c>
      <c r="AS45" s="78">
        <v>59</v>
      </c>
      <c r="AT45" s="78">
        <v>85.95</v>
      </c>
    </row>
    <row r="46" spans="1:46" ht="15.75" x14ac:dyDescent="0.25">
      <c r="A46" s="88">
        <v>0.48</v>
      </c>
      <c r="B46" s="81">
        <v>8.15</v>
      </c>
      <c r="C46" s="81">
        <v>8.33</v>
      </c>
      <c r="D46" s="81">
        <v>8.33</v>
      </c>
      <c r="E46" s="81">
        <v>8.33</v>
      </c>
      <c r="F46" s="125">
        <v>8.33</v>
      </c>
      <c r="G46" s="126">
        <v>8.33</v>
      </c>
      <c r="H46" s="81">
        <v>8.33</v>
      </c>
      <c r="I46" s="81">
        <v>8.33</v>
      </c>
      <c r="J46" s="81">
        <v>8.33</v>
      </c>
      <c r="K46" s="81">
        <v>8.33</v>
      </c>
      <c r="L46" s="81">
        <v>8.33</v>
      </c>
      <c r="M46" s="82">
        <v>8.33</v>
      </c>
      <c r="N46" s="82">
        <v>8.33</v>
      </c>
      <c r="O46" s="82">
        <v>8.33</v>
      </c>
      <c r="P46" s="82">
        <v>8.3000000000000007</v>
      </c>
      <c r="Q46" s="81">
        <v>8.1</v>
      </c>
      <c r="R46" s="81">
        <v>7.9</v>
      </c>
      <c r="S46" s="81">
        <v>7.6</v>
      </c>
      <c r="T46" s="81">
        <v>7.25</v>
      </c>
      <c r="U46" s="81">
        <v>6.85</v>
      </c>
      <c r="V46" s="81">
        <v>6.4</v>
      </c>
      <c r="W46" s="81">
        <v>5.9</v>
      </c>
      <c r="X46" s="83"/>
    </row>
    <row r="47" spans="1:46" ht="15.75" x14ac:dyDescent="0.25">
      <c r="A47" s="88">
        <v>0.49</v>
      </c>
      <c r="B47" s="81">
        <v>8.16</v>
      </c>
      <c r="C47" s="81">
        <v>8.33</v>
      </c>
      <c r="D47" s="81">
        <v>8.33</v>
      </c>
      <c r="E47" s="81">
        <v>8.33</v>
      </c>
      <c r="F47" s="125">
        <v>8.33</v>
      </c>
      <c r="G47" s="126">
        <v>8.33</v>
      </c>
      <c r="H47" s="81">
        <v>8.33</v>
      </c>
      <c r="I47" s="81">
        <v>8.33</v>
      </c>
      <c r="J47" s="81">
        <v>8.33</v>
      </c>
      <c r="K47" s="81">
        <v>8.33</v>
      </c>
      <c r="L47" s="81">
        <v>8.33</v>
      </c>
      <c r="M47" s="82">
        <v>8.33</v>
      </c>
      <c r="N47" s="82">
        <v>8.33</v>
      </c>
      <c r="O47" s="82">
        <v>8.33</v>
      </c>
      <c r="P47" s="82">
        <v>8.31</v>
      </c>
      <c r="Q47" s="81">
        <v>8.11</v>
      </c>
      <c r="R47" s="81">
        <v>7.91</v>
      </c>
      <c r="S47" s="81">
        <v>7.6099999999999994</v>
      </c>
      <c r="T47" s="81">
        <v>7.26</v>
      </c>
      <c r="U47" s="81">
        <v>6.86</v>
      </c>
      <c r="V47" s="81">
        <v>6.41</v>
      </c>
      <c r="W47" s="81">
        <v>5.91</v>
      </c>
      <c r="X47" s="83"/>
    </row>
    <row r="48" spans="1:46" ht="15.75" x14ac:dyDescent="0.25">
      <c r="A48" s="88">
        <v>0.5</v>
      </c>
      <c r="B48" s="81">
        <v>8.18</v>
      </c>
      <c r="C48" s="81">
        <v>8.33</v>
      </c>
      <c r="D48" s="81">
        <v>8.33</v>
      </c>
      <c r="E48" s="81">
        <v>8.33</v>
      </c>
      <c r="F48" s="125">
        <v>8.33</v>
      </c>
      <c r="G48" s="126">
        <v>8.33</v>
      </c>
      <c r="H48" s="81">
        <v>8.33</v>
      </c>
      <c r="I48" s="81">
        <v>8.33</v>
      </c>
      <c r="J48" s="81">
        <v>8.33</v>
      </c>
      <c r="K48" s="81">
        <v>8.33</v>
      </c>
      <c r="L48" s="81">
        <v>8.33</v>
      </c>
      <c r="M48" s="82">
        <v>8.33</v>
      </c>
      <c r="N48" s="82">
        <v>8.33</v>
      </c>
      <c r="O48" s="82">
        <v>8.33</v>
      </c>
      <c r="P48" s="82">
        <v>8.33</v>
      </c>
      <c r="Q48" s="81">
        <v>8.1300000000000008</v>
      </c>
      <c r="R48" s="81">
        <v>7.93</v>
      </c>
      <c r="S48" s="81">
        <v>7.63</v>
      </c>
      <c r="T48" s="81">
        <v>7.2799999999999994</v>
      </c>
      <c r="U48" s="81">
        <v>6.88</v>
      </c>
      <c r="V48" s="81">
        <v>6.43</v>
      </c>
      <c r="W48" s="81">
        <v>5.93</v>
      </c>
      <c r="X48" s="83"/>
    </row>
    <row r="49" spans="1:24" ht="15.75" x14ac:dyDescent="0.25">
      <c r="A49" s="91"/>
      <c r="B49" s="91"/>
      <c r="C49" s="91"/>
      <c r="D49" s="91"/>
      <c r="E49" s="91"/>
      <c r="F49" s="91"/>
      <c r="H49" s="92"/>
      <c r="X49" s="89"/>
    </row>
    <row r="50" spans="1:24" ht="15.75" x14ac:dyDescent="0.25">
      <c r="A50" s="71" t="s">
        <v>126</v>
      </c>
      <c r="B50" s="91"/>
      <c r="C50" s="91"/>
      <c r="D50" s="91"/>
      <c r="E50" s="91"/>
      <c r="F50" s="91"/>
      <c r="G50" s="91"/>
      <c r="H50" s="92"/>
      <c r="I50" s="91"/>
      <c r="J50" s="91"/>
      <c r="K50" s="91"/>
      <c r="L50" s="91"/>
      <c r="M50" s="91"/>
      <c r="N50" s="91"/>
      <c r="O50" s="91"/>
      <c r="P50" s="91"/>
      <c r="Q50" s="91"/>
      <c r="R50" s="91"/>
      <c r="S50" s="91"/>
      <c r="T50" s="91"/>
      <c r="U50" s="91"/>
      <c r="V50" s="91"/>
      <c r="W50" s="91"/>
      <c r="X50" s="90"/>
    </row>
    <row r="51" spans="1:24" ht="15.75" x14ac:dyDescent="0.25">
      <c r="A51" s="71" t="s">
        <v>127</v>
      </c>
      <c r="B51" s="91"/>
      <c r="C51" s="91"/>
      <c r="D51" s="91"/>
      <c r="E51" s="91"/>
      <c r="F51" s="91"/>
      <c r="G51" s="91"/>
      <c r="H51" s="92"/>
      <c r="I51" s="91"/>
      <c r="J51" s="91"/>
      <c r="K51" s="91"/>
      <c r="L51" s="91"/>
      <c r="M51" s="91"/>
      <c r="N51" s="91"/>
      <c r="O51" s="91"/>
      <c r="P51" s="91"/>
      <c r="Q51" s="91"/>
      <c r="R51" s="91"/>
      <c r="S51" s="91"/>
      <c r="T51" s="91"/>
      <c r="U51" s="91"/>
      <c r="V51" s="91"/>
      <c r="W51" s="91"/>
      <c r="X51" s="90"/>
    </row>
    <row r="52" spans="1:24" ht="15.75" x14ac:dyDescent="0.25">
      <c r="A52" s="71" t="s">
        <v>128</v>
      </c>
      <c r="B52" s="91"/>
      <c r="C52" s="91"/>
      <c r="D52" s="91"/>
      <c r="E52" s="91"/>
      <c r="F52" s="91"/>
      <c r="G52" s="91"/>
      <c r="H52" s="92"/>
      <c r="I52" s="91"/>
      <c r="J52" s="91"/>
      <c r="K52" s="91"/>
      <c r="L52" s="91"/>
      <c r="M52" s="91"/>
      <c r="N52" s="91"/>
      <c r="O52" s="91"/>
      <c r="P52" s="91"/>
      <c r="Q52" s="91"/>
      <c r="R52" s="91"/>
      <c r="S52" s="91"/>
      <c r="T52" s="91"/>
      <c r="U52" s="91"/>
      <c r="V52" s="91"/>
      <c r="W52" s="91"/>
      <c r="X52" s="90"/>
    </row>
    <row r="53" spans="1:24" ht="15.75" x14ac:dyDescent="0.25">
      <c r="A53" s="91"/>
      <c r="B53" s="91"/>
      <c r="C53" s="91"/>
      <c r="D53" s="91"/>
      <c r="E53" s="91"/>
      <c r="F53" s="91"/>
      <c r="G53" s="91"/>
      <c r="H53" s="92"/>
      <c r="I53" s="91"/>
      <c r="J53" s="91"/>
      <c r="K53" s="91"/>
      <c r="L53" s="91"/>
      <c r="M53" s="91"/>
      <c r="N53" s="91"/>
      <c r="O53" s="91"/>
      <c r="P53" s="91"/>
      <c r="Q53" s="91"/>
      <c r="R53" s="91"/>
      <c r="S53" s="91"/>
      <c r="T53" s="91"/>
      <c r="U53" s="91"/>
      <c r="V53" s="91"/>
      <c r="W53" s="91"/>
      <c r="X53" s="90"/>
    </row>
    <row r="54" spans="1:24" ht="15.75" x14ac:dyDescent="0.25">
      <c r="A54" s="91"/>
      <c r="B54" s="91"/>
      <c r="C54" s="91"/>
      <c r="D54" s="91"/>
      <c r="E54" s="91"/>
      <c r="F54" s="91"/>
      <c r="G54" s="91"/>
      <c r="H54" s="92"/>
      <c r="I54" s="91"/>
      <c r="J54" s="91"/>
      <c r="K54" s="91"/>
      <c r="L54" s="91"/>
      <c r="M54" s="91"/>
      <c r="N54" s="91"/>
      <c r="O54" s="91"/>
      <c r="P54" s="91"/>
      <c r="Q54" s="91"/>
      <c r="R54" s="91"/>
      <c r="S54" s="91"/>
      <c r="T54" s="91"/>
      <c r="U54" s="91"/>
      <c r="V54" s="91"/>
      <c r="W54" s="91"/>
      <c r="X54" s="90"/>
    </row>
    <row r="55" spans="1:24" ht="15.75" x14ac:dyDescent="0.25">
      <c r="A55" s="91"/>
      <c r="B55" s="91"/>
      <c r="C55" s="91"/>
      <c r="D55" s="91"/>
      <c r="E55" s="91"/>
      <c r="F55" s="91"/>
      <c r="G55" s="91"/>
      <c r="H55" s="92"/>
      <c r="I55" s="91"/>
      <c r="J55" s="91"/>
      <c r="K55" s="91"/>
      <c r="L55" s="91"/>
      <c r="M55" s="91"/>
      <c r="N55" s="91"/>
      <c r="O55" s="91"/>
      <c r="P55" s="91"/>
      <c r="Q55" s="91"/>
      <c r="R55" s="91"/>
      <c r="S55" s="91"/>
      <c r="T55" s="91"/>
      <c r="U55" s="91"/>
      <c r="V55" s="91"/>
      <c r="W55" s="91"/>
      <c r="X55" s="90"/>
    </row>
    <row r="56" spans="1:24" ht="15.75" x14ac:dyDescent="0.25">
      <c r="A56" s="93" t="s">
        <v>129</v>
      </c>
      <c r="B56" s="91"/>
      <c r="C56" s="91"/>
      <c r="D56" s="91"/>
      <c r="E56" s="91"/>
      <c r="F56" s="91"/>
      <c r="H56" s="92"/>
      <c r="X56" s="89"/>
    </row>
    <row r="57" spans="1:24" ht="15.75" x14ac:dyDescent="0.25">
      <c r="A57" s="91"/>
      <c r="B57" s="91"/>
      <c r="C57" s="91"/>
      <c r="D57" s="91"/>
      <c r="E57" s="91"/>
      <c r="F57" s="91"/>
      <c r="H57" s="92"/>
      <c r="X57" s="89"/>
    </row>
    <row r="58" spans="1:24" ht="15.75" x14ac:dyDescent="0.25">
      <c r="A58" s="94" t="s">
        <v>130</v>
      </c>
      <c r="B58" s="94" t="s">
        <v>131</v>
      </c>
      <c r="C58" s="94" t="s">
        <v>132</v>
      </c>
      <c r="D58" s="94" t="s">
        <v>133</v>
      </c>
      <c r="E58" s="94" t="s">
        <v>134</v>
      </c>
      <c r="F58" s="94" t="s">
        <v>135</v>
      </c>
      <c r="H58" s="92" t="s">
        <v>136</v>
      </c>
      <c r="X58" s="89"/>
    </row>
    <row r="59" spans="1:24" ht="15.75" x14ac:dyDescent="0.25">
      <c r="A59" s="95">
        <v>17</v>
      </c>
      <c r="B59" s="228" t="s">
        <v>106</v>
      </c>
      <c r="C59" s="96" t="s">
        <v>105</v>
      </c>
      <c r="D59" s="232" t="s">
        <v>137</v>
      </c>
      <c r="E59" s="232" t="s">
        <v>137</v>
      </c>
      <c r="F59" s="97" t="s">
        <v>103</v>
      </c>
      <c r="H59" s="98" t="s">
        <v>138</v>
      </c>
      <c r="X59" s="89"/>
    </row>
    <row r="60" spans="1:24" ht="15.75" x14ac:dyDescent="0.25">
      <c r="A60" s="99">
        <v>18</v>
      </c>
      <c r="B60" s="228"/>
      <c r="C60" s="96" t="s">
        <v>139</v>
      </c>
      <c r="D60" s="232"/>
      <c r="E60" s="232"/>
      <c r="F60" s="97" t="s">
        <v>140</v>
      </c>
      <c r="H60" s="92" t="s">
        <v>141</v>
      </c>
      <c r="X60" s="89"/>
    </row>
    <row r="61" spans="1:24" ht="15.75" x14ac:dyDescent="0.25">
      <c r="A61" s="95">
        <v>19</v>
      </c>
      <c r="B61" s="228"/>
      <c r="C61" s="100"/>
      <c r="D61" s="232"/>
      <c r="E61" s="232"/>
      <c r="F61" s="101"/>
      <c r="H61" s="92" t="s">
        <v>142</v>
      </c>
      <c r="I61" s="91"/>
      <c r="X61" s="89"/>
    </row>
    <row r="62" spans="1:24" ht="15.75" x14ac:dyDescent="0.25">
      <c r="A62" s="99">
        <v>20</v>
      </c>
      <c r="B62" s="228"/>
      <c r="C62" s="97" t="s">
        <v>137</v>
      </c>
      <c r="D62" s="233" t="s">
        <v>103</v>
      </c>
      <c r="E62" s="97" t="s">
        <v>103</v>
      </c>
      <c r="F62" s="101"/>
      <c r="H62" s="92" t="s">
        <v>143</v>
      </c>
      <c r="X62" s="89"/>
    </row>
    <row r="63" spans="1:24" ht="15.75" x14ac:dyDescent="0.25">
      <c r="A63" s="95">
        <v>21</v>
      </c>
      <c r="B63" s="230" t="s">
        <v>105</v>
      </c>
      <c r="C63" s="97" t="s">
        <v>144</v>
      </c>
      <c r="D63" s="233"/>
      <c r="E63" s="97" t="s">
        <v>140</v>
      </c>
      <c r="F63" s="101"/>
      <c r="H63" s="92" t="s">
        <v>145</v>
      </c>
      <c r="X63" s="89"/>
    </row>
    <row r="64" spans="1:24" ht="15.75" x14ac:dyDescent="0.25">
      <c r="A64" s="99">
        <v>22</v>
      </c>
      <c r="B64" s="230"/>
      <c r="C64" s="101"/>
      <c r="D64" s="233"/>
      <c r="E64" s="101"/>
      <c r="F64" s="101"/>
      <c r="H64" s="92" t="s">
        <v>146</v>
      </c>
      <c r="X64" s="89"/>
    </row>
    <row r="65" spans="1:24" ht="15.75" x14ac:dyDescent="0.25">
      <c r="A65" s="95">
        <v>23</v>
      </c>
      <c r="B65" s="230"/>
      <c r="C65" s="101"/>
      <c r="D65" s="233"/>
      <c r="E65" s="101"/>
      <c r="F65" s="101"/>
      <c r="H65" s="92"/>
      <c r="X65" s="89"/>
    </row>
    <row r="66" spans="1:24" ht="15.75" x14ac:dyDescent="0.25">
      <c r="A66" s="99">
        <v>24</v>
      </c>
      <c r="B66" s="230"/>
      <c r="C66" s="101"/>
      <c r="D66" s="233"/>
      <c r="E66" s="101"/>
      <c r="F66" s="101"/>
      <c r="H66" s="92" t="s">
        <v>147</v>
      </c>
      <c r="X66" s="89"/>
    </row>
    <row r="67" spans="1:24" ht="15.75" x14ac:dyDescent="0.25">
      <c r="A67" s="95">
        <v>25</v>
      </c>
      <c r="B67" s="230"/>
      <c r="C67" s="101"/>
      <c r="D67" s="232" t="s">
        <v>137</v>
      </c>
      <c r="E67" s="101"/>
      <c r="F67" s="101"/>
      <c r="H67" s="92" t="s">
        <v>148</v>
      </c>
      <c r="X67" s="89"/>
    </row>
    <row r="68" spans="1:24" ht="15.75" x14ac:dyDescent="0.25">
      <c r="A68" s="99">
        <v>26</v>
      </c>
      <c r="B68" s="230"/>
      <c r="C68" s="232" t="s">
        <v>137</v>
      </c>
      <c r="D68" s="232"/>
      <c r="E68" s="101"/>
      <c r="F68" s="101"/>
      <c r="H68" s="92"/>
      <c r="X68" s="89"/>
    </row>
    <row r="69" spans="1:24" ht="15.75" x14ac:dyDescent="0.25">
      <c r="A69" s="95">
        <v>27</v>
      </c>
      <c r="B69" s="228" t="s">
        <v>106</v>
      </c>
      <c r="C69" s="232"/>
      <c r="D69" s="232"/>
      <c r="E69" s="101"/>
      <c r="F69" s="101"/>
      <c r="H69" s="92"/>
      <c r="X69" s="89"/>
    </row>
    <row r="70" spans="1:24" ht="15.75" x14ac:dyDescent="0.25">
      <c r="A70" s="99">
        <v>28</v>
      </c>
      <c r="B70" s="228"/>
      <c r="C70" s="230" t="s">
        <v>105</v>
      </c>
      <c r="D70" s="232"/>
      <c r="E70" s="101"/>
      <c r="F70" s="101"/>
      <c r="H70" s="92" t="s">
        <v>149</v>
      </c>
      <c r="X70" s="89"/>
    </row>
    <row r="71" spans="1:24" ht="15.75" x14ac:dyDescent="0.25">
      <c r="A71" s="95">
        <v>29</v>
      </c>
      <c r="B71" s="228"/>
      <c r="C71" s="230"/>
      <c r="D71" s="232"/>
      <c r="E71" s="101"/>
      <c r="F71" s="101"/>
      <c r="H71" s="92"/>
      <c r="X71" s="89"/>
    </row>
    <row r="72" spans="1:24" ht="15.75" x14ac:dyDescent="0.25">
      <c r="A72" s="99">
        <v>30</v>
      </c>
      <c r="B72" s="228"/>
      <c r="C72" s="230"/>
      <c r="D72" s="230" t="s">
        <v>105</v>
      </c>
      <c r="E72" s="101"/>
      <c r="F72" s="101"/>
      <c r="H72" s="92" t="s">
        <v>150</v>
      </c>
      <c r="X72" s="89"/>
    </row>
    <row r="73" spans="1:24" ht="15.75" x14ac:dyDescent="0.25">
      <c r="A73" s="95">
        <v>31</v>
      </c>
      <c r="B73" s="228"/>
      <c r="C73" s="230"/>
      <c r="D73" s="230"/>
      <c r="E73" s="97" t="s">
        <v>137</v>
      </c>
      <c r="F73" s="101"/>
      <c r="H73" s="92"/>
      <c r="X73" s="89"/>
    </row>
    <row r="74" spans="1:24" ht="15.75" x14ac:dyDescent="0.25">
      <c r="A74" s="99">
        <v>32</v>
      </c>
      <c r="B74" s="228"/>
      <c r="C74" s="230"/>
      <c r="D74" s="230"/>
      <c r="E74" s="97" t="s">
        <v>144</v>
      </c>
      <c r="F74" s="101"/>
      <c r="H74" s="92" t="s">
        <v>151</v>
      </c>
      <c r="X74" s="89"/>
    </row>
    <row r="75" spans="1:24" ht="15.75" x14ac:dyDescent="0.25">
      <c r="A75" s="95">
        <v>33</v>
      </c>
      <c r="B75" s="228"/>
      <c r="C75" s="228" t="s">
        <v>106</v>
      </c>
      <c r="D75" s="230"/>
      <c r="E75" s="96" t="s">
        <v>105</v>
      </c>
      <c r="F75" s="96" t="s">
        <v>105</v>
      </c>
      <c r="H75" s="92"/>
      <c r="X75" s="89"/>
    </row>
    <row r="76" spans="1:24" ht="15.75" x14ac:dyDescent="0.25">
      <c r="A76" s="99">
        <v>34</v>
      </c>
      <c r="B76" s="231" t="s">
        <v>152</v>
      </c>
      <c r="C76" s="228"/>
      <c r="D76" s="230"/>
      <c r="E76" s="96" t="s">
        <v>139</v>
      </c>
      <c r="F76" s="96" t="s">
        <v>139</v>
      </c>
      <c r="H76" s="92" t="s">
        <v>153</v>
      </c>
      <c r="X76" s="89"/>
    </row>
    <row r="77" spans="1:24" ht="15.75" x14ac:dyDescent="0.25">
      <c r="A77" s="95">
        <v>35</v>
      </c>
      <c r="B77" s="231"/>
      <c r="C77" s="231" t="s">
        <v>152</v>
      </c>
      <c r="D77" s="228" t="s">
        <v>106</v>
      </c>
      <c r="E77" s="228" t="s">
        <v>106</v>
      </c>
      <c r="F77" s="100"/>
      <c r="H77" s="92"/>
      <c r="X77" s="89"/>
    </row>
    <row r="78" spans="1:24" ht="15.75" x14ac:dyDescent="0.25">
      <c r="A78" s="99">
        <v>36</v>
      </c>
      <c r="B78" s="231"/>
      <c r="C78" s="231"/>
      <c r="D78" s="228"/>
      <c r="E78" s="228"/>
      <c r="F78" s="102" t="s">
        <v>106</v>
      </c>
      <c r="H78" s="92" t="s">
        <v>154</v>
      </c>
      <c r="X78" s="89"/>
    </row>
    <row r="79" spans="1:24" ht="15.75" x14ac:dyDescent="0.25">
      <c r="A79" s="229" t="s">
        <v>155</v>
      </c>
      <c r="B79" s="229"/>
      <c r="C79" s="229"/>
      <c r="D79" s="229"/>
      <c r="E79" s="229"/>
      <c r="F79" s="229"/>
      <c r="H79" s="92"/>
      <c r="X79" s="89"/>
    </row>
    <row r="80" spans="1:24" ht="15.75" x14ac:dyDescent="0.25">
      <c r="A80" s="91"/>
      <c r="B80" s="91"/>
      <c r="C80" s="91"/>
      <c r="D80" s="91"/>
      <c r="E80" s="91"/>
      <c r="F80" s="91"/>
      <c r="H80" s="92" t="s">
        <v>156</v>
      </c>
      <c r="X80" s="89"/>
    </row>
    <row r="81" spans="1:24" ht="15.75" x14ac:dyDescent="0.25">
      <c r="A81" s="91"/>
      <c r="B81" s="91"/>
      <c r="C81" s="91"/>
      <c r="D81" s="91"/>
      <c r="E81" s="91"/>
      <c r="F81" s="91"/>
      <c r="H81" s="92"/>
      <c r="X81" s="89"/>
    </row>
    <row r="82" spans="1:24" ht="15.75" x14ac:dyDescent="0.25">
      <c r="A82" s="91"/>
      <c r="B82" s="91"/>
      <c r="C82" s="91"/>
      <c r="D82" s="91"/>
      <c r="E82" s="91"/>
      <c r="F82" s="91"/>
      <c r="H82" s="92" t="s">
        <v>157</v>
      </c>
      <c r="X82" s="89"/>
    </row>
    <row r="83" spans="1:24" ht="15.75" x14ac:dyDescent="0.25">
      <c r="A83" s="91"/>
      <c r="B83" s="91"/>
      <c r="C83" s="91"/>
      <c r="D83" s="91"/>
      <c r="E83" s="91"/>
      <c r="F83" s="91"/>
      <c r="H83" s="92"/>
      <c r="X83" s="89"/>
    </row>
    <row r="84" spans="1:24" ht="15.75" x14ac:dyDescent="0.25">
      <c r="A84" t="s">
        <v>158</v>
      </c>
      <c r="B84" s="91"/>
      <c r="C84" s="91"/>
      <c r="D84" s="91"/>
      <c r="E84" s="91"/>
      <c r="F84" s="91"/>
      <c r="H84" s="92"/>
      <c r="X84" s="89"/>
    </row>
    <row r="85" spans="1:24" ht="15.75" x14ac:dyDescent="0.25">
      <c r="A85" t="s">
        <v>159</v>
      </c>
      <c r="B85" s="91"/>
      <c r="C85" s="91"/>
      <c r="D85" s="91"/>
      <c r="E85" s="91"/>
      <c r="F85" s="91"/>
      <c r="H85" s="92"/>
      <c r="X85" s="89"/>
    </row>
    <row r="86" spans="1:24" ht="15.75" x14ac:dyDescent="0.25">
      <c r="A86" s="91" t="s">
        <v>160</v>
      </c>
      <c r="B86" s="91"/>
      <c r="C86" s="91"/>
      <c r="D86" s="91"/>
      <c r="E86" s="91"/>
      <c r="F86" s="91"/>
      <c r="H86" s="92"/>
      <c r="X86" s="89"/>
    </row>
    <row r="87" spans="1:24" ht="15.75" x14ac:dyDescent="0.25">
      <c r="A87" s="91"/>
      <c r="B87" s="91"/>
      <c r="C87" s="91"/>
      <c r="D87" s="91"/>
      <c r="E87" s="91"/>
      <c r="F87" s="91"/>
      <c r="G87" s="91"/>
      <c r="H87" s="92"/>
      <c r="I87" s="91"/>
      <c r="J87" s="91"/>
      <c r="K87" s="91"/>
      <c r="L87" s="91"/>
      <c r="M87" s="91"/>
      <c r="N87" s="91"/>
      <c r="O87" s="91"/>
      <c r="P87" s="91"/>
      <c r="Q87" s="91"/>
      <c r="R87" s="91"/>
      <c r="S87" s="91"/>
      <c r="T87" s="91"/>
      <c r="U87" s="91"/>
      <c r="V87" s="91"/>
      <c r="W87" s="91"/>
      <c r="X87" s="90"/>
    </row>
    <row r="88" spans="1:24" ht="15.75" x14ac:dyDescent="0.25">
      <c r="A88" s="91"/>
      <c r="B88" s="91"/>
      <c r="C88" s="91"/>
      <c r="D88" s="91"/>
      <c r="E88" s="91"/>
      <c r="F88" s="91"/>
      <c r="G88" s="91"/>
      <c r="H88" s="92"/>
      <c r="I88" s="91"/>
      <c r="J88" s="91"/>
      <c r="K88" s="91"/>
      <c r="L88" s="91"/>
      <c r="M88" s="91"/>
      <c r="N88" s="91"/>
      <c r="O88" s="91"/>
      <c r="P88" s="91"/>
      <c r="Q88" s="91"/>
      <c r="R88" s="91"/>
      <c r="S88" s="91"/>
      <c r="T88" s="91"/>
      <c r="U88" s="91"/>
      <c r="V88" s="91"/>
      <c r="W88" s="91"/>
      <c r="X88" s="90"/>
    </row>
    <row r="89" spans="1:24" ht="15.75" x14ac:dyDescent="0.25">
      <c r="A89" s="91"/>
      <c r="B89" s="91"/>
      <c r="C89" s="91"/>
      <c r="D89" s="91"/>
      <c r="E89" s="91"/>
      <c r="F89" s="91"/>
      <c r="G89" s="91"/>
      <c r="H89" s="92"/>
      <c r="I89" s="91"/>
      <c r="J89" s="91"/>
      <c r="K89" s="91"/>
      <c r="L89" s="91"/>
      <c r="M89" s="91"/>
      <c r="N89" s="91"/>
      <c r="O89" s="91"/>
      <c r="P89" s="91"/>
      <c r="Q89" s="91"/>
      <c r="R89" s="91"/>
      <c r="S89" s="91"/>
      <c r="T89" s="91"/>
      <c r="U89" s="91"/>
      <c r="V89" s="91"/>
      <c r="W89" s="91"/>
      <c r="X89" s="90"/>
    </row>
    <row r="90" spans="1:24" ht="15.75" x14ac:dyDescent="0.25">
      <c r="A90" s="91"/>
      <c r="B90" s="91"/>
      <c r="C90" s="91"/>
      <c r="D90" s="91"/>
      <c r="E90" s="91"/>
      <c r="F90" s="91"/>
      <c r="G90" s="91"/>
      <c r="H90" s="92"/>
      <c r="I90" s="91"/>
      <c r="J90" s="91"/>
      <c r="K90" s="91"/>
      <c r="L90" s="91"/>
      <c r="M90" s="91"/>
      <c r="N90" s="91"/>
      <c r="O90" s="91"/>
      <c r="P90" s="91"/>
      <c r="Q90" s="91"/>
      <c r="R90" s="91"/>
      <c r="S90" s="91"/>
      <c r="T90" s="91"/>
      <c r="U90" s="91"/>
      <c r="V90" s="91"/>
      <c r="W90" s="91"/>
      <c r="X90" s="90"/>
    </row>
    <row r="91" spans="1:24" ht="15.75" x14ac:dyDescent="0.25">
      <c r="A91" s="91"/>
      <c r="B91" s="91"/>
      <c r="C91" s="91"/>
      <c r="D91" s="91"/>
      <c r="E91" s="91"/>
      <c r="F91" s="91"/>
      <c r="G91" s="91"/>
      <c r="H91" s="92"/>
      <c r="I91" s="91"/>
      <c r="J91" s="91"/>
      <c r="K91" s="91"/>
      <c r="L91" s="91"/>
      <c r="M91" s="91"/>
      <c r="N91" s="91"/>
      <c r="O91" s="91"/>
      <c r="P91" s="91"/>
      <c r="Q91" s="91"/>
      <c r="R91" s="91"/>
      <c r="S91" s="91"/>
      <c r="T91" s="91"/>
      <c r="U91" s="91"/>
      <c r="V91" s="91"/>
      <c r="W91" s="91"/>
      <c r="X91" s="90"/>
    </row>
    <row r="92" spans="1:24" ht="15.75" x14ac:dyDescent="0.25">
      <c r="A92" s="91"/>
      <c r="B92" s="91"/>
      <c r="C92" s="91"/>
      <c r="D92" s="91"/>
      <c r="E92" s="91"/>
      <c r="F92" s="91"/>
      <c r="G92" s="91"/>
      <c r="H92" s="92"/>
      <c r="I92" s="91"/>
      <c r="J92" s="91"/>
      <c r="K92" s="91"/>
      <c r="L92" s="91"/>
      <c r="M92" s="91"/>
      <c r="N92" s="91"/>
      <c r="O92" s="91"/>
      <c r="P92" s="91"/>
      <c r="Q92" s="91"/>
      <c r="R92" s="91"/>
      <c r="S92" s="91"/>
      <c r="T92" s="91"/>
      <c r="U92" s="91"/>
      <c r="V92" s="91"/>
      <c r="W92" s="91"/>
      <c r="X92" s="90"/>
    </row>
    <row r="93" spans="1:24" ht="15.75" x14ac:dyDescent="0.25">
      <c r="A93" s="91"/>
      <c r="B93" s="91"/>
      <c r="C93" s="91"/>
      <c r="D93" s="91"/>
      <c r="E93" s="91"/>
      <c r="F93" s="91"/>
      <c r="G93" s="91"/>
      <c r="H93" s="92"/>
      <c r="I93" s="91"/>
      <c r="J93" s="91"/>
      <c r="K93" s="91"/>
      <c r="L93" s="91"/>
      <c r="M93" s="91"/>
      <c r="N93" s="91"/>
      <c r="O93" s="91"/>
      <c r="P93" s="91"/>
      <c r="Q93" s="91"/>
      <c r="R93" s="91"/>
      <c r="S93" s="91"/>
      <c r="T93" s="91"/>
      <c r="U93" s="91"/>
      <c r="V93" s="91"/>
      <c r="W93" s="91"/>
      <c r="X93" s="90"/>
    </row>
    <row r="94" spans="1:24" ht="15.75" x14ac:dyDescent="0.25">
      <c r="A94" s="91"/>
      <c r="B94" s="91"/>
      <c r="C94" s="91"/>
      <c r="D94" s="91"/>
      <c r="E94" s="91"/>
      <c r="F94" s="91"/>
      <c r="G94" s="91"/>
      <c r="H94" s="92"/>
      <c r="I94" s="91"/>
      <c r="J94" s="91"/>
      <c r="K94" s="91"/>
      <c r="L94" s="91"/>
      <c r="M94" s="91"/>
      <c r="N94" s="91"/>
      <c r="O94" s="91"/>
      <c r="P94" s="91"/>
      <c r="Q94" s="91"/>
      <c r="R94" s="91"/>
      <c r="S94" s="91"/>
      <c r="T94" s="91"/>
      <c r="U94" s="91"/>
      <c r="V94" s="91"/>
      <c r="W94" s="91"/>
      <c r="X94" s="90"/>
    </row>
    <row r="95" spans="1:24" ht="15.75" x14ac:dyDescent="0.25">
      <c r="A95" s="91"/>
      <c r="B95" s="91"/>
      <c r="C95" s="91"/>
      <c r="D95" s="91"/>
      <c r="E95" s="91"/>
      <c r="F95" s="91"/>
      <c r="G95" s="91"/>
      <c r="H95" s="92"/>
      <c r="I95" s="91"/>
      <c r="J95" s="91"/>
      <c r="K95" s="91"/>
      <c r="L95" s="91"/>
      <c r="M95" s="91"/>
      <c r="N95" s="91"/>
      <c r="O95" s="91"/>
      <c r="P95" s="91"/>
      <c r="Q95" s="91"/>
      <c r="R95" s="91"/>
      <c r="S95" s="91"/>
      <c r="T95" s="91"/>
      <c r="U95" s="91"/>
      <c r="V95" s="91"/>
      <c r="W95" s="91"/>
      <c r="X95" s="90"/>
    </row>
    <row r="96" spans="1:24" ht="15.75" x14ac:dyDescent="0.25">
      <c r="A96" s="91"/>
      <c r="B96" s="91"/>
      <c r="C96" s="91"/>
      <c r="D96" s="91"/>
      <c r="E96" s="91"/>
      <c r="F96" s="91"/>
      <c r="G96" s="91"/>
      <c r="H96" s="92"/>
      <c r="I96" s="91"/>
      <c r="J96" s="91"/>
      <c r="K96" s="91"/>
      <c r="L96" s="91"/>
      <c r="M96" s="91"/>
      <c r="N96" s="91"/>
      <c r="O96" s="91"/>
      <c r="P96" s="91"/>
      <c r="Q96" s="91"/>
      <c r="R96" s="91"/>
      <c r="S96" s="91"/>
      <c r="T96" s="91"/>
      <c r="U96" s="91"/>
      <c r="V96" s="91"/>
      <c r="W96" s="91"/>
      <c r="X96" s="90"/>
    </row>
    <row r="97" spans="1:24" ht="15.75" x14ac:dyDescent="0.25">
      <c r="A97" s="91"/>
      <c r="B97" s="91"/>
      <c r="C97" s="91"/>
      <c r="D97" s="91"/>
      <c r="E97" s="91"/>
      <c r="F97" s="91"/>
      <c r="G97" s="91"/>
      <c r="H97" s="92"/>
      <c r="I97" s="91"/>
      <c r="J97" s="91"/>
      <c r="K97" s="91"/>
      <c r="L97" s="91"/>
      <c r="M97" s="91"/>
      <c r="N97" s="91"/>
      <c r="O97" s="91"/>
      <c r="P97" s="91"/>
      <c r="Q97" s="91"/>
      <c r="R97" s="91"/>
      <c r="S97" s="91"/>
      <c r="T97" s="91"/>
      <c r="U97" s="91"/>
      <c r="V97" s="91"/>
      <c r="W97" s="91"/>
      <c r="X97" s="90"/>
    </row>
    <row r="98" spans="1:24" ht="15.75" x14ac:dyDescent="0.25">
      <c r="A98" s="91"/>
      <c r="B98" s="91"/>
      <c r="C98" s="91"/>
      <c r="D98" s="91"/>
      <c r="E98" s="91"/>
      <c r="F98" s="91"/>
      <c r="G98" s="91"/>
      <c r="H98" s="92"/>
      <c r="I98" s="91"/>
      <c r="J98" s="91"/>
      <c r="K98" s="91"/>
      <c r="L98" s="91"/>
      <c r="M98" s="91"/>
      <c r="N98" s="91"/>
      <c r="O98" s="91"/>
      <c r="P98" s="91"/>
      <c r="Q98" s="91"/>
      <c r="R98" s="91"/>
      <c r="S98" s="91"/>
      <c r="T98" s="91"/>
      <c r="U98" s="91"/>
      <c r="V98" s="91"/>
      <c r="W98" s="91"/>
      <c r="X98" s="90"/>
    </row>
    <row r="99" spans="1:24" ht="15.75" x14ac:dyDescent="0.25">
      <c r="A99" s="91"/>
      <c r="B99" s="91"/>
      <c r="C99" s="91"/>
      <c r="D99" s="91"/>
      <c r="E99" s="91"/>
      <c r="F99" s="91"/>
      <c r="G99" s="91"/>
      <c r="H99" s="92"/>
      <c r="I99" s="91"/>
      <c r="J99" s="91"/>
      <c r="K99" s="91"/>
      <c r="L99" s="91"/>
      <c r="M99" s="91"/>
      <c r="N99" s="91"/>
      <c r="O99" s="91"/>
      <c r="P99" s="91"/>
      <c r="Q99" s="91"/>
      <c r="R99" s="91"/>
      <c r="S99" s="91"/>
      <c r="T99" s="91"/>
      <c r="U99" s="91"/>
      <c r="V99" s="91"/>
      <c r="W99" s="91"/>
      <c r="X99" s="90"/>
    </row>
    <row r="100" spans="1:24" ht="15.75" x14ac:dyDescent="0.25">
      <c r="A100" s="91"/>
      <c r="B100" s="91"/>
      <c r="C100" s="91"/>
      <c r="D100" s="91"/>
      <c r="E100" s="91"/>
      <c r="F100" s="91"/>
      <c r="G100" s="91"/>
      <c r="H100" s="92"/>
      <c r="I100" s="91"/>
      <c r="J100" s="91"/>
      <c r="K100" s="91"/>
      <c r="L100" s="91"/>
      <c r="M100" s="91"/>
      <c r="N100" s="91"/>
      <c r="O100" s="91"/>
      <c r="P100" s="91"/>
      <c r="Q100" s="91"/>
      <c r="R100" s="91"/>
      <c r="S100" s="91"/>
      <c r="T100" s="91"/>
      <c r="U100" s="91"/>
      <c r="V100" s="91"/>
      <c r="W100" s="91"/>
      <c r="X100" s="90"/>
    </row>
    <row r="101" spans="1:24" ht="15.75" x14ac:dyDescent="0.25">
      <c r="A101" s="91"/>
      <c r="B101" s="91"/>
      <c r="C101" s="91"/>
      <c r="D101" s="91"/>
      <c r="E101" s="91"/>
      <c r="F101" s="91"/>
      <c r="G101" s="91"/>
      <c r="H101" s="92"/>
      <c r="I101" s="91"/>
      <c r="J101" s="91"/>
      <c r="K101" s="91"/>
      <c r="L101" s="91"/>
      <c r="M101" s="91"/>
      <c r="N101" s="91"/>
      <c r="O101" s="91"/>
      <c r="P101" s="91"/>
      <c r="Q101" s="91"/>
      <c r="R101" s="91"/>
      <c r="S101" s="91"/>
      <c r="T101" s="91"/>
      <c r="U101" s="91"/>
      <c r="V101" s="91"/>
      <c r="W101" s="91"/>
      <c r="X101" s="90"/>
    </row>
    <row r="102" spans="1:24" ht="15.75" x14ac:dyDescent="0.25">
      <c r="A102" s="91"/>
      <c r="B102" s="91"/>
      <c r="C102" s="91"/>
      <c r="D102" s="91"/>
      <c r="E102" s="91"/>
      <c r="F102" s="91"/>
      <c r="G102" s="91"/>
      <c r="H102" s="92"/>
      <c r="I102" s="91"/>
      <c r="J102" s="91"/>
      <c r="K102" s="91"/>
      <c r="L102" s="91"/>
      <c r="M102" s="91"/>
      <c r="N102" s="91"/>
      <c r="O102" s="91"/>
      <c r="P102" s="91"/>
      <c r="Q102" s="91"/>
      <c r="R102" s="91"/>
      <c r="S102" s="91"/>
      <c r="T102" s="91"/>
      <c r="U102" s="91"/>
      <c r="V102" s="91"/>
      <c r="W102" s="91"/>
      <c r="X102" s="90"/>
    </row>
    <row r="103" spans="1:24" ht="15.75" x14ac:dyDescent="0.25">
      <c r="A103" s="91"/>
      <c r="B103" s="91"/>
      <c r="C103" s="91"/>
      <c r="D103" s="91"/>
      <c r="E103" s="91"/>
      <c r="F103" s="91"/>
      <c r="G103" s="91"/>
      <c r="H103" s="92"/>
      <c r="I103" s="91"/>
      <c r="J103" s="91"/>
      <c r="K103" s="91"/>
      <c r="L103" s="91"/>
      <c r="M103" s="91"/>
      <c r="N103" s="91"/>
      <c r="O103" s="91"/>
      <c r="P103" s="91"/>
      <c r="Q103" s="91"/>
      <c r="R103" s="91"/>
      <c r="S103" s="91"/>
      <c r="T103" s="91"/>
      <c r="U103" s="91"/>
      <c r="V103" s="91"/>
      <c r="W103" s="91"/>
      <c r="X103" s="90"/>
    </row>
    <row r="104" spans="1:24" ht="15.75" x14ac:dyDescent="0.25">
      <c r="A104" s="91"/>
      <c r="B104" s="91"/>
      <c r="C104" s="91"/>
      <c r="D104" s="91"/>
      <c r="E104" s="91"/>
      <c r="F104" s="91"/>
      <c r="G104" s="91"/>
      <c r="H104" s="92"/>
      <c r="I104" s="91"/>
      <c r="J104" s="91"/>
      <c r="K104" s="91"/>
      <c r="L104" s="91"/>
      <c r="M104" s="91"/>
      <c r="N104" s="91"/>
      <c r="O104" s="91"/>
      <c r="P104" s="91"/>
      <c r="Q104" s="91"/>
      <c r="R104" s="91"/>
      <c r="S104" s="91"/>
      <c r="T104" s="91"/>
      <c r="U104" s="91"/>
      <c r="V104" s="91"/>
      <c r="W104" s="91"/>
      <c r="X104" s="90"/>
    </row>
    <row r="105" spans="1:24" ht="15.75" x14ac:dyDescent="0.25">
      <c r="A105" s="91"/>
      <c r="B105" s="91"/>
      <c r="C105" s="91"/>
      <c r="D105" s="91"/>
      <c r="E105" s="91"/>
      <c r="F105" s="91"/>
      <c r="G105" s="91"/>
      <c r="H105" s="92"/>
      <c r="I105" s="91"/>
      <c r="J105" s="91"/>
      <c r="K105" s="91"/>
      <c r="L105" s="91"/>
      <c r="M105" s="91"/>
      <c r="N105" s="91"/>
      <c r="O105" s="91"/>
      <c r="P105" s="91"/>
      <c r="Q105" s="91"/>
      <c r="R105" s="91"/>
      <c r="S105" s="91"/>
      <c r="T105" s="91"/>
      <c r="U105" s="91"/>
      <c r="V105" s="91"/>
      <c r="W105" s="91"/>
      <c r="X105" s="90"/>
    </row>
    <row r="106" spans="1:24" ht="15.75" x14ac:dyDescent="0.25">
      <c r="A106" s="91"/>
      <c r="B106" s="91"/>
      <c r="C106" s="91"/>
      <c r="D106" s="91"/>
      <c r="E106" s="91"/>
      <c r="F106" s="91"/>
      <c r="G106" s="91"/>
      <c r="H106" s="92"/>
      <c r="I106" s="91"/>
      <c r="J106" s="91"/>
      <c r="K106" s="91"/>
      <c r="L106" s="91"/>
      <c r="M106" s="91"/>
      <c r="N106" s="91"/>
      <c r="O106" s="91"/>
      <c r="P106" s="91"/>
      <c r="Q106" s="91"/>
      <c r="R106" s="91"/>
      <c r="S106" s="91"/>
      <c r="T106" s="91"/>
      <c r="U106" s="91"/>
      <c r="V106" s="91"/>
      <c r="W106" s="91"/>
      <c r="X106" s="90"/>
    </row>
    <row r="107" spans="1:24" ht="15.75" x14ac:dyDescent="0.25">
      <c r="A107" s="91"/>
      <c r="B107" s="91"/>
      <c r="C107" s="91"/>
      <c r="D107" s="91"/>
      <c r="E107" s="91"/>
      <c r="F107" s="91"/>
      <c r="G107" s="91"/>
      <c r="H107" s="92"/>
      <c r="I107" s="91"/>
      <c r="J107" s="91"/>
      <c r="K107" s="91"/>
      <c r="L107" s="91"/>
      <c r="M107" s="91"/>
      <c r="N107" s="91"/>
      <c r="O107" s="91"/>
      <c r="P107" s="91"/>
      <c r="Q107" s="91"/>
      <c r="R107" s="91"/>
      <c r="S107" s="91"/>
      <c r="T107" s="91"/>
      <c r="U107" s="91"/>
      <c r="V107" s="91"/>
      <c r="W107" s="91"/>
      <c r="X107" s="90"/>
    </row>
    <row r="108" spans="1:24" ht="15.75" x14ac:dyDescent="0.25">
      <c r="A108" s="91"/>
      <c r="B108" s="91"/>
      <c r="C108" s="91"/>
      <c r="D108" s="91"/>
      <c r="E108" s="91"/>
      <c r="F108" s="91"/>
      <c r="G108" s="91"/>
      <c r="H108" s="92"/>
      <c r="I108" s="91"/>
      <c r="J108" s="91"/>
      <c r="K108" s="91"/>
      <c r="L108" s="91"/>
      <c r="M108" s="91"/>
      <c r="N108" s="91"/>
      <c r="O108" s="91"/>
      <c r="P108" s="91"/>
      <c r="Q108" s="91"/>
      <c r="R108" s="91"/>
      <c r="S108" s="91"/>
      <c r="T108" s="91"/>
      <c r="U108" s="91"/>
      <c r="V108" s="91"/>
      <c r="W108" s="91"/>
      <c r="X108" s="90"/>
    </row>
    <row r="109" spans="1:24" ht="15.75" x14ac:dyDescent="0.25">
      <c r="A109" s="91"/>
      <c r="B109" s="91"/>
      <c r="C109" s="91"/>
      <c r="D109" s="91"/>
      <c r="E109" s="91"/>
      <c r="F109" s="91"/>
      <c r="G109" s="91"/>
      <c r="H109" s="92"/>
      <c r="I109" s="91"/>
      <c r="J109" s="91"/>
      <c r="K109" s="91"/>
      <c r="L109" s="91"/>
      <c r="M109" s="91"/>
      <c r="N109" s="91"/>
      <c r="O109" s="91"/>
      <c r="P109" s="91"/>
      <c r="Q109" s="91"/>
      <c r="R109" s="91"/>
      <c r="S109" s="91"/>
      <c r="T109" s="91"/>
      <c r="U109" s="91"/>
      <c r="V109" s="91"/>
      <c r="W109" s="91"/>
      <c r="X109" s="90"/>
    </row>
    <row r="110" spans="1:24" ht="15.75" x14ac:dyDescent="0.25">
      <c r="A110" s="91"/>
      <c r="B110" s="91"/>
      <c r="C110" s="91"/>
      <c r="D110" s="91"/>
      <c r="E110" s="91"/>
      <c r="F110" s="91"/>
      <c r="G110" s="91"/>
      <c r="H110" s="92"/>
      <c r="I110" s="91"/>
      <c r="J110" s="91"/>
      <c r="K110" s="91"/>
      <c r="L110" s="91"/>
      <c r="M110" s="91"/>
      <c r="N110" s="91"/>
      <c r="O110" s="91"/>
      <c r="P110" s="91"/>
      <c r="Q110" s="91"/>
      <c r="R110" s="91"/>
      <c r="S110" s="91"/>
      <c r="T110" s="91"/>
      <c r="U110" s="91"/>
      <c r="V110" s="91"/>
      <c r="W110" s="91"/>
      <c r="X110" s="90"/>
    </row>
    <row r="111" spans="1:24" ht="15.75" x14ac:dyDescent="0.25">
      <c r="A111" s="91"/>
      <c r="B111" s="91"/>
      <c r="C111" s="91"/>
      <c r="D111" s="91"/>
      <c r="E111" s="91"/>
      <c r="F111" s="91"/>
      <c r="G111" s="91"/>
      <c r="H111" s="92"/>
      <c r="I111" s="91"/>
      <c r="J111" s="91"/>
      <c r="K111" s="91"/>
      <c r="L111" s="91"/>
      <c r="M111" s="91"/>
      <c r="N111" s="91"/>
      <c r="O111" s="91"/>
      <c r="P111" s="91"/>
      <c r="Q111" s="91"/>
      <c r="R111" s="91"/>
      <c r="S111" s="91"/>
      <c r="T111" s="91"/>
      <c r="U111" s="91"/>
      <c r="V111" s="91"/>
      <c r="W111" s="91"/>
      <c r="X111" s="90"/>
    </row>
    <row r="112" spans="1:24" ht="15.75" x14ac:dyDescent="0.25">
      <c r="A112" s="91"/>
      <c r="B112" s="91"/>
      <c r="C112" s="91"/>
      <c r="D112" s="91"/>
      <c r="E112" s="91"/>
      <c r="F112" s="91"/>
      <c r="G112" s="91"/>
      <c r="H112" s="92"/>
      <c r="I112" s="91"/>
      <c r="J112" s="91"/>
      <c r="K112" s="91"/>
      <c r="L112" s="91"/>
      <c r="M112" s="91"/>
      <c r="N112" s="91"/>
      <c r="O112" s="91"/>
      <c r="P112" s="91"/>
      <c r="Q112" s="91"/>
      <c r="R112" s="91"/>
      <c r="S112" s="91"/>
      <c r="T112" s="91"/>
      <c r="U112" s="91"/>
      <c r="V112" s="91"/>
      <c r="W112" s="91"/>
      <c r="X112" s="90"/>
    </row>
    <row r="113" spans="1:24" ht="15.75" x14ac:dyDescent="0.25">
      <c r="A113" s="91"/>
      <c r="B113" s="91"/>
      <c r="C113" s="91"/>
      <c r="D113" s="91"/>
      <c r="E113" s="91"/>
      <c r="F113" s="91"/>
      <c r="G113" s="91"/>
      <c r="H113" s="92"/>
      <c r="I113" s="91"/>
      <c r="J113" s="91"/>
      <c r="K113" s="91"/>
      <c r="L113" s="91"/>
      <c r="M113" s="91"/>
      <c r="N113" s="91"/>
      <c r="O113" s="91"/>
      <c r="P113" s="91"/>
      <c r="Q113" s="91"/>
      <c r="R113" s="91"/>
      <c r="S113" s="91"/>
      <c r="T113" s="91"/>
      <c r="U113" s="91"/>
      <c r="V113" s="91"/>
      <c r="W113" s="91"/>
      <c r="X113" s="90"/>
    </row>
    <row r="114" spans="1:24" ht="15.75" x14ac:dyDescent="0.25">
      <c r="A114" s="91"/>
      <c r="B114" s="91"/>
      <c r="C114" s="91"/>
      <c r="D114" s="91"/>
      <c r="E114" s="91"/>
      <c r="F114" s="91"/>
      <c r="G114" s="91"/>
      <c r="H114" s="92"/>
      <c r="I114" s="91"/>
      <c r="J114" s="91"/>
      <c r="K114" s="91"/>
      <c r="L114" s="91"/>
      <c r="M114" s="91"/>
      <c r="N114" s="91"/>
      <c r="O114" s="91"/>
      <c r="P114" s="91"/>
      <c r="Q114" s="91"/>
      <c r="R114" s="91"/>
      <c r="S114" s="91"/>
      <c r="T114" s="91"/>
      <c r="U114" s="91"/>
      <c r="V114" s="91"/>
      <c r="W114" s="91"/>
      <c r="X114" s="90"/>
    </row>
    <row r="115" spans="1:24" ht="15.75" x14ac:dyDescent="0.25">
      <c r="A115" s="91"/>
      <c r="B115" s="91"/>
      <c r="C115" s="91"/>
      <c r="D115" s="91"/>
      <c r="E115" s="91"/>
      <c r="F115" s="91"/>
      <c r="G115" s="91"/>
      <c r="H115" s="92"/>
      <c r="I115" s="91"/>
      <c r="J115" s="91"/>
      <c r="K115" s="91"/>
      <c r="L115" s="91"/>
      <c r="M115" s="91"/>
      <c r="N115" s="91"/>
      <c r="O115" s="91"/>
      <c r="P115" s="91"/>
      <c r="Q115" s="91"/>
      <c r="R115" s="91"/>
      <c r="S115" s="91"/>
      <c r="T115" s="91"/>
      <c r="U115" s="91"/>
      <c r="V115" s="91"/>
      <c r="W115" s="91"/>
      <c r="X115" s="90"/>
    </row>
    <row r="116" spans="1:24" ht="15.75" x14ac:dyDescent="0.25">
      <c r="A116" s="91"/>
      <c r="B116" s="91"/>
      <c r="C116" s="91"/>
      <c r="D116" s="91"/>
      <c r="E116" s="91"/>
      <c r="F116" s="91"/>
      <c r="G116" s="91"/>
      <c r="H116" s="92"/>
      <c r="I116" s="91"/>
      <c r="J116" s="91"/>
      <c r="K116" s="91"/>
      <c r="L116" s="91"/>
      <c r="M116" s="91"/>
      <c r="N116" s="91"/>
      <c r="O116" s="91"/>
      <c r="P116" s="91"/>
      <c r="Q116" s="91"/>
      <c r="R116" s="91"/>
      <c r="S116" s="91"/>
      <c r="T116" s="91"/>
      <c r="U116" s="91"/>
      <c r="V116" s="91"/>
      <c r="W116" s="91"/>
      <c r="X116" s="90"/>
    </row>
    <row r="117" spans="1:24" ht="15.75" x14ac:dyDescent="0.25">
      <c r="A117" s="91"/>
      <c r="B117" s="91"/>
      <c r="C117" s="91"/>
      <c r="D117" s="91"/>
      <c r="E117" s="91"/>
      <c r="F117" s="91"/>
      <c r="G117" s="91"/>
      <c r="H117" s="92"/>
      <c r="I117" s="91"/>
      <c r="J117" s="91"/>
      <c r="K117" s="91"/>
      <c r="L117" s="91"/>
      <c r="M117" s="91"/>
      <c r="N117" s="91"/>
      <c r="O117" s="91"/>
      <c r="P117" s="91"/>
      <c r="Q117" s="91"/>
      <c r="R117" s="91"/>
      <c r="S117" s="91"/>
      <c r="T117" s="91"/>
      <c r="U117" s="91"/>
      <c r="V117" s="91"/>
      <c r="W117" s="91"/>
      <c r="X117" s="90"/>
    </row>
    <row r="118" spans="1:24" ht="15.75" x14ac:dyDescent="0.25">
      <c r="A118" s="91"/>
      <c r="B118" s="91"/>
      <c r="C118" s="91"/>
      <c r="D118" s="91"/>
      <c r="E118" s="91"/>
      <c r="F118" s="91"/>
      <c r="G118" s="91"/>
      <c r="H118" s="92"/>
      <c r="I118" s="91"/>
      <c r="J118" s="91"/>
      <c r="K118" s="91"/>
      <c r="L118" s="91"/>
      <c r="M118" s="91"/>
      <c r="N118" s="91"/>
      <c r="O118" s="91"/>
      <c r="P118" s="91"/>
      <c r="Q118" s="91"/>
      <c r="R118" s="91"/>
      <c r="S118" s="91"/>
      <c r="T118" s="91"/>
      <c r="U118" s="91"/>
      <c r="V118" s="91"/>
      <c r="W118" s="91"/>
      <c r="X118" s="90"/>
    </row>
    <row r="119" spans="1:24" ht="15.75" x14ac:dyDescent="0.25">
      <c r="A119" s="91"/>
      <c r="B119" s="91"/>
      <c r="C119" s="91"/>
      <c r="D119" s="91"/>
      <c r="E119" s="91"/>
      <c r="F119" s="91"/>
      <c r="G119" s="91"/>
      <c r="H119" s="92"/>
      <c r="I119" s="91"/>
      <c r="J119" s="91"/>
      <c r="K119" s="91"/>
      <c r="L119" s="91"/>
      <c r="M119" s="91"/>
      <c r="N119" s="91"/>
      <c r="O119" s="91"/>
      <c r="P119" s="91"/>
      <c r="Q119" s="91"/>
      <c r="R119" s="91"/>
      <c r="S119" s="91"/>
      <c r="T119" s="91"/>
      <c r="U119" s="91"/>
      <c r="V119" s="91"/>
      <c r="W119" s="91"/>
      <c r="X119" s="90"/>
    </row>
    <row r="120" spans="1:24" ht="15.75" x14ac:dyDescent="0.25">
      <c r="A120" s="91"/>
      <c r="B120" s="91"/>
      <c r="C120" s="91"/>
      <c r="D120" s="91"/>
      <c r="E120" s="91"/>
      <c r="F120" s="91"/>
      <c r="G120" s="91"/>
      <c r="H120" s="92"/>
      <c r="I120" s="91"/>
      <c r="J120" s="91"/>
      <c r="K120" s="91"/>
      <c r="L120" s="91"/>
      <c r="M120" s="91"/>
      <c r="N120" s="91"/>
      <c r="O120" s="91"/>
      <c r="P120" s="91"/>
      <c r="Q120" s="91"/>
      <c r="R120" s="91"/>
      <c r="S120" s="91"/>
      <c r="T120" s="91"/>
      <c r="U120" s="91"/>
      <c r="V120" s="91"/>
      <c r="W120" s="91"/>
      <c r="X120" s="90"/>
    </row>
    <row r="121" spans="1:24" ht="15.75" x14ac:dyDescent="0.25">
      <c r="A121" s="91"/>
      <c r="B121" s="91"/>
      <c r="C121" s="91"/>
      <c r="D121" s="91"/>
      <c r="E121" s="91"/>
      <c r="F121" s="91"/>
      <c r="G121" s="91"/>
      <c r="H121" s="92"/>
      <c r="I121" s="91"/>
      <c r="J121" s="91"/>
      <c r="K121" s="91"/>
      <c r="L121" s="91"/>
      <c r="M121" s="91"/>
      <c r="N121" s="91"/>
      <c r="O121" s="91"/>
      <c r="P121" s="91"/>
      <c r="Q121" s="91"/>
      <c r="R121" s="91"/>
      <c r="S121" s="91"/>
      <c r="T121" s="91"/>
      <c r="U121" s="91"/>
      <c r="V121" s="91"/>
      <c r="W121" s="91"/>
      <c r="X121" s="90"/>
    </row>
    <row r="122" spans="1:24" ht="15.75" x14ac:dyDescent="0.25">
      <c r="A122" s="91"/>
      <c r="B122" s="91"/>
      <c r="C122" s="91"/>
      <c r="D122" s="91"/>
      <c r="E122" s="91"/>
      <c r="F122" s="91"/>
      <c r="G122" s="91"/>
      <c r="H122" s="92"/>
      <c r="I122" s="91"/>
      <c r="J122" s="91"/>
      <c r="K122" s="91"/>
      <c r="L122" s="91"/>
      <c r="M122" s="91"/>
      <c r="N122" s="91"/>
      <c r="O122" s="91"/>
      <c r="P122" s="91"/>
      <c r="Q122" s="91"/>
      <c r="R122" s="91"/>
      <c r="S122" s="91"/>
      <c r="T122" s="91"/>
      <c r="U122" s="91"/>
      <c r="V122" s="91"/>
      <c r="W122" s="91"/>
      <c r="X122" s="90"/>
    </row>
    <row r="123" spans="1:24" ht="15.75" x14ac:dyDescent="0.25">
      <c r="A123" s="91"/>
      <c r="B123" s="91"/>
      <c r="C123" s="91"/>
      <c r="D123" s="91"/>
      <c r="E123" s="91"/>
      <c r="F123" s="91"/>
      <c r="G123" s="91"/>
      <c r="H123" s="92"/>
      <c r="I123" s="91"/>
      <c r="J123" s="91"/>
      <c r="K123" s="91"/>
      <c r="L123" s="91"/>
      <c r="M123" s="91"/>
      <c r="N123" s="91"/>
      <c r="O123" s="91"/>
      <c r="P123" s="91"/>
      <c r="Q123" s="91"/>
      <c r="R123" s="91"/>
      <c r="S123" s="91"/>
      <c r="T123" s="91"/>
      <c r="U123" s="91"/>
      <c r="V123" s="91"/>
      <c r="W123" s="91"/>
      <c r="X123" s="90"/>
    </row>
    <row r="124" spans="1:24" ht="15.75" x14ac:dyDescent="0.25">
      <c r="A124" s="91"/>
      <c r="B124" s="91"/>
      <c r="C124" s="91"/>
      <c r="D124" s="91"/>
      <c r="E124" s="91"/>
      <c r="F124" s="91"/>
      <c r="G124" s="91"/>
      <c r="H124" s="92"/>
      <c r="I124" s="91"/>
      <c r="J124" s="91"/>
      <c r="K124" s="91"/>
      <c r="L124" s="91"/>
      <c r="M124" s="91"/>
      <c r="N124" s="91"/>
      <c r="O124" s="91"/>
      <c r="P124" s="91"/>
      <c r="Q124" s="91"/>
      <c r="R124" s="91"/>
      <c r="S124" s="91"/>
      <c r="T124" s="91"/>
      <c r="U124" s="91"/>
      <c r="V124" s="91"/>
      <c r="W124" s="91"/>
      <c r="X124" s="90"/>
    </row>
    <row r="125" spans="1:24" ht="15.75" x14ac:dyDescent="0.25">
      <c r="A125" s="91"/>
      <c r="B125" s="91"/>
      <c r="C125" s="91"/>
      <c r="D125" s="91"/>
      <c r="E125" s="91"/>
      <c r="F125" s="91"/>
      <c r="H125" s="92"/>
      <c r="X125" s="89"/>
    </row>
    <row r="126" spans="1:24" ht="15.75" x14ac:dyDescent="0.25">
      <c r="A126" s="91"/>
      <c r="B126" s="91"/>
      <c r="C126" s="91"/>
      <c r="D126" s="91"/>
      <c r="E126" s="91"/>
      <c r="F126" s="91"/>
      <c r="H126" s="92"/>
      <c r="X126" s="89"/>
    </row>
    <row r="127" spans="1:24" ht="15.75" x14ac:dyDescent="0.25">
      <c r="A127" s="91"/>
      <c r="B127" s="91"/>
      <c r="C127" s="91"/>
      <c r="D127" s="91"/>
      <c r="E127" s="91"/>
      <c r="F127" s="91"/>
      <c r="H127" s="92"/>
      <c r="X127" s="89"/>
    </row>
    <row r="128" spans="1:24" ht="15.75" x14ac:dyDescent="0.25">
      <c r="H128" s="92"/>
      <c r="X128" s="89"/>
    </row>
    <row r="129" spans="8:24" ht="15.75" x14ac:dyDescent="0.25">
      <c r="H129" s="92"/>
      <c r="X129" s="89"/>
    </row>
    <row r="130" spans="8:24" ht="15.75" x14ac:dyDescent="0.25">
      <c r="H130" s="92"/>
      <c r="X130" s="89"/>
    </row>
    <row r="131" spans="8:24" ht="15.75" x14ac:dyDescent="0.25">
      <c r="H131" s="92"/>
      <c r="X131" s="89"/>
    </row>
    <row r="132" spans="8:24" ht="15.75" x14ac:dyDescent="0.25">
      <c r="H132" s="92"/>
      <c r="X132" s="89"/>
    </row>
    <row r="133" spans="8:24" ht="15.75" x14ac:dyDescent="0.25">
      <c r="H133" s="92"/>
      <c r="X133" s="89"/>
    </row>
    <row r="134" spans="8:24" ht="15.75" x14ac:dyDescent="0.25">
      <c r="H134" s="92"/>
      <c r="X134" s="89"/>
    </row>
    <row r="135" spans="8:24" ht="15.75" x14ac:dyDescent="0.25">
      <c r="H135" s="92"/>
      <c r="X135" s="89"/>
    </row>
    <row r="136" spans="8:24" ht="15.75" x14ac:dyDescent="0.25">
      <c r="H136" s="92"/>
      <c r="X136" s="89"/>
    </row>
    <row r="137" spans="8:24" ht="15.75" x14ac:dyDescent="0.25">
      <c r="H137" s="92"/>
      <c r="X137" s="89"/>
    </row>
    <row r="138" spans="8:24" ht="15.75" x14ac:dyDescent="0.25">
      <c r="H138" s="92"/>
      <c r="X138" s="89"/>
    </row>
    <row r="139" spans="8:24" ht="15.75" x14ac:dyDescent="0.25">
      <c r="H139" s="92"/>
      <c r="X139" s="89"/>
    </row>
    <row r="140" spans="8:24" ht="15.75" x14ac:dyDescent="0.25">
      <c r="H140" s="92"/>
      <c r="X140" s="89"/>
    </row>
    <row r="141" spans="8:24" ht="15.75" x14ac:dyDescent="0.25">
      <c r="H141" s="92"/>
      <c r="X141" s="89"/>
    </row>
    <row r="142" spans="8:24" ht="15.75" x14ac:dyDescent="0.25">
      <c r="H142" s="92"/>
      <c r="X142" s="89"/>
    </row>
    <row r="143" spans="8:24" ht="15.75" x14ac:dyDescent="0.25">
      <c r="H143" s="92"/>
      <c r="X143" s="89"/>
    </row>
    <row r="144" spans="8:24" ht="15.75" x14ac:dyDescent="0.25">
      <c r="H144" s="92"/>
      <c r="X144" s="89"/>
    </row>
    <row r="145" spans="8:24" ht="15.75" x14ac:dyDescent="0.25">
      <c r="H145" s="92"/>
      <c r="X145" s="89"/>
    </row>
  </sheetData>
  <mergeCells count="16">
    <mergeCell ref="B59:B62"/>
    <mergeCell ref="D59:D61"/>
    <mergeCell ref="E59:E61"/>
    <mergeCell ref="D62:D66"/>
    <mergeCell ref="B63:B68"/>
    <mergeCell ref="D67:D71"/>
    <mergeCell ref="C68:C69"/>
    <mergeCell ref="B69:B75"/>
    <mergeCell ref="E77:E78"/>
    <mergeCell ref="A79:F79"/>
    <mergeCell ref="C70:C74"/>
    <mergeCell ref="D72:D76"/>
    <mergeCell ref="C75:C76"/>
    <mergeCell ref="B76:B78"/>
    <mergeCell ref="C77:C78"/>
    <mergeCell ref="D77:D78"/>
  </mergeCells>
  <conditionalFormatting sqref="AA5:AT22 AA24:AT45">
    <cfRule type="colorScale" priority="21">
      <colorScale>
        <cfvo type="min"/>
        <cfvo type="percentile" val="50"/>
        <cfvo type="max"/>
        <color rgb="FFF8696B"/>
        <color rgb="FFFFEB84"/>
        <color rgb="FF63BE7B"/>
      </colorScale>
    </cfRule>
  </conditionalFormatting>
  <conditionalFormatting sqref="B3:W22 B24:W48">
    <cfRule type="cellIs" dxfId="28" priority="4" operator="lessThan">
      <formula>6</formula>
    </cfRule>
    <cfRule type="cellIs" dxfId="27" priority="5" operator="greaterThan">
      <formula>7</formula>
    </cfRule>
  </conditionalFormatting>
  <conditionalFormatting sqref="B23:W23">
    <cfRule type="cellIs" dxfId="26" priority="1" operator="lessThan">
      <formula>6</formula>
    </cfRule>
    <cfRule type="cellIs" dxfId="25" priority="2" operator="greaterThan">
      <formula>7</formula>
    </cfRule>
  </conditionalFormatting>
  <conditionalFormatting sqref="AA23:AT23">
    <cfRule type="colorScale" priority="3">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K19"/>
  <sheetViews>
    <sheetView workbookViewId="0"/>
  </sheetViews>
  <sheetFormatPr baseColWidth="10" defaultColWidth="11.42578125" defaultRowHeight="15" x14ac:dyDescent="0.25"/>
  <cols>
    <col min="1" max="1" width="18.42578125" bestFit="1" customWidth="1"/>
    <col min="2" max="2" width="12.28515625" bestFit="1" customWidth="1"/>
    <col min="3" max="3" width="9.5703125" bestFit="1" customWidth="1"/>
    <col min="4" max="4" width="13.5703125" bestFit="1" customWidth="1"/>
    <col min="5" max="5" width="7.85546875" bestFit="1" customWidth="1"/>
    <col min="6" max="6" width="4.42578125" customWidth="1"/>
    <col min="7" max="7" width="18.42578125" style="224" bestFit="1" customWidth="1"/>
    <col min="8" max="8" width="12.28515625" style="224" bestFit="1" customWidth="1"/>
    <col min="9" max="9" width="9.5703125" style="224" bestFit="1" customWidth="1"/>
    <col min="10" max="10" width="13.5703125" style="224" bestFit="1" customWidth="1"/>
    <col min="11" max="11" width="7.85546875" style="224" bestFit="1" customWidth="1"/>
  </cols>
  <sheetData>
    <row r="1" spans="1:11" x14ac:dyDescent="0.25">
      <c r="A1" s="221">
        <v>43088</v>
      </c>
      <c r="B1" s="220" t="s">
        <v>308</v>
      </c>
      <c r="C1" s="220"/>
      <c r="D1" s="220"/>
      <c r="E1" s="220"/>
      <c r="G1" s="221">
        <v>43110</v>
      </c>
      <c r="H1" s="224" t="s">
        <v>308</v>
      </c>
      <c r="I1" s="47">
        <f>Rendimiento_ENTRENAMIENTO!Y2</f>
        <v>14</v>
      </c>
    </row>
    <row r="2" spans="1:11" s="52" customFormat="1" x14ac:dyDescent="0.25">
      <c r="A2" s="227" t="s">
        <v>385</v>
      </c>
      <c r="B2" s="226" t="s">
        <v>484</v>
      </c>
      <c r="C2" s="226" t="s">
        <v>482</v>
      </c>
      <c r="D2" s="226" t="s">
        <v>483</v>
      </c>
      <c r="E2" s="226" t="s">
        <v>389</v>
      </c>
      <c r="G2" s="227" t="s">
        <v>385</v>
      </c>
      <c r="H2" s="226" t="s">
        <v>484</v>
      </c>
      <c r="I2" s="226" t="s">
        <v>482</v>
      </c>
      <c r="J2" s="226" t="s">
        <v>483</v>
      </c>
      <c r="K2" s="226" t="s">
        <v>389</v>
      </c>
    </row>
    <row r="3" spans="1:11" x14ac:dyDescent="0.25">
      <c r="A3" s="225" t="s">
        <v>390</v>
      </c>
      <c r="B3" s="105" t="s">
        <v>391</v>
      </c>
      <c r="C3" s="105">
        <v>3</v>
      </c>
      <c r="D3" s="105">
        <v>3</v>
      </c>
      <c r="E3" s="105" t="s">
        <v>392</v>
      </c>
      <c r="G3" s="105"/>
      <c r="H3" s="105"/>
      <c r="I3" s="105"/>
      <c r="J3" s="105"/>
      <c r="K3" s="105"/>
    </row>
    <row r="4" spans="1:11" x14ac:dyDescent="0.25">
      <c r="A4" s="105" t="s">
        <v>393</v>
      </c>
      <c r="B4" s="105" t="s">
        <v>394</v>
      </c>
      <c r="C4" s="105">
        <v>5</v>
      </c>
      <c r="D4" s="105">
        <v>2</v>
      </c>
      <c r="E4" s="105" t="s">
        <v>395</v>
      </c>
      <c r="G4" s="225" t="s">
        <v>393</v>
      </c>
      <c r="H4" s="105" t="s">
        <v>441</v>
      </c>
      <c r="I4" s="105">
        <v>1</v>
      </c>
      <c r="J4" s="105">
        <v>1</v>
      </c>
      <c r="K4" s="105" t="s">
        <v>454</v>
      </c>
    </row>
    <row r="5" spans="1:11" x14ac:dyDescent="0.25">
      <c r="A5" s="105" t="s">
        <v>396</v>
      </c>
      <c r="B5" s="105" t="s">
        <v>397</v>
      </c>
      <c r="C5" s="105">
        <v>8</v>
      </c>
      <c r="D5" s="105">
        <v>3</v>
      </c>
      <c r="E5" s="105" t="s">
        <v>398</v>
      </c>
      <c r="G5" s="105" t="s">
        <v>396</v>
      </c>
      <c r="H5" s="105" t="s">
        <v>442</v>
      </c>
      <c r="I5" s="105">
        <v>3</v>
      </c>
      <c r="J5" s="105">
        <v>2</v>
      </c>
      <c r="K5" s="105" t="s">
        <v>455</v>
      </c>
    </row>
    <row r="6" spans="1:11" x14ac:dyDescent="0.25">
      <c r="A6" s="105" t="s">
        <v>399</v>
      </c>
      <c r="B6" s="105" t="s">
        <v>400</v>
      </c>
      <c r="C6" s="105">
        <v>11</v>
      </c>
      <c r="D6" s="105">
        <v>3</v>
      </c>
      <c r="E6" s="105" t="s">
        <v>401</v>
      </c>
      <c r="G6" s="105" t="s">
        <v>399</v>
      </c>
      <c r="H6" s="105" t="s">
        <v>456</v>
      </c>
      <c r="I6" s="105">
        <v>7</v>
      </c>
      <c r="J6" s="105">
        <v>4</v>
      </c>
      <c r="K6" s="105" t="s">
        <v>457</v>
      </c>
    </row>
    <row r="7" spans="1:11" x14ac:dyDescent="0.25">
      <c r="A7" s="105" t="s">
        <v>402</v>
      </c>
      <c r="B7" s="105" t="s">
        <v>403</v>
      </c>
      <c r="C7" s="105">
        <v>14</v>
      </c>
      <c r="D7" s="105">
        <v>3</v>
      </c>
      <c r="E7" s="105" t="s">
        <v>404</v>
      </c>
      <c r="G7" s="105" t="s">
        <v>402</v>
      </c>
      <c r="H7" s="105" t="s">
        <v>458</v>
      </c>
      <c r="I7" s="105">
        <v>10</v>
      </c>
      <c r="J7" s="105">
        <v>3</v>
      </c>
      <c r="K7" s="105" t="s">
        <v>459</v>
      </c>
    </row>
    <row r="8" spans="1:11" s="52" customFormat="1" x14ac:dyDescent="0.25">
      <c r="A8" s="225" t="s">
        <v>405</v>
      </c>
      <c r="B8" s="225" t="s">
        <v>406</v>
      </c>
      <c r="C8" s="225">
        <v>19</v>
      </c>
      <c r="D8" s="225">
        <v>5</v>
      </c>
      <c r="E8" s="225" t="s">
        <v>407</v>
      </c>
      <c r="G8" s="225" t="s">
        <v>405</v>
      </c>
      <c r="H8" s="225" t="s">
        <v>460</v>
      </c>
      <c r="I8" s="225">
        <v>14</v>
      </c>
      <c r="J8" s="225">
        <v>4</v>
      </c>
      <c r="K8" s="225" t="s">
        <v>461</v>
      </c>
    </row>
    <row r="9" spans="1:11" x14ac:dyDescent="0.25">
      <c r="A9" s="105" t="s">
        <v>408</v>
      </c>
      <c r="B9" s="105" t="s">
        <v>409</v>
      </c>
      <c r="C9" s="105">
        <v>23</v>
      </c>
      <c r="D9" s="105">
        <v>4</v>
      </c>
      <c r="E9" s="105" t="s">
        <v>410</v>
      </c>
      <c r="G9" s="153" t="s">
        <v>408</v>
      </c>
      <c r="H9" s="153" t="s">
        <v>462</v>
      </c>
      <c r="I9" s="153">
        <v>19</v>
      </c>
      <c r="J9" s="153">
        <v>5</v>
      </c>
      <c r="K9" s="153" t="s">
        <v>463</v>
      </c>
    </row>
    <row r="10" spans="1:11" x14ac:dyDescent="0.25">
      <c r="A10" s="105" t="s">
        <v>411</v>
      </c>
      <c r="B10" s="105" t="s">
        <v>412</v>
      </c>
      <c r="C10" s="105">
        <v>29</v>
      </c>
      <c r="D10" s="105">
        <v>6</v>
      </c>
      <c r="E10" s="105" t="s">
        <v>413</v>
      </c>
      <c r="G10" s="105" t="s">
        <v>411</v>
      </c>
      <c r="H10" s="105" t="s">
        <v>444</v>
      </c>
      <c r="I10" s="105">
        <v>25</v>
      </c>
      <c r="J10" s="105">
        <v>6</v>
      </c>
      <c r="K10" s="105" t="s">
        <v>445</v>
      </c>
    </row>
    <row r="11" spans="1:11" x14ac:dyDescent="0.25">
      <c r="A11" s="105" t="s">
        <v>414</v>
      </c>
      <c r="B11" s="105" t="s">
        <v>415</v>
      </c>
      <c r="C11" s="105">
        <v>36</v>
      </c>
      <c r="D11" s="105">
        <v>7</v>
      </c>
      <c r="E11" s="105" t="s">
        <v>416</v>
      </c>
      <c r="G11" s="105" t="s">
        <v>414</v>
      </c>
      <c r="H11" s="105" t="s">
        <v>464</v>
      </c>
      <c r="I11" s="105">
        <v>32</v>
      </c>
      <c r="J11" s="105">
        <v>7</v>
      </c>
      <c r="K11" s="105" t="s">
        <v>465</v>
      </c>
    </row>
    <row r="12" spans="1:11" x14ac:dyDescent="0.25">
      <c r="A12" s="105" t="s">
        <v>417</v>
      </c>
      <c r="B12" s="105" t="s">
        <v>418</v>
      </c>
      <c r="C12" s="105">
        <v>43</v>
      </c>
      <c r="D12" s="105">
        <v>7</v>
      </c>
      <c r="E12" s="105" t="s">
        <v>419</v>
      </c>
      <c r="G12" s="105" t="s">
        <v>417</v>
      </c>
      <c r="H12" s="105" t="s">
        <v>466</v>
      </c>
      <c r="I12" s="105">
        <v>39</v>
      </c>
      <c r="J12" s="105">
        <v>7</v>
      </c>
      <c r="K12" s="105" t="s">
        <v>467</v>
      </c>
    </row>
    <row r="13" spans="1:11" x14ac:dyDescent="0.25">
      <c r="A13" s="105" t="s">
        <v>420</v>
      </c>
      <c r="B13" s="105" t="s">
        <v>421</v>
      </c>
      <c r="C13" s="105">
        <v>52</v>
      </c>
      <c r="D13" s="105">
        <v>9</v>
      </c>
      <c r="E13" s="105" t="s">
        <v>422</v>
      </c>
      <c r="G13" s="105" t="s">
        <v>420</v>
      </c>
      <c r="H13" s="105" t="s">
        <v>468</v>
      </c>
      <c r="I13" s="105">
        <v>48</v>
      </c>
      <c r="J13" s="105">
        <v>9</v>
      </c>
      <c r="K13" s="105" t="s">
        <v>469</v>
      </c>
    </row>
    <row r="14" spans="1:11" x14ac:dyDescent="0.25">
      <c r="A14" s="105" t="s">
        <v>423</v>
      </c>
      <c r="B14" s="105" t="s">
        <v>424</v>
      </c>
      <c r="C14" s="105">
        <v>62</v>
      </c>
      <c r="D14" s="105">
        <v>10</v>
      </c>
      <c r="E14" s="105" t="s">
        <v>425</v>
      </c>
      <c r="G14" s="105" t="s">
        <v>423</v>
      </c>
      <c r="H14" s="105" t="s">
        <v>470</v>
      </c>
      <c r="I14" s="105">
        <v>57</v>
      </c>
      <c r="J14" s="105">
        <v>9</v>
      </c>
      <c r="K14" s="105" t="s">
        <v>471</v>
      </c>
    </row>
    <row r="15" spans="1:11" x14ac:dyDescent="0.25">
      <c r="A15" s="105" t="s">
        <v>426</v>
      </c>
      <c r="B15" s="105" t="s">
        <v>427</v>
      </c>
      <c r="C15" s="105">
        <v>73</v>
      </c>
      <c r="D15" s="105">
        <v>11</v>
      </c>
      <c r="E15" s="105" t="s">
        <v>428</v>
      </c>
      <c r="G15" s="105" t="s">
        <v>426</v>
      </c>
      <c r="H15" s="105" t="s">
        <v>472</v>
      </c>
      <c r="I15" s="105">
        <v>69</v>
      </c>
      <c r="J15" s="105">
        <v>12</v>
      </c>
      <c r="K15" s="105" t="s">
        <v>473</v>
      </c>
    </row>
    <row r="16" spans="1:11" x14ac:dyDescent="0.25">
      <c r="A16" s="105" t="s">
        <v>429</v>
      </c>
      <c r="B16" s="105" t="s">
        <v>430</v>
      </c>
      <c r="C16" s="105">
        <v>87</v>
      </c>
      <c r="D16" s="105">
        <v>14</v>
      </c>
      <c r="E16" s="105" t="s">
        <v>431</v>
      </c>
      <c r="G16" s="105" t="s">
        <v>429</v>
      </c>
      <c r="H16" s="105" t="s">
        <v>474</v>
      </c>
      <c r="I16" s="105">
        <v>83</v>
      </c>
      <c r="J16" s="105">
        <v>14</v>
      </c>
      <c r="K16" s="105" t="s">
        <v>475</v>
      </c>
    </row>
    <row r="17" spans="1:11" x14ac:dyDescent="0.25">
      <c r="A17" s="105" t="s">
        <v>432</v>
      </c>
      <c r="B17" s="105" t="s">
        <v>433</v>
      </c>
      <c r="C17" s="105">
        <v>104</v>
      </c>
      <c r="D17" s="105">
        <v>17</v>
      </c>
      <c r="E17" s="105" t="s">
        <v>434</v>
      </c>
      <c r="G17" s="105" t="s">
        <v>432</v>
      </c>
      <c r="H17" s="105" t="s">
        <v>476</v>
      </c>
      <c r="I17" s="105">
        <v>99</v>
      </c>
      <c r="J17" s="105">
        <v>16</v>
      </c>
      <c r="K17" s="105" t="s">
        <v>477</v>
      </c>
    </row>
    <row r="18" spans="1:11" x14ac:dyDescent="0.25">
      <c r="A18" s="105" t="s">
        <v>435</v>
      </c>
      <c r="B18" s="105" t="s">
        <v>436</v>
      </c>
      <c r="C18" s="105">
        <v>126</v>
      </c>
      <c r="D18" s="105">
        <v>22</v>
      </c>
      <c r="E18" s="105" t="s">
        <v>437</v>
      </c>
      <c r="G18" s="105" t="s">
        <v>435</v>
      </c>
      <c r="H18" s="105" t="s">
        <v>478</v>
      </c>
      <c r="I18" s="105">
        <v>122</v>
      </c>
      <c r="J18" s="105">
        <v>23</v>
      </c>
      <c r="K18" s="105" t="s">
        <v>479</v>
      </c>
    </row>
    <row r="19" spans="1:11" x14ac:dyDescent="0.25">
      <c r="A19" s="105" t="s">
        <v>438</v>
      </c>
      <c r="B19" s="105" t="s">
        <v>439</v>
      </c>
      <c r="C19" s="105">
        <v>164</v>
      </c>
      <c r="D19" s="105">
        <v>38</v>
      </c>
      <c r="E19" s="105" t="s">
        <v>440</v>
      </c>
      <c r="G19" s="105" t="s">
        <v>438</v>
      </c>
      <c r="H19" s="105" t="s">
        <v>480</v>
      </c>
      <c r="I19" s="105">
        <v>160</v>
      </c>
      <c r="J19" s="105">
        <v>38</v>
      </c>
      <c r="K19" s="105" t="s">
        <v>481</v>
      </c>
    </row>
  </sheetData>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9"/>
  <sheetViews>
    <sheetView workbookViewId="0">
      <selection activeCell="D22" sqref="D22"/>
    </sheetView>
  </sheetViews>
  <sheetFormatPr baseColWidth="10"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30">
        <v>43110</v>
      </c>
      <c r="B1" t="s">
        <v>511</v>
      </c>
      <c r="C1" s="47">
        <f>Rendimiento_ENTRENAMIENTO!Y2</f>
        <v>14</v>
      </c>
    </row>
    <row r="2" spans="1:5" s="52" customFormat="1" x14ac:dyDescent="0.25">
      <c r="A2" s="227" t="s">
        <v>385</v>
      </c>
      <c r="B2" s="226" t="s">
        <v>386</v>
      </c>
      <c r="C2" s="226" t="s">
        <v>387</v>
      </c>
      <c r="D2" s="226" t="s">
        <v>388</v>
      </c>
      <c r="E2" s="226" t="s">
        <v>389</v>
      </c>
    </row>
    <row r="3" spans="1:5" x14ac:dyDescent="0.25">
      <c r="A3" s="225" t="s">
        <v>396</v>
      </c>
      <c r="B3" s="105" t="s">
        <v>441</v>
      </c>
      <c r="C3" s="105">
        <v>1</v>
      </c>
      <c r="D3" s="105">
        <v>1</v>
      </c>
      <c r="E3" s="105" t="s">
        <v>485</v>
      </c>
    </row>
    <row r="4" spans="1:5" x14ac:dyDescent="0.25">
      <c r="A4" s="105" t="s">
        <v>399</v>
      </c>
      <c r="B4" s="105" t="s">
        <v>486</v>
      </c>
      <c r="C4" s="105">
        <v>4</v>
      </c>
      <c r="D4" s="105">
        <v>3</v>
      </c>
      <c r="E4" s="105" t="s">
        <v>487</v>
      </c>
    </row>
    <row r="5" spans="1:5" x14ac:dyDescent="0.25">
      <c r="A5" s="105" t="s">
        <v>402</v>
      </c>
      <c r="B5" s="105" t="s">
        <v>456</v>
      </c>
      <c r="C5" s="105">
        <v>7</v>
      </c>
      <c r="D5" s="105">
        <v>3</v>
      </c>
      <c r="E5" s="105" t="s">
        <v>488</v>
      </c>
    </row>
    <row r="6" spans="1:5" x14ac:dyDescent="0.25">
      <c r="A6" s="105" t="s">
        <v>405</v>
      </c>
      <c r="B6" s="105" t="s">
        <v>403</v>
      </c>
      <c r="C6" s="105">
        <v>11</v>
      </c>
      <c r="D6" s="105">
        <v>4</v>
      </c>
      <c r="E6" s="105" t="s">
        <v>489</v>
      </c>
    </row>
    <row r="7" spans="1:5" x14ac:dyDescent="0.25">
      <c r="A7" s="225" t="s">
        <v>408</v>
      </c>
      <c r="B7" s="225" t="s">
        <v>406</v>
      </c>
      <c r="C7" s="225">
        <v>16</v>
      </c>
      <c r="D7" s="225">
        <v>5</v>
      </c>
      <c r="E7" s="225" t="s">
        <v>490</v>
      </c>
    </row>
    <row r="8" spans="1:5" x14ac:dyDescent="0.25">
      <c r="A8" s="153" t="s">
        <v>411</v>
      </c>
      <c r="B8" s="153" t="s">
        <v>491</v>
      </c>
      <c r="C8" s="153">
        <v>22</v>
      </c>
      <c r="D8" s="153">
        <v>6</v>
      </c>
      <c r="E8" s="153" t="s">
        <v>492</v>
      </c>
    </row>
    <row r="9" spans="1:5" x14ac:dyDescent="0.25">
      <c r="A9" s="105" t="s">
        <v>414</v>
      </c>
      <c r="B9" s="105" t="s">
        <v>493</v>
      </c>
      <c r="C9" s="105">
        <v>29</v>
      </c>
      <c r="D9" s="105">
        <v>7</v>
      </c>
      <c r="E9" s="105" t="s">
        <v>494</v>
      </c>
    </row>
    <row r="10" spans="1:5" x14ac:dyDescent="0.25">
      <c r="A10" s="105" t="s">
        <v>417</v>
      </c>
      <c r="B10" s="105" t="s">
        <v>495</v>
      </c>
      <c r="C10" s="105">
        <v>36</v>
      </c>
      <c r="D10" s="105">
        <v>7</v>
      </c>
      <c r="E10" s="105" t="s">
        <v>496</v>
      </c>
    </row>
    <row r="11" spans="1:5" x14ac:dyDescent="0.25">
      <c r="A11" s="105" t="s">
        <v>420</v>
      </c>
      <c r="B11" s="105" t="s">
        <v>497</v>
      </c>
      <c r="C11" s="105">
        <v>45</v>
      </c>
      <c r="D11" s="105">
        <v>9</v>
      </c>
      <c r="E11" s="105" t="s">
        <v>498</v>
      </c>
    </row>
    <row r="12" spans="1:5" x14ac:dyDescent="0.25">
      <c r="A12" s="105" t="s">
        <v>423</v>
      </c>
      <c r="B12" s="105" t="s">
        <v>499</v>
      </c>
      <c r="C12" s="105">
        <v>54</v>
      </c>
      <c r="D12" s="105">
        <v>9</v>
      </c>
      <c r="E12" s="105" t="s">
        <v>500</v>
      </c>
    </row>
    <row r="13" spans="1:5" x14ac:dyDescent="0.25">
      <c r="A13" s="105" t="s">
        <v>426</v>
      </c>
      <c r="B13" s="105" t="s">
        <v>501</v>
      </c>
      <c r="C13" s="105">
        <v>66</v>
      </c>
      <c r="D13" s="105">
        <v>12</v>
      </c>
      <c r="E13" s="105" t="s">
        <v>502</v>
      </c>
    </row>
    <row r="14" spans="1:5" x14ac:dyDescent="0.25">
      <c r="A14" s="105" t="s">
        <v>429</v>
      </c>
      <c r="B14" s="105" t="s">
        <v>503</v>
      </c>
      <c r="C14" s="105">
        <v>79</v>
      </c>
      <c r="D14" s="105">
        <v>13</v>
      </c>
      <c r="E14" s="105" t="s">
        <v>504</v>
      </c>
    </row>
    <row r="15" spans="1:5" x14ac:dyDescent="0.25">
      <c r="A15" s="105" t="s">
        <v>432</v>
      </c>
      <c r="B15" s="105" t="s">
        <v>505</v>
      </c>
      <c r="C15" s="105">
        <v>96</v>
      </c>
      <c r="D15" s="105">
        <v>17</v>
      </c>
      <c r="E15" s="105" t="s">
        <v>506</v>
      </c>
    </row>
    <row r="16" spans="1:5" x14ac:dyDescent="0.25">
      <c r="A16" s="105" t="s">
        <v>435</v>
      </c>
      <c r="B16" s="105" t="s">
        <v>507</v>
      </c>
      <c r="C16" s="105">
        <v>119</v>
      </c>
      <c r="D16" s="105">
        <v>23</v>
      </c>
      <c r="E16" s="105" t="s">
        <v>508</v>
      </c>
    </row>
    <row r="17" spans="1:5" x14ac:dyDescent="0.25">
      <c r="A17" s="105" t="s">
        <v>438</v>
      </c>
      <c r="B17" s="105" t="s">
        <v>509</v>
      </c>
      <c r="C17" s="105">
        <v>156</v>
      </c>
      <c r="D17" s="105">
        <v>37</v>
      </c>
      <c r="E17" s="105" t="s">
        <v>510</v>
      </c>
    </row>
    <row r="18" spans="1:5" x14ac:dyDescent="0.25">
      <c r="A18" s="105"/>
      <c r="B18" s="105"/>
      <c r="C18" s="105"/>
      <c r="D18" s="105"/>
      <c r="E18" s="105"/>
    </row>
    <row r="19" spans="1:5" x14ac:dyDescent="0.25">
      <c r="A19" s="105"/>
      <c r="B19" s="105"/>
      <c r="C19" s="105"/>
      <c r="D19" s="105"/>
      <c r="E19" s="10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8"/>
  <sheetViews>
    <sheetView workbookViewId="0">
      <selection activeCell="C7" sqref="C7"/>
    </sheetView>
  </sheetViews>
  <sheetFormatPr baseColWidth="10"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30">
        <v>43110</v>
      </c>
      <c r="B1" t="s">
        <v>512</v>
      </c>
      <c r="C1" s="47">
        <f>Rendimiento_ENTRENAMIENTO!Y2</f>
        <v>14</v>
      </c>
    </row>
    <row r="2" spans="1:5" s="52" customFormat="1" x14ac:dyDescent="0.25">
      <c r="A2" s="227" t="s">
        <v>385</v>
      </c>
      <c r="B2" s="226" t="s">
        <v>386</v>
      </c>
      <c r="C2" s="226" t="s">
        <v>387</v>
      </c>
      <c r="D2" s="226" t="s">
        <v>388</v>
      </c>
      <c r="E2" s="226" t="s">
        <v>389</v>
      </c>
    </row>
    <row r="3" spans="1:5" x14ac:dyDescent="0.25">
      <c r="A3" s="225" t="s">
        <v>399</v>
      </c>
      <c r="B3" s="105" t="s">
        <v>394</v>
      </c>
      <c r="C3" s="105">
        <v>2</v>
      </c>
      <c r="D3" s="105">
        <v>2</v>
      </c>
      <c r="E3" s="105" t="s">
        <v>487</v>
      </c>
    </row>
    <row r="4" spans="1:5" x14ac:dyDescent="0.25">
      <c r="A4" s="105" t="s">
        <v>402</v>
      </c>
      <c r="B4" s="105" t="s">
        <v>513</v>
      </c>
      <c r="C4" s="105">
        <v>6</v>
      </c>
      <c r="D4" s="105">
        <v>4</v>
      </c>
      <c r="E4" s="105" t="s">
        <v>514</v>
      </c>
    </row>
    <row r="5" spans="1:5" x14ac:dyDescent="0.25">
      <c r="A5" s="105" t="s">
        <v>405</v>
      </c>
      <c r="B5" s="105" t="s">
        <v>458</v>
      </c>
      <c r="C5" s="105">
        <v>10</v>
      </c>
      <c r="D5" s="105">
        <v>4</v>
      </c>
      <c r="E5" s="105" t="s">
        <v>515</v>
      </c>
    </row>
    <row r="6" spans="1:5" x14ac:dyDescent="0.25">
      <c r="A6" s="225" t="s">
        <v>408</v>
      </c>
      <c r="B6" s="225" t="s">
        <v>443</v>
      </c>
      <c r="C6" s="225">
        <v>15</v>
      </c>
      <c r="D6" s="225">
        <v>5</v>
      </c>
      <c r="E6" s="225" t="s">
        <v>516</v>
      </c>
    </row>
    <row r="7" spans="1:5" x14ac:dyDescent="0.25">
      <c r="A7" s="153" t="s">
        <v>411</v>
      </c>
      <c r="B7" s="153" t="s">
        <v>517</v>
      </c>
      <c r="C7" s="153">
        <v>21</v>
      </c>
      <c r="D7" s="153">
        <v>6</v>
      </c>
      <c r="E7" s="153" t="s">
        <v>518</v>
      </c>
    </row>
    <row r="8" spans="1:5" x14ac:dyDescent="0.25">
      <c r="A8" s="153" t="s">
        <v>414</v>
      </c>
      <c r="B8" s="153" t="s">
        <v>519</v>
      </c>
      <c r="C8" s="153">
        <v>27</v>
      </c>
      <c r="D8" s="153">
        <v>6</v>
      </c>
      <c r="E8" s="153" t="s">
        <v>494</v>
      </c>
    </row>
    <row r="9" spans="1:5" x14ac:dyDescent="0.25">
      <c r="A9" s="105" t="s">
        <v>417</v>
      </c>
      <c r="B9" s="105" t="s">
        <v>520</v>
      </c>
      <c r="C9" s="105">
        <v>35</v>
      </c>
      <c r="D9" s="105">
        <v>8</v>
      </c>
      <c r="E9" s="105" t="s">
        <v>521</v>
      </c>
    </row>
    <row r="10" spans="1:5" x14ac:dyDescent="0.25">
      <c r="A10" s="105" t="s">
        <v>420</v>
      </c>
      <c r="B10" s="105" t="s">
        <v>522</v>
      </c>
      <c r="C10" s="105">
        <v>43</v>
      </c>
      <c r="D10" s="105">
        <v>8</v>
      </c>
      <c r="E10" s="105" t="s">
        <v>498</v>
      </c>
    </row>
    <row r="11" spans="1:5" x14ac:dyDescent="0.25">
      <c r="A11" s="105" t="s">
        <v>423</v>
      </c>
      <c r="B11" s="105" t="s">
        <v>449</v>
      </c>
      <c r="C11" s="105">
        <v>53</v>
      </c>
      <c r="D11" s="105">
        <v>10</v>
      </c>
      <c r="E11" s="105" t="s">
        <v>523</v>
      </c>
    </row>
    <row r="12" spans="1:5" x14ac:dyDescent="0.25">
      <c r="A12" s="105" t="s">
        <v>426</v>
      </c>
      <c r="B12" s="105" t="s">
        <v>524</v>
      </c>
      <c r="C12" s="105">
        <v>64</v>
      </c>
      <c r="D12" s="105">
        <v>11</v>
      </c>
      <c r="E12" s="105" t="s">
        <v>525</v>
      </c>
    </row>
    <row r="13" spans="1:5" x14ac:dyDescent="0.25">
      <c r="A13" s="105" t="s">
        <v>429</v>
      </c>
      <c r="B13" s="105" t="s">
        <v>526</v>
      </c>
      <c r="C13" s="105">
        <v>78</v>
      </c>
      <c r="D13" s="105">
        <v>14</v>
      </c>
      <c r="E13" s="105" t="s">
        <v>527</v>
      </c>
    </row>
    <row r="14" spans="1:5" x14ac:dyDescent="0.25">
      <c r="A14" s="105" t="s">
        <v>432</v>
      </c>
      <c r="B14" s="105" t="s">
        <v>528</v>
      </c>
      <c r="C14" s="105">
        <v>95</v>
      </c>
      <c r="D14" s="105">
        <v>17</v>
      </c>
      <c r="E14" s="105" t="s">
        <v>529</v>
      </c>
    </row>
    <row r="15" spans="1:5" x14ac:dyDescent="0.25">
      <c r="A15" s="105" t="s">
        <v>435</v>
      </c>
      <c r="B15" s="105" t="s">
        <v>530</v>
      </c>
      <c r="C15" s="105">
        <v>117</v>
      </c>
      <c r="D15" s="105">
        <v>22</v>
      </c>
      <c r="E15" s="105" t="s">
        <v>508</v>
      </c>
    </row>
    <row r="16" spans="1:5" x14ac:dyDescent="0.25">
      <c r="A16" s="105" t="s">
        <v>438</v>
      </c>
      <c r="B16" s="105" t="s">
        <v>531</v>
      </c>
      <c r="C16" s="105">
        <v>155</v>
      </c>
      <c r="D16" s="105">
        <v>38</v>
      </c>
      <c r="E16" s="105" t="s">
        <v>532</v>
      </c>
    </row>
    <row r="17" spans="1:5" x14ac:dyDescent="0.25">
      <c r="A17" s="105"/>
      <c r="B17" s="105"/>
      <c r="C17" s="105"/>
      <c r="D17" s="105"/>
      <c r="E17" s="105"/>
    </row>
    <row r="18" spans="1:5" x14ac:dyDescent="0.25">
      <c r="A18" s="105"/>
      <c r="B18" s="105"/>
      <c r="C18" s="105"/>
      <c r="D18" s="105"/>
      <c r="E18" s="10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8"/>
  <sheetViews>
    <sheetView workbookViewId="0">
      <selection activeCell="D7" sqref="D7"/>
    </sheetView>
  </sheetViews>
  <sheetFormatPr baseColWidth="10"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30">
        <v>43110</v>
      </c>
      <c r="B1" t="s">
        <v>294</v>
      </c>
      <c r="C1" s="47">
        <f>Rendimiento_ENTRENAMIENTO!Y2</f>
        <v>14</v>
      </c>
    </row>
    <row r="2" spans="1:5" s="52" customFormat="1" x14ac:dyDescent="0.25">
      <c r="A2" s="227" t="s">
        <v>385</v>
      </c>
      <c r="B2" s="226" t="s">
        <v>386</v>
      </c>
      <c r="C2" s="226" t="s">
        <v>387</v>
      </c>
      <c r="D2" s="226" t="s">
        <v>388</v>
      </c>
      <c r="E2" s="226" t="s">
        <v>389</v>
      </c>
    </row>
    <row r="3" spans="1:5" x14ac:dyDescent="0.25">
      <c r="A3" s="225" t="s">
        <v>396</v>
      </c>
      <c r="B3" s="105" t="s">
        <v>394</v>
      </c>
      <c r="C3" s="105">
        <v>2</v>
      </c>
      <c r="D3" s="105">
        <v>2</v>
      </c>
      <c r="E3" s="105" t="s">
        <v>533</v>
      </c>
    </row>
    <row r="4" spans="1:5" x14ac:dyDescent="0.25">
      <c r="A4" s="105" t="s">
        <v>399</v>
      </c>
      <c r="B4" s="105" t="s">
        <v>397</v>
      </c>
      <c r="C4" s="105">
        <v>5</v>
      </c>
      <c r="D4" s="105">
        <v>3</v>
      </c>
      <c r="E4" s="105" t="s">
        <v>534</v>
      </c>
    </row>
    <row r="5" spans="1:5" x14ac:dyDescent="0.25">
      <c r="A5" s="105" t="s">
        <v>402</v>
      </c>
      <c r="B5" s="105" t="s">
        <v>400</v>
      </c>
      <c r="C5" s="105">
        <v>8</v>
      </c>
      <c r="D5" s="105">
        <v>3</v>
      </c>
      <c r="E5" s="105" t="s">
        <v>514</v>
      </c>
    </row>
    <row r="6" spans="1:5" x14ac:dyDescent="0.25">
      <c r="A6" s="225" t="s">
        <v>405</v>
      </c>
      <c r="B6" s="225" t="s">
        <v>535</v>
      </c>
      <c r="C6" s="225">
        <v>13</v>
      </c>
      <c r="D6" s="225">
        <v>5</v>
      </c>
      <c r="E6" s="225" t="s">
        <v>536</v>
      </c>
    </row>
    <row r="7" spans="1:5" x14ac:dyDescent="0.25">
      <c r="A7" s="153" t="s">
        <v>408</v>
      </c>
      <c r="B7" s="153" t="s">
        <v>537</v>
      </c>
      <c r="C7" s="153">
        <v>17</v>
      </c>
      <c r="D7" s="153">
        <v>4</v>
      </c>
      <c r="E7" s="153" t="s">
        <v>516</v>
      </c>
    </row>
    <row r="8" spans="1:5" x14ac:dyDescent="0.25">
      <c r="A8" s="153" t="s">
        <v>411</v>
      </c>
      <c r="B8" s="153" t="s">
        <v>538</v>
      </c>
      <c r="C8" s="153">
        <v>23</v>
      </c>
      <c r="D8" s="153">
        <v>6</v>
      </c>
      <c r="E8" s="153" t="s">
        <v>518</v>
      </c>
    </row>
    <row r="9" spans="1:5" x14ac:dyDescent="0.25">
      <c r="A9" s="105" t="s">
        <v>414</v>
      </c>
      <c r="B9" s="105" t="s">
        <v>446</v>
      </c>
      <c r="C9" s="105">
        <v>30</v>
      </c>
      <c r="D9" s="105">
        <v>7</v>
      </c>
      <c r="E9" s="105" t="s">
        <v>539</v>
      </c>
    </row>
    <row r="10" spans="1:5" x14ac:dyDescent="0.25">
      <c r="A10" s="105" t="s">
        <v>417</v>
      </c>
      <c r="B10" s="105" t="s">
        <v>447</v>
      </c>
      <c r="C10" s="105">
        <v>37</v>
      </c>
      <c r="D10" s="105">
        <v>7</v>
      </c>
      <c r="E10" s="105" t="s">
        <v>521</v>
      </c>
    </row>
    <row r="11" spans="1:5" x14ac:dyDescent="0.25">
      <c r="A11" s="105" t="s">
        <v>420</v>
      </c>
      <c r="B11" s="105" t="s">
        <v>540</v>
      </c>
      <c r="C11" s="105">
        <v>46</v>
      </c>
      <c r="D11" s="105">
        <v>9</v>
      </c>
      <c r="E11" s="105" t="s">
        <v>541</v>
      </c>
    </row>
    <row r="12" spans="1:5" x14ac:dyDescent="0.25">
      <c r="A12" s="105" t="s">
        <v>423</v>
      </c>
      <c r="B12" s="105" t="s">
        <v>542</v>
      </c>
      <c r="C12" s="105">
        <v>55</v>
      </c>
      <c r="D12" s="105">
        <v>9</v>
      </c>
      <c r="E12" s="105" t="s">
        <v>523</v>
      </c>
    </row>
    <row r="13" spans="1:5" x14ac:dyDescent="0.25">
      <c r="A13" s="105" t="s">
        <v>426</v>
      </c>
      <c r="B13" s="105" t="s">
        <v>543</v>
      </c>
      <c r="C13" s="105">
        <v>67</v>
      </c>
      <c r="D13" s="105">
        <v>12</v>
      </c>
      <c r="E13" s="105" t="s">
        <v>544</v>
      </c>
    </row>
    <row r="14" spans="1:5" x14ac:dyDescent="0.25">
      <c r="A14" s="105" t="s">
        <v>429</v>
      </c>
      <c r="B14" s="105" t="s">
        <v>545</v>
      </c>
      <c r="C14" s="105">
        <v>80</v>
      </c>
      <c r="D14" s="105">
        <v>13</v>
      </c>
      <c r="E14" s="105" t="s">
        <v>527</v>
      </c>
    </row>
    <row r="15" spans="1:5" x14ac:dyDescent="0.25">
      <c r="A15" s="105" t="s">
        <v>432</v>
      </c>
      <c r="B15" s="105" t="s">
        <v>546</v>
      </c>
      <c r="C15" s="105">
        <v>97</v>
      </c>
      <c r="D15" s="105">
        <v>17</v>
      </c>
      <c r="E15" s="105" t="s">
        <v>529</v>
      </c>
    </row>
    <row r="16" spans="1:5" x14ac:dyDescent="0.25">
      <c r="A16" s="105" t="s">
        <v>435</v>
      </c>
      <c r="B16" s="105" t="s">
        <v>547</v>
      </c>
      <c r="C16" s="105">
        <v>120</v>
      </c>
      <c r="D16" s="105">
        <v>23</v>
      </c>
      <c r="E16" s="105" t="s">
        <v>548</v>
      </c>
    </row>
    <row r="17" spans="1:5" x14ac:dyDescent="0.25">
      <c r="A17" s="105" t="s">
        <v>438</v>
      </c>
      <c r="B17" s="105" t="s">
        <v>549</v>
      </c>
      <c r="C17" s="105">
        <v>158</v>
      </c>
      <c r="D17" s="105">
        <v>38</v>
      </c>
      <c r="E17" s="105" t="s">
        <v>550</v>
      </c>
    </row>
    <row r="18" spans="1:5" x14ac:dyDescent="0.25">
      <c r="A18" s="105"/>
      <c r="B18" s="105"/>
      <c r="C18" s="105"/>
      <c r="D18" s="105"/>
      <c r="E18" s="10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6"/>
  <sheetViews>
    <sheetView workbookViewId="0">
      <selection activeCell="D26" sqref="D26"/>
    </sheetView>
  </sheetViews>
  <sheetFormatPr baseColWidth="10"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30">
        <v>43110</v>
      </c>
      <c r="B1" t="s">
        <v>453</v>
      </c>
      <c r="C1" s="47">
        <f>Rendimiento_ENTRENAMIENTO!Y2</f>
        <v>14</v>
      </c>
    </row>
    <row r="2" spans="1:5" s="52" customFormat="1" x14ac:dyDescent="0.25">
      <c r="A2" s="227" t="s">
        <v>385</v>
      </c>
      <c r="B2" s="226" t="s">
        <v>386</v>
      </c>
      <c r="C2" s="226" t="s">
        <v>387</v>
      </c>
      <c r="D2" s="226" t="s">
        <v>388</v>
      </c>
      <c r="E2" s="226" t="s">
        <v>389</v>
      </c>
    </row>
    <row r="3" spans="1:5" x14ac:dyDescent="0.25">
      <c r="A3" s="225" t="s">
        <v>399</v>
      </c>
      <c r="B3" s="105" t="s">
        <v>486</v>
      </c>
      <c r="C3" s="105">
        <v>4</v>
      </c>
      <c r="D3" s="105">
        <v>4</v>
      </c>
      <c r="E3" s="105" t="s">
        <v>485</v>
      </c>
    </row>
    <row r="4" spans="1:5" x14ac:dyDescent="0.25">
      <c r="A4" s="105" t="s">
        <v>402</v>
      </c>
      <c r="B4" s="105" t="s">
        <v>456</v>
      </c>
      <c r="C4" s="105">
        <v>7</v>
      </c>
      <c r="D4" s="105">
        <v>3</v>
      </c>
      <c r="E4" s="105" t="s">
        <v>487</v>
      </c>
    </row>
    <row r="5" spans="1:5" x14ac:dyDescent="0.25">
      <c r="A5" s="153" t="s">
        <v>405</v>
      </c>
      <c r="B5" s="153" t="s">
        <v>403</v>
      </c>
      <c r="C5" s="153">
        <v>11</v>
      </c>
      <c r="D5" s="153">
        <v>4</v>
      </c>
      <c r="E5" s="153" t="s">
        <v>514</v>
      </c>
    </row>
    <row r="6" spans="1:5" x14ac:dyDescent="0.25">
      <c r="A6" s="225" t="s">
        <v>408</v>
      </c>
      <c r="B6" s="225" t="s">
        <v>406</v>
      </c>
      <c r="C6" s="225">
        <v>16</v>
      </c>
      <c r="D6" s="225">
        <v>5</v>
      </c>
      <c r="E6" s="225" t="s">
        <v>536</v>
      </c>
    </row>
    <row r="7" spans="1:5" x14ac:dyDescent="0.25">
      <c r="A7" s="153" t="s">
        <v>411</v>
      </c>
      <c r="B7" s="153" t="s">
        <v>491</v>
      </c>
      <c r="C7" s="153">
        <v>22</v>
      </c>
      <c r="D7" s="153">
        <v>6</v>
      </c>
      <c r="E7" s="153" t="s">
        <v>570</v>
      </c>
    </row>
    <row r="8" spans="1:5" x14ac:dyDescent="0.25">
      <c r="A8" s="153" t="s">
        <v>414</v>
      </c>
      <c r="B8" s="153" t="s">
        <v>571</v>
      </c>
      <c r="C8" s="153">
        <v>28</v>
      </c>
      <c r="D8" s="153">
        <v>6</v>
      </c>
      <c r="E8" s="153" t="s">
        <v>572</v>
      </c>
    </row>
    <row r="9" spans="1:5" x14ac:dyDescent="0.25">
      <c r="A9" s="105" t="s">
        <v>417</v>
      </c>
      <c r="B9" s="105" t="s">
        <v>495</v>
      </c>
      <c r="C9" s="105">
        <v>36</v>
      </c>
      <c r="D9" s="105">
        <v>8</v>
      </c>
      <c r="E9" s="105" t="s">
        <v>573</v>
      </c>
    </row>
    <row r="10" spans="1:5" x14ac:dyDescent="0.25">
      <c r="A10" s="105" t="s">
        <v>420</v>
      </c>
      <c r="B10" s="105" t="s">
        <v>448</v>
      </c>
      <c r="C10" s="105">
        <v>44</v>
      </c>
      <c r="D10" s="105">
        <v>8</v>
      </c>
      <c r="E10" s="105" t="s">
        <v>574</v>
      </c>
    </row>
    <row r="11" spans="1:5" x14ac:dyDescent="0.25">
      <c r="A11" s="105" t="s">
        <v>423</v>
      </c>
      <c r="B11" s="105" t="s">
        <v>499</v>
      </c>
      <c r="C11" s="105">
        <v>54</v>
      </c>
      <c r="D11" s="105">
        <v>10</v>
      </c>
      <c r="E11" s="105" t="s">
        <v>575</v>
      </c>
    </row>
    <row r="12" spans="1:5" x14ac:dyDescent="0.25">
      <c r="A12" s="105" t="s">
        <v>426</v>
      </c>
      <c r="B12" s="105" t="s">
        <v>576</v>
      </c>
      <c r="C12" s="105">
        <v>65</v>
      </c>
      <c r="D12" s="105">
        <v>11</v>
      </c>
      <c r="E12" s="105" t="s">
        <v>577</v>
      </c>
    </row>
    <row r="13" spans="1:5" x14ac:dyDescent="0.25">
      <c r="A13" s="105" t="s">
        <v>429</v>
      </c>
      <c r="B13" s="105" t="s">
        <v>503</v>
      </c>
      <c r="C13" s="105">
        <v>79</v>
      </c>
      <c r="D13" s="105">
        <v>14</v>
      </c>
      <c r="E13" s="105" t="s">
        <v>578</v>
      </c>
    </row>
    <row r="14" spans="1:5" x14ac:dyDescent="0.25">
      <c r="A14" s="105" t="s">
        <v>432</v>
      </c>
      <c r="B14" s="105" t="s">
        <v>505</v>
      </c>
      <c r="C14" s="105">
        <v>96</v>
      </c>
      <c r="D14" s="105">
        <v>17</v>
      </c>
      <c r="E14" s="105" t="s">
        <v>579</v>
      </c>
    </row>
    <row r="15" spans="1:5" x14ac:dyDescent="0.25">
      <c r="A15" s="105" t="s">
        <v>435</v>
      </c>
      <c r="B15" s="105" t="s">
        <v>580</v>
      </c>
      <c r="C15" s="105">
        <v>118</v>
      </c>
      <c r="D15" s="105">
        <v>22</v>
      </c>
      <c r="E15" s="105" t="s">
        <v>581</v>
      </c>
    </row>
    <row r="16" spans="1:5" x14ac:dyDescent="0.25">
      <c r="A16" s="105" t="s">
        <v>438</v>
      </c>
      <c r="B16" s="105" t="s">
        <v>531</v>
      </c>
      <c r="C16" s="105">
        <v>155</v>
      </c>
      <c r="D16" s="105">
        <v>37</v>
      </c>
      <c r="E16" s="105" t="s">
        <v>582</v>
      </c>
    </row>
  </sheetData>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6"/>
  <sheetViews>
    <sheetView workbookViewId="0">
      <selection activeCell="B7" sqref="B7"/>
    </sheetView>
  </sheetViews>
  <sheetFormatPr baseColWidth="10"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30">
        <v>43110</v>
      </c>
      <c r="B1" t="s">
        <v>450</v>
      </c>
      <c r="C1" s="47">
        <f>Rendimiento_ENTRENAMIENTO!Y2</f>
        <v>14</v>
      </c>
    </row>
    <row r="2" spans="1:5" s="52" customFormat="1" x14ac:dyDescent="0.25">
      <c r="A2" s="227" t="s">
        <v>385</v>
      </c>
      <c r="B2" s="226" t="s">
        <v>386</v>
      </c>
      <c r="C2" s="226" t="s">
        <v>387</v>
      </c>
      <c r="D2" s="226" t="s">
        <v>388</v>
      </c>
      <c r="E2" s="226" t="s">
        <v>389</v>
      </c>
    </row>
    <row r="3" spans="1:5" x14ac:dyDescent="0.25">
      <c r="A3" s="225" t="s">
        <v>402</v>
      </c>
      <c r="B3" s="105" t="s">
        <v>486</v>
      </c>
      <c r="C3" s="105">
        <v>4</v>
      </c>
      <c r="D3" s="105">
        <v>4</v>
      </c>
      <c r="E3" s="105" t="s">
        <v>551</v>
      </c>
    </row>
    <row r="4" spans="1:5" x14ac:dyDescent="0.25">
      <c r="A4" s="105" t="s">
        <v>405</v>
      </c>
      <c r="B4" s="105" t="s">
        <v>400</v>
      </c>
      <c r="C4" s="105">
        <v>8</v>
      </c>
      <c r="D4" s="105">
        <v>4</v>
      </c>
      <c r="E4" s="105" t="s">
        <v>395</v>
      </c>
    </row>
    <row r="5" spans="1:5" x14ac:dyDescent="0.25">
      <c r="A5" s="225" t="s">
        <v>408</v>
      </c>
      <c r="B5" s="225" t="s">
        <v>535</v>
      </c>
      <c r="C5" s="225">
        <v>13</v>
      </c>
      <c r="D5" s="225">
        <v>5</v>
      </c>
      <c r="E5" s="225" t="s">
        <v>552</v>
      </c>
    </row>
    <row r="6" spans="1:5" x14ac:dyDescent="0.25">
      <c r="A6" s="153" t="s">
        <v>411</v>
      </c>
      <c r="B6" s="153" t="s">
        <v>462</v>
      </c>
      <c r="C6" s="153">
        <v>19</v>
      </c>
      <c r="D6" s="153">
        <v>6</v>
      </c>
      <c r="E6" s="153" t="s">
        <v>553</v>
      </c>
    </row>
    <row r="7" spans="1:5" x14ac:dyDescent="0.25">
      <c r="A7" s="153" t="s">
        <v>414</v>
      </c>
      <c r="B7" s="153" t="s">
        <v>444</v>
      </c>
      <c r="C7" s="153">
        <v>25</v>
      </c>
      <c r="D7" s="153">
        <v>6</v>
      </c>
      <c r="E7" s="153" t="s">
        <v>554</v>
      </c>
    </row>
    <row r="8" spans="1:5" x14ac:dyDescent="0.25">
      <c r="A8" s="153" t="s">
        <v>417</v>
      </c>
      <c r="B8" s="153" t="s">
        <v>415</v>
      </c>
      <c r="C8" s="153">
        <v>33</v>
      </c>
      <c r="D8" s="153">
        <v>8</v>
      </c>
      <c r="E8" s="153" t="s">
        <v>555</v>
      </c>
    </row>
    <row r="9" spans="1:5" x14ac:dyDescent="0.25">
      <c r="A9" s="105" t="s">
        <v>420</v>
      </c>
      <c r="B9" s="105" t="s">
        <v>556</v>
      </c>
      <c r="C9" s="105">
        <v>41</v>
      </c>
      <c r="D9" s="105">
        <v>8</v>
      </c>
      <c r="E9" s="105" t="s">
        <v>557</v>
      </c>
    </row>
    <row r="10" spans="1:5" x14ac:dyDescent="0.25">
      <c r="A10" s="105" t="s">
        <v>423</v>
      </c>
      <c r="B10" s="105" t="s">
        <v>558</v>
      </c>
      <c r="C10" s="105">
        <v>51</v>
      </c>
      <c r="D10" s="105">
        <v>10</v>
      </c>
      <c r="E10" s="105" t="s">
        <v>559</v>
      </c>
    </row>
    <row r="11" spans="1:5" x14ac:dyDescent="0.25">
      <c r="A11" s="105" t="s">
        <v>426</v>
      </c>
      <c r="B11" s="105" t="s">
        <v>560</v>
      </c>
      <c r="C11" s="105">
        <v>62</v>
      </c>
      <c r="D11" s="105">
        <v>11</v>
      </c>
      <c r="E11" s="105" t="s">
        <v>561</v>
      </c>
    </row>
    <row r="12" spans="1:5" x14ac:dyDescent="0.25">
      <c r="A12" s="105" t="s">
        <v>429</v>
      </c>
      <c r="B12" s="105" t="s">
        <v>562</v>
      </c>
      <c r="C12" s="105">
        <v>75</v>
      </c>
      <c r="D12" s="105">
        <v>13</v>
      </c>
      <c r="E12" s="105" t="s">
        <v>563</v>
      </c>
    </row>
    <row r="13" spans="1:5" x14ac:dyDescent="0.25">
      <c r="A13" s="105" t="s">
        <v>432</v>
      </c>
      <c r="B13" s="105" t="s">
        <v>564</v>
      </c>
      <c r="C13" s="105">
        <v>92</v>
      </c>
      <c r="D13" s="105">
        <v>17</v>
      </c>
      <c r="E13" s="105" t="s">
        <v>565</v>
      </c>
    </row>
    <row r="14" spans="1:5" x14ac:dyDescent="0.25">
      <c r="A14" s="105" t="s">
        <v>435</v>
      </c>
      <c r="B14" s="105" t="s">
        <v>566</v>
      </c>
      <c r="C14" s="105">
        <v>114</v>
      </c>
      <c r="D14" s="105">
        <v>22</v>
      </c>
      <c r="E14" s="105" t="s">
        <v>567</v>
      </c>
    </row>
    <row r="15" spans="1:5" x14ac:dyDescent="0.25">
      <c r="A15" s="105" t="s">
        <v>438</v>
      </c>
      <c r="B15" s="105" t="s">
        <v>568</v>
      </c>
      <c r="C15" s="105">
        <v>151</v>
      </c>
      <c r="D15" s="105">
        <v>37</v>
      </c>
      <c r="E15" s="105" t="s">
        <v>569</v>
      </c>
    </row>
    <row r="16" spans="1:5" x14ac:dyDescent="0.25">
      <c r="A16" s="105"/>
      <c r="B16" s="105"/>
      <c r="C16" s="105"/>
      <c r="D16" s="105"/>
      <c r="E16" s="105"/>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1:N17"/>
  <sheetViews>
    <sheetView workbookViewId="0">
      <selection activeCell="D9" sqref="D9"/>
    </sheetView>
  </sheetViews>
  <sheetFormatPr baseColWidth="10" defaultColWidth="11.42578125" defaultRowHeight="15" x14ac:dyDescent="0.25"/>
  <cols>
    <col min="1" max="1" width="13.42578125" bestFit="1" customWidth="1"/>
  </cols>
  <sheetData>
    <row r="1" spans="1:14" x14ac:dyDescent="0.25">
      <c r="A1" s="10" t="s">
        <v>15</v>
      </c>
      <c r="B1">
        <v>0</v>
      </c>
      <c r="C1">
        <f>B1</f>
        <v>0</v>
      </c>
      <c r="N1" s="31" t="s">
        <v>51</v>
      </c>
    </row>
    <row r="2" spans="1:14" x14ac:dyDescent="0.25">
      <c r="A2" s="10" t="s">
        <v>16</v>
      </c>
      <c r="B2">
        <v>0</v>
      </c>
      <c r="C2">
        <v>0</v>
      </c>
      <c r="N2" s="31" t="s">
        <v>52</v>
      </c>
    </row>
    <row r="3" spans="1:14" x14ac:dyDescent="0.25">
      <c r="A3" s="10" t="s">
        <v>17</v>
      </c>
      <c r="B3">
        <v>22460</v>
      </c>
      <c r="C3">
        <v>32580</v>
      </c>
      <c r="D3">
        <v>32580</v>
      </c>
      <c r="N3" s="31" t="s">
        <v>53</v>
      </c>
    </row>
    <row r="4" spans="1:14" x14ac:dyDescent="0.25">
      <c r="A4" s="10" t="s">
        <v>18</v>
      </c>
      <c r="B4">
        <v>2235</v>
      </c>
      <c r="C4">
        <f>B4</f>
        <v>2235</v>
      </c>
      <c r="N4" s="31" t="s">
        <v>54</v>
      </c>
    </row>
    <row r="5" spans="1:14" x14ac:dyDescent="0.25">
      <c r="A5" s="10" t="s">
        <v>19</v>
      </c>
      <c r="B5">
        <v>515</v>
      </c>
      <c r="C5">
        <v>515</v>
      </c>
      <c r="N5" s="31" t="s">
        <v>55</v>
      </c>
    </row>
    <row r="6" spans="1:14" x14ac:dyDescent="0.25">
      <c r="A6" s="10" t="s">
        <v>20</v>
      </c>
      <c r="B6">
        <v>405</v>
      </c>
      <c r="C6">
        <v>405</v>
      </c>
      <c r="N6" s="31" t="s">
        <v>56</v>
      </c>
    </row>
    <row r="7" spans="1:14" x14ac:dyDescent="0.25">
      <c r="A7" s="34" t="s">
        <v>47</v>
      </c>
      <c r="B7" s="36">
        <v>8.0000000000000002E-3</v>
      </c>
      <c r="C7" s="118">
        <f>B7</f>
        <v>8.0000000000000002E-3</v>
      </c>
      <c r="N7" s="31" t="s">
        <v>57</v>
      </c>
    </row>
    <row r="8" spans="1:14" x14ac:dyDescent="0.25">
      <c r="N8" s="31" t="s">
        <v>58</v>
      </c>
    </row>
    <row r="9" spans="1:14" x14ac:dyDescent="0.25">
      <c r="A9" s="35" t="s">
        <v>68</v>
      </c>
      <c r="B9" s="33">
        <f>SUM(B1:B6)*(1+B7)</f>
        <v>25819.920000000002</v>
      </c>
      <c r="C9" s="33">
        <f>SUM(C1:C6)*(1+C7)</f>
        <v>36020.879999999997</v>
      </c>
      <c r="N9" s="31" t="s">
        <v>59</v>
      </c>
    </row>
    <row r="10" spans="1:14" x14ac:dyDescent="0.25">
      <c r="A10" s="35" t="s">
        <v>69</v>
      </c>
      <c r="B10" s="33">
        <f>B9*1.2</f>
        <v>30983.904000000002</v>
      </c>
      <c r="C10" s="33">
        <f>C9*1.2</f>
        <v>43225.055999999997</v>
      </c>
      <c r="N10" s="31" t="s">
        <v>60</v>
      </c>
    </row>
    <row r="11" spans="1:14" x14ac:dyDescent="0.25">
      <c r="N11" s="31" t="s">
        <v>61</v>
      </c>
    </row>
    <row r="12" spans="1:14" x14ac:dyDescent="0.25">
      <c r="N12" s="31" t="s">
        <v>62</v>
      </c>
    </row>
    <row r="13" spans="1:14" x14ac:dyDescent="0.25">
      <c r="N13" s="31" t="s">
        <v>63</v>
      </c>
    </row>
    <row r="14" spans="1:14" x14ac:dyDescent="0.25">
      <c r="C14" s="37">
        <f>D3-B3</f>
        <v>10120</v>
      </c>
      <c r="N14" s="31" t="s">
        <v>64</v>
      </c>
    </row>
    <row r="15" spans="1:14" x14ac:dyDescent="0.25">
      <c r="C15">
        <f>(C3-B3)</f>
        <v>10120</v>
      </c>
      <c r="N15" s="31" t="s">
        <v>65</v>
      </c>
    </row>
    <row r="16" spans="1:14" x14ac:dyDescent="0.25">
      <c r="C16" s="119">
        <f>C15/C14</f>
        <v>1</v>
      </c>
      <c r="N16" s="31" t="s">
        <v>66</v>
      </c>
    </row>
    <row r="17" spans="14:14" x14ac:dyDescent="0.25">
      <c r="N17" s="31" t="s">
        <v>67</v>
      </c>
    </row>
  </sheetData>
  <pageMargins left="0.7" right="0.7" top="0.75" bottom="0.75" header="0.3" footer="0.3"/>
  <pageSetup paperSize="9" scale="85" fitToWidth="0"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Y24"/>
  <sheetViews>
    <sheetView workbookViewId="0">
      <selection activeCell="N9" sqref="N9"/>
    </sheetView>
  </sheetViews>
  <sheetFormatPr baseColWidth="10" defaultColWidth="11.42578125" defaultRowHeight="15" x14ac:dyDescent="0.25"/>
  <cols>
    <col min="1" max="1" width="11.5703125" bestFit="1" customWidth="1"/>
    <col min="2" max="2" width="9.42578125" bestFit="1" customWidth="1"/>
    <col min="3" max="3" width="4.5703125" customWidth="1"/>
    <col min="4" max="4" width="10.85546875" style="65" bestFit="1" customWidth="1"/>
    <col min="5" max="5" width="10.42578125" style="65" bestFit="1" customWidth="1"/>
    <col min="6" max="6" width="15" style="65" bestFit="1" customWidth="1"/>
    <col min="7" max="7" width="6.7109375" style="65" bestFit="1" customWidth="1"/>
    <col min="8" max="8" width="7.140625" style="65" bestFit="1" customWidth="1"/>
    <col min="9" max="9" width="7.7109375" style="65" bestFit="1" customWidth="1"/>
    <col min="10" max="10" width="9.28515625" style="65" bestFit="1" customWidth="1"/>
    <col min="11" max="11" width="10.42578125" bestFit="1" customWidth="1"/>
    <col min="12" max="12" width="9.85546875" bestFit="1" customWidth="1"/>
    <col min="13" max="13" width="8" bestFit="1" customWidth="1"/>
    <col min="14" max="14" width="8.140625" bestFit="1" customWidth="1"/>
    <col min="15" max="15" width="5" customWidth="1"/>
    <col min="16" max="16" width="5.7109375" bestFit="1" customWidth="1"/>
    <col min="17" max="17" width="17" bestFit="1" customWidth="1"/>
    <col min="18" max="18" width="9.28515625" bestFit="1" customWidth="1"/>
    <col min="19" max="19" width="10.7109375" bestFit="1" customWidth="1"/>
    <col min="20" max="20" width="9.42578125" bestFit="1" customWidth="1"/>
    <col min="21" max="21" width="11" bestFit="1" customWidth="1"/>
    <col min="22" max="22" width="5.28515625" customWidth="1"/>
  </cols>
  <sheetData>
    <row r="1" spans="1:25" s="52" customFormat="1" x14ac:dyDescent="0.25">
      <c r="A1" s="53" t="s">
        <v>101</v>
      </c>
      <c r="B1" s="53" t="s">
        <v>102</v>
      </c>
      <c r="D1" s="66" t="s">
        <v>101</v>
      </c>
      <c r="E1" s="66" t="s">
        <v>115</v>
      </c>
      <c r="F1" s="66" t="s">
        <v>116</v>
      </c>
      <c r="G1" s="66" t="s">
        <v>117</v>
      </c>
      <c r="H1" s="66" t="s">
        <v>118</v>
      </c>
      <c r="I1" s="66" t="s">
        <v>172</v>
      </c>
      <c r="J1" s="66" t="s">
        <v>111</v>
      </c>
      <c r="K1" s="52" t="s">
        <v>173</v>
      </c>
      <c r="L1" s="52" t="s">
        <v>269</v>
      </c>
      <c r="M1" s="52" t="s">
        <v>270</v>
      </c>
      <c r="N1" s="52" t="s">
        <v>271</v>
      </c>
      <c r="P1" s="53" t="s">
        <v>109</v>
      </c>
      <c r="Q1" s="53" t="s">
        <v>110</v>
      </c>
      <c r="R1" s="53" t="s">
        <v>111</v>
      </c>
      <c r="S1" s="53" t="s">
        <v>112</v>
      </c>
      <c r="T1" s="53" t="s">
        <v>113</v>
      </c>
      <c r="U1" s="53" t="s">
        <v>114</v>
      </c>
    </row>
    <row r="2" spans="1:25" x14ac:dyDescent="0.25">
      <c r="A2" s="57" t="s">
        <v>103</v>
      </c>
      <c r="B2" s="58">
        <v>1.0529999999999999</v>
      </c>
      <c r="D2" s="175">
        <v>1</v>
      </c>
      <c r="E2" s="175">
        <v>1</v>
      </c>
      <c r="F2" s="175">
        <v>0</v>
      </c>
      <c r="G2" s="175">
        <v>0.3</v>
      </c>
      <c r="H2" s="176">
        <f t="shared" ref="H2:H9" si="0">D2+F2-G2</f>
        <v>0.7</v>
      </c>
      <c r="I2" s="127">
        <v>5</v>
      </c>
      <c r="J2" s="127">
        <f>40-37.5+0</f>
        <v>2.5</v>
      </c>
      <c r="K2" s="177">
        <f>16320*3</f>
        <v>48960</v>
      </c>
      <c r="L2" s="178">
        <f t="shared" ref="L2:L9" si="1">H2-$H$4</f>
        <v>-0.48799999999999999</v>
      </c>
      <c r="M2" s="179">
        <f t="shared" ref="M2:M9" si="2">L2*16</f>
        <v>-7.8079999999999998</v>
      </c>
      <c r="N2" s="180">
        <f t="shared" ref="N2:N9" si="3">M2*7</f>
        <v>-54.655999999999999</v>
      </c>
      <c r="O2" s="52"/>
      <c r="P2" s="54">
        <v>10</v>
      </c>
      <c r="Q2" s="55">
        <v>35</v>
      </c>
      <c r="R2" s="55">
        <v>25</v>
      </c>
      <c r="S2" s="56">
        <v>0.33333333333333331</v>
      </c>
      <c r="T2" s="61">
        <v>32640.000000000004</v>
      </c>
      <c r="U2" s="60">
        <v>3264.0000000000005</v>
      </c>
      <c r="W2" s="52"/>
      <c r="X2" s="52"/>
      <c r="Y2" s="52"/>
    </row>
    <row r="3" spans="1:25" x14ac:dyDescent="0.25">
      <c r="A3" s="57" t="s">
        <v>104</v>
      </c>
      <c r="B3" s="59">
        <v>1</v>
      </c>
      <c r="D3" s="168">
        <v>1.0529999999999999</v>
      </c>
      <c r="E3" s="165">
        <v>1</v>
      </c>
      <c r="F3" s="168">
        <v>0.17499999999999999</v>
      </c>
      <c r="G3" s="165">
        <v>0.3</v>
      </c>
      <c r="H3" s="171">
        <f t="shared" si="0"/>
        <v>0.92799999999999994</v>
      </c>
      <c r="I3" s="166">
        <v>5</v>
      </c>
      <c r="J3" s="166">
        <f>40-37.5+25</f>
        <v>27.5</v>
      </c>
      <c r="K3" s="167">
        <f t="shared" ref="K3:K12" si="4">16320*3</f>
        <v>48960</v>
      </c>
      <c r="L3" s="172">
        <f t="shared" si="1"/>
        <v>-0.26</v>
      </c>
      <c r="M3" s="173">
        <f t="shared" si="2"/>
        <v>-4.16</v>
      </c>
      <c r="N3" s="174">
        <f t="shared" si="3"/>
        <v>-29.12</v>
      </c>
      <c r="O3" s="52"/>
      <c r="P3" s="54">
        <v>9</v>
      </c>
      <c r="Q3" s="55">
        <v>31.5</v>
      </c>
      <c r="R3" s="55">
        <v>22.5</v>
      </c>
      <c r="S3" s="56">
        <v>0.3</v>
      </c>
      <c r="T3" s="61">
        <v>24480</v>
      </c>
      <c r="U3" s="60">
        <v>2720</v>
      </c>
      <c r="W3" s="52"/>
      <c r="X3" s="52"/>
      <c r="Y3" s="52"/>
    </row>
    <row r="4" spans="1:25" x14ac:dyDescent="0.25">
      <c r="A4" s="57" t="s">
        <v>105</v>
      </c>
      <c r="B4" s="58">
        <v>0.90900000000000003</v>
      </c>
      <c r="D4" s="181">
        <v>1</v>
      </c>
      <c r="E4" s="181">
        <v>1</v>
      </c>
      <c r="F4" s="182">
        <v>0.28799999999999998</v>
      </c>
      <c r="G4" s="181">
        <v>0.1</v>
      </c>
      <c r="H4" s="183">
        <f t="shared" si="0"/>
        <v>1.1879999999999999</v>
      </c>
      <c r="I4" s="184">
        <v>5</v>
      </c>
      <c r="J4" s="184">
        <f t="shared" ref="J4:J9" si="5">40-37.5+25</f>
        <v>27.5</v>
      </c>
      <c r="K4" s="185">
        <f t="shared" si="4"/>
        <v>48960</v>
      </c>
      <c r="L4" s="186">
        <f t="shared" si="1"/>
        <v>0</v>
      </c>
      <c r="M4" s="187">
        <f t="shared" si="2"/>
        <v>0</v>
      </c>
      <c r="N4" s="188">
        <f t="shared" si="3"/>
        <v>0</v>
      </c>
      <c r="O4" s="52"/>
      <c r="P4" s="54">
        <v>8</v>
      </c>
      <c r="Q4" s="55">
        <v>28</v>
      </c>
      <c r="R4" s="55">
        <v>20</v>
      </c>
      <c r="S4" s="56">
        <v>0.26666666666666666</v>
      </c>
      <c r="T4" s="61">
        <v>16320.000000000002</v>
      </c>
      <c r="U4" s="60">
        <v>2040.0000000000002</v>
      </c>
      <c r="W4" s="52"/>
      <c r="X4" s="52"/>
      <c r="Y4" s="52"/>
    </row>
    <row r="5" spans="1:25" x14ac:dyDescent="0.25">
      <c r="A5" s="57" t="s">
        <v>106</v>
      </c>
      <c r="B5" s="58">
        <v>0.83299999999999996</v>
      </c>
      <c r="D5" s="67">
        <v>1</v>
      </c>
      <c r="E5" s="67">
        <v>1</v>
      </c>
      <c r="F5" s="164">
        <v>0.17499999999999999</v>
      </c>
      <c r="G5" s="67">
        <v>0.3</v>
      </c>
      <c r="H5" s="169">
        <f t="shared" si="0"/>
        <v>0.875</v>
      </c>
      <c r="I5" s="163">
        <v>5</v>
      </c>
      <c r="J5" s="163">
        <f t="shared" si="5"/>
        <v>27.5</v>
      </c>
      <c r="K5" s="68">
        <f t="shared" si="4"/>
        <v>48960</v>
      </c>
      <c r="L5" s="170">
        <f t="shared" si="1"/>
        <v>-0.31299999999999994</v>
      </c>
      <c r="M5" s="37">
        <f t="shared" si="2"/>
        <v>-5.0079999999999991</v>
      </c>
      <c r="N5" s="32">
        <f t="shared" si="3"/>
        <v>-35.055999999999997</v>
      </c>
      <c r="O5" s="52"/>
      <c r="P5" s="54">
        <v>7</v>
      </c>
      <c r="Q5" s="55">
        <v>24.5</v>
      </c>
      <c r="R5" s="55">
        <v>17.5</v>
      </c>
      <c r="S5" s="56">
        <v>0.23333333333333334</v>
      </c>
      <c r="T5" s="61">
        <v>12240</v>
      </c>
      <c r="U5" s="60">
        <v>1748.5714285714287</v>
      </c>
      <c r="W5" s="52"/>
      <c r="X5" s="52"/>
      <c r="Y5" s="52"/>
    </row>
    <row r="6" spans="1:25" x14ac:dyDescent="0.25">
      <c r="A6" s="57" t="s">
        <v>107</v>
      </c>
      <c r="B6" s="58">
        <v>0.76900000000000002</v>
      </c>
      <c r="D6" s="164">
        <v>1.0529999999999999</v>
      </c>
      <c r="E6" s="67">
        <v>1</v>
      </c>
      <c r="F6" s="67">
        <v>0.35</v>
      </c>
      <c r="G6" s="67">
        <v>0.05</v>
      </c>
      <c r="H6" s="169">
        <f t="shared" si="0"/>
        <v>1.353</v>
      </c>
      <c r="I6" s="163">
        <v>5</v>
      </c>
      <c r="J6" s="163">
        <f t="shared" si="5"/>
        <v>27.5</v>
      </c>
      <c r="K6" s="68">
        <f t="shared" si="4"/>
        <v>48960</v>
      </c>
      <c r="L6" s="170">
        <f t="shared" si="1"/>
        <v>0.16500000000000004</v>
      </c>
      <c r="M6" s="37">
        <f t="shared" si="2"/>
        <v>2.6400000000000006</v>
      </c>
      <c r="N6" s="32">
        <f t="shared" si="3"/>
        <v>18.480000000000004</v>
      </c>
      <c r="O6" s="52"/>
      <c r="P6" s="54">
        <v>6</v>
      </c>
      <c r="Q6" s="55">
        <v>21</v>
      </c>
      <c r="R6" s="55">
        <v>15</v>
      </c>
      <c r="S6" s="56">
        <v>0.2</v>
      </c>
      <c r="T6" s="61">
        <v>8160.0000000000009</v>
      </c>
      <c r="U6" s="60">
        <v>1360.0000000000002</v>
      </c>
      <c r="W6" s="52"/>
      <c r="X6" s="52"/>
      <c r="Y6" s="52"/>
    </row>
    <row r="7" spans="1:25" x14ac:dyDescent="0.25">
      <c r="A7" s="57" t="s">
        <v>108</v>
      </c>
      <c r="B7" s="58">
        <v>0.71399999999999997</v>
      </c>
      <c r="D7" s="67">
        <v>1</v>
      </c>
      <c r="E7" s="67">
        <v>1</v>
      </c>
      <c r="F7" s="67">
        <v>0.35</v>
      </c>
      <c r="G7" s="67">
        <v>0.1</v>
      </c>
      <c r="H7" s="169">
        <f t="shared" si="0"/>
        <v>1.25</v>
      </c>
      <c r="I7" s="163">
        <v>5</v>
      </c>
      <c r="J7" s="163">
        <f t="shared" si="5"/>
        <v>27.5</v>
      </c>
      <c r="K7" s="68">
        <f t="shared" si="4"/>
        <v>48960</v>
      </c>
      <c r="L7" s="170">
        <f t="shared" si="1"/>
        <v>6.2000000000000055E-2</v>
      </c>
      <c r="M7" s="37">
        <f t="shared" si="2"/>
        <v>0.99200000000000088</v>
      </c>
      <c r="N7" s="32">
        <f t="shared" si="3"/>
        <v>6.9440000000000062</v>
      </c>
      <c r="O7" s="52"/>
      <c r="P7" s="54">
        <v>5</v>
      </c>
      <c r="Q7" s="55">
        <v>17.5</v>
      </c>
      <c r="R7" s="55">
        <v>12.5</v>
      </c>
      <c r="S7" s="56">
        <v>0.16666666666666666</v>
      </c>
      <c r="T7" s="61">
        <v>16320.000000000002</v>
      </c>
      <c r="U7" s="60">
        <v>3264.0000000000005</v>
      </c>
      <c r="W7" s="52"/>
      <c r="X7" s="52"/>
      <c r="Y7" s="52"/>
    </row>
    <row r="8" spans="1:25" x14ac:dyDescent="0.25">
      <c r="D8" s="164">
        <v>1.0529999999999999</v>
      </c>
      <c r="E8" s="67">
        <v>1</v>
      </c>
      <c r="F8" s="67">
        <v>0.35</v>
      </c>
      <c r="G8" s="67">
        <v>0.1</v>
      </c>
      <c r="H8" s="169">
        <f t="shared" si="0"/>
        <v>1.3029999999999999</v>
      </c>
      <c r="I8" s="163">
        <v>5</v>
      </c>
      <c r="J8" s="163">
        <f t="shared" si="5"/>
        <v>27.5</v>
      </c>
      <c r="K8" s="68">
        <f t="shared" si="4"/>
        <v>48960</v>
      </c>
      <c r="L8" s="170">
        <f t="shared" si="1"/>
        <v>0.11499999999999999</v>
      </c>
      <c r="M8" s="37">
        <f t="shared" si="2"/>
        <v>1.8399999999999999</v>
      </c>
      <c r="N8" s="32">
        <f t="shared" si="3"/>
        <v>12.879999999999999</v>
      </c>
      <c r="O8" s="52"/>
      <c r="P8" s="54">
        <v>4</v>
      </c>
      <c r="Q8" s="55">
        <v>14</v>
      </c>
      <c r="R8" s="55">
        <v>10</v>
      </c>
      <c r="S8" s="56">
        <v>0.13333333333333333</v>
      </c>
      <c r="T8" s="61">
        <v>8160.0000000000009</v>
      </c>
      <c r="U8" s="60">
        <v>2040.0000000000002</v>
      </c>
      <c r="W8" s="52"/>
      <c r="X8" s="52"/>
      <c r="Y8" s="52"/>
    </row>
    <row r="9" spans="1:25" x14ac:dyDescent="0.25">
      <c r="D9" s="67">
        <v>1</v>
      </c>
      <c r="E9" s="67">
        <v>1</v>
      </c>
      <c r="F9" s="67">
        <v>0.35</v>
      </c>
      <c r="G9" s="67">
        <v>0.05</v>
      </c>
      <c r="H9" s="169">
        <f t="shared" si="0"/>
        <v>1.3</v>
      </c>
      <c r="I9" s="189">
        <v>5</v>
      </c>
      <c r="J9" s="189">
        <f t="shared" si="5"/>
        <v>27.5</v>
      </c>
      <c r="K9" s="68">
        <f t="shared" si="4"/>
        <v>48960</v>
      </c>
      <c r="L9" s="170">
        <f t="shared" si="1"/>
        <v>0.1120000000000001</v>
      </c>
      <c r="M9" s="37">
        <f t="shared" si="2"/>
        <v>1.7920000000000016</v>
      </c>
      <c r="N9" s="32">
        <f t="shared" si="3"/>
        <v>12.544000000000011</v>
      </c>
      <c r="O9" s="52"/>
      <c r="P9" s="54">
        <v>3</v>
      </c>
      <c r="Q9" s="55">
        <v>10.5</v>
      </c>
      <c r="R9" s="55">
        <v>7.5</v>
      </c>
      <c r="S9" s="56">
        <v>0.1</v>
      </c>
      <c r="T9" s="61">
        <v>4080.0000000000005</v>
      </c>
      <c r="U9" s="60">
        <v>1360.0000000000002</v>
      </c>
      <c r="W9" s="52"/>
      <c r="X9" s="52"/>
      <c r="Y9" s="52"/>
    </row>
    <row r="10" spans="1:25" x14ac:dyDescent="0.25">
      <c r="D10" s="163"/>
      <c r="E10" s="67"/>
      <c r="F10" s="163"/>
      <c r="G10" s="67"/>
      <c r="H10" s="169"/>
      <c r="I10" s="163">
        <v>5</v>
      </c>
      <c r="J10" s="163">
        <f>40-37.5+25</f>
        <v>27.5</v>
      </c>
      <c r="K10" s="68">
        <f t="shared" si="4"/>
        <v>48960</v>
      </c>
      <c r="P10" s="54">
        <v>2</v>
      </c>
      <c r="Q10" s="55">
        <v>7</v>
      </c>
      <c r="R10" s="55">
        <v>5</v>
      </c>
      <c r="S10" s="56">
        <v>6.6666666666666666E-2</v>
      </c>
      <c r="T10" s="61">
        <v>2040.0000000000002</v>
      </c>
      <c r="U10" s="60">
        <v>1020.0000000000001</v>
      </c>
    </row>
    <row r="11" spans="1:25" x14ac:dyDescent="0.25">
      <c r="D11" s="163"/>
      <c r="E11" s="67"/>
      <c r="F11" s="163"/>
      <c r="G11" s="67"/>
      <c r="H11" s="169"/>
      <c r="I11" s="163">
        <v>5</v>
      </c>
      <c r="J11" s="163">
        <f>40-37.5+25</f>
        <v>27.5</v>
      </c>
      <c r="K11" s="68">
        <f t="shared" si="4"/>
        <v>48960</v>
      </c>
      <c r="P11" s="54">
        <v>1</v>
      </c>
      <c r="Q11" s="55">
        <v>3.5</v>
      </c>
      <c r="R11" s="55">
        <v>2.5</v>
      </c>
      <c r="S11" s="56">
        <v>3.3333333333333333E-2</v>
      </c>
      <c r="T11" s="61">
        <v>1020.0000000000001</v>
      </c>
      <c r="U11" s="60">
        <v>1020.0000000000001</v>
      </c>
    </row>
    <row r="12" spans="1:25" x14ac:dyDescent="0.25">
      <c r="D12" s="163"/>
      <c r="E12" s="67"/>
      <c r="F12" s="163"/>
      <c r="G12" s="67"/>
      <c r="H12" s="169"/>
      <c r="I12" s="163">
        <v>5</v>
      </c>
      <c r="J12" s="163">
        <f>40-37.5+25</f>
        <v>27.5</v>
      </c>
      <c r="K12" s="68">
        <f t="shared" si="4"/>
        <v>48960</v>
      </c>
    </row>
    <row r="14" spans="1:25" x14ac:dyDescent="0.25">
      <c r="H14" s="39"/>
      <c r="P14" s="53" t="s">
        <v>109</v>
      </c>
      <c r="Q14" s="53" t="s">
        <v>110</v>
      </c>
      <c r="R14" s="53" t="s">
        <v>111</v>
      </c>
      <c r="S14" s="53" t="s">
        <v>112</v>
      </c>
      <c r="T14" s="53" t="s">
        <v>113</v>
      </c>
      <c r="U14" s="53" t="s">
        <v>114</v>
      </c>
    </row>
    <row r="15" spans="1:25" x14ac:dyDescent="0.25">
      <c r="G15" s="46"/>
      <c r="P15" s="57">
        <v>15</v>
      </c>
      <c r="Q15" s="62">
        <v>48</v>
      </c>
      <c r="R15" s="62">
        <v>37.5</v>
      </c>
      <c r="S15" s="63">
        <v>0.5</v>
      </c>
      <c r="T15" s="64">
        <v>72000</v>
      </c>
      <c r="U15" s="64">
        <v>4800</v>
      </c>
    </row>
    <row r="16" spans="1:25" x14ac:dyDescent="0.25">
      <c r="H16" s="39"/>
      <c r="J16" s="39"/>
      <c r="K16" s="39"/>
      <c r="P16" s="57">
        <v>12</v>
      </c>
      <c r="Q16" s="62">
        <v>38.400000000000006</v>
      </c>
      <c r="R16" s="62">
        <v>30</v>
      </c>
      <c r="S16" s="63">
        <v>0.4</v>
      </c>
      <c r="T16" s="64">
        <v>36000</v>
      </c>
      <c r="U16" s="64">
        <v>3000</v>
      </c>
    </row>
    <row r="17" spans="2:21" x14ac:dyDescent="0.25">
      <c r="G17" s="163"/>
      <c r="H17" s="39"/>
      <c r="I17" s="163"/>
      <c r="J17" s="39"/>
      <c r="K17" s="39"/>
      <c r="P17" s="57">
        <v>10</v>
      </c>
      <c r="Q17" s="57">
        <f>3.2*10</f>
        <v>32</v>
      </c>
      <c r="R17" s="62">
        <f>30/12*10</f>
        <v>25</v>
      </c>
      <c r="S17" s="63">
        <f>0.4/12*10</f>
        <v>0.33333333333333331</v>
      </c>
      <c r="T17" s="64">
        <v>48000</v>
      </c>
      <c r="U17" s="64">
        <f>T17/P17</f>
        <v>4800</v>
      </c>
    </row>
    <row r="18" spans="2:21" x14ac:dyDescent="0.25">
      <c r="G18" s="163"/>
      <c r="H18" s="39"/>
      <c r="I18" s="163"/>
      <c r="J18" s="39"/>
      <c r="K18" s="39"/>
      <c r="P18" s="57">
        <v>8</v>
      </c>
      <c r="Q18" s="57">
        <f>3.2*8</f>
        <v>25.6</v>
      </c>
      <c r="R18" s="62">
        <f>30/12*8</f>
        <v>20</v>
      </c>
      <c r="S18" s="63">
        <f>0.4/12*8</f>
        <v>0.26666666666666666</v>
      </c>
      <c r="T18" s="64">
        <v>24000</v>
      </c>
      <c r="U18" s="64">
        <f>T18/P18</f>
        <v>3000</v>
      </c>
    </row>
    <row r="19" spans="2:21" x14ac:dyDescent="0.25">
      <c r="G19" s="163"/>
      <c r="H19" s="39"/>
      <c r="I19" s="163"/>
      <c r="J19" s="39"/>
      <c r="K19" s="39"/>
    </row>
    <row r="20" spans="2:21" x14ac:dyDescent="0.25">
      <c r="G20" s="163"/>
      <c r="H20" s="39"/>
      <c r="I20" s="163"/>
      <c r="J20" s="39"/>
      <c r="K20" s="39"/>
    </row>
    <row r="23" spans="2:21" x14ac:dyDescent="0.25">
      <c r="J23" s="163"/>
    </row>
    <row r="24" spans="2:21" x14ac:dyDescent="0.25">
      <c r="B24" s="37"/>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AT165"/>
  <sheetViews>
    <sheetView topLeftCell="A43" workbookViewId="0">
      <selection activeCell="AC38" sqref="AC38"/>
    </sheetView>
  </sheetViews>
  <sheetFormatPr baseColWidth="10" defaultColWidth="11.42578125" defaultRowHeight="15" x14ac:dyDescent="0.25"/>
  <cols>
    <col min="1" max="1" width="6.140625" style="65" customWidth="1"/>
    <col min="2" max="2" width="11.5703125" style="65" customWidth="1"/>
    <col min="3" max="4" width="4.5703125" bestFit="1" customWidth="1"/>
    <col min="5" max="5" width="5.7109375" bestFit="1" customWidth="1"/>
    <col min="6" max="8" width="4.5703125" bestFit="1" customWidth="1"/>
    <col min="9" max="10" width="3.5703125" bestFit="1" customWidth="1"/>
    <col min="11" max="11" width="4.5703125" bestFit="1" customWidth="1"/>
    <col min="12" max="12" width="3.5703125" bestFit="1" customWidth="1"/>
    <col min="13" max="13" width="7.28515625" bestFit="1" customWidth="1"/>
    <col min="14" max="14" width="5.5703125" bestFit="1" customWidth="1"/>
    <col min="15" max="15" width="5.7109375" bestFit="1" customWidth="1"/>
    <col min="16" max="16" width="5.28515625" bestFit="1" customWidth="1"/>
    <col min="17" max="17" width="5.5703125" bestFit="1" customWidth="1"/>
    <col min="18" max="18" width="5.42578125" bestFit="1" customWidth="1"/>
    <col min="19" max="20" width="5.7109375" bestFit="1" customWidth="1"/>
    <col min="21" max="21" width="9.140625" bestFit="1" customWidth="1"/>
    <col min="23" max="23" width="4.5703125" bestFit="1" customWidth="1"/>
    <col min="24" max="24" width="6" bestFit="1" customWidth="1"/>
    <col min="25" max="27" width="4.5703125" bestFit="1" customWidth="1"/>
    <col min="28" max="29" width="3.5703125" bestFit="1" customWidth="1"/>
    <col min="30" max="31" width="4.5703125" bestFit="1" customWidth="1"/>
    <col min="32" max="32" width="7.28515625" bestFit="1" customWidth="1"/>
    <col min="33" max="33" width="5.5703125" bestFit="1" customWidth="1"/>
    <col min="34" max="34" width="5.7109375" bestFit="1" customWidth="1"/>
    <col min="35" max="35" width="5.28515625" bestFit="1" customWidth="1"/>
    <col min="36" max="36" width="5.5703125" bestFit="1" customWidth="1"/>
    <col min="37" max="37" width="5.42578125" bestFit="1" customWidth="1"/>
    <col min="38" max="39" width="5.7109375" bestFit="1" customWidth="1"/>
    <col min="40" max="40" width="9.140625" bestFit="1" customWidth="1"/>
    <col min="42" max="42" width="5.140625" bestFit="1" customWidth="1"/>
    <col min="43" max="43" width="4" bestFit="1" customWidth="1"/>
    <col min="44" max="44" width="4.28515625" bestFit="1" customWidth="1"/>
    <col min="45" max="46" width="4" bestFit="1" customWidth="1"/>
  </cols>
  <sheetData>
    <row r="1" spans="1:40" x14ac:dyDescent="0.25">
      <c r="A1" t="s">
        <v>310</v>
      </c>
      <c r="B1"/>
    </row>
    <row r="2" spans="1:40" x14ac:dyDescent="0.25">
      <c r="A2"/>
      <c r="B2" t="s">
        <v>311</v>
      </c>
    </row>
    <row r="3" spans="1:40" x14ac:dyDescent="0.25">
      <c r="A3" t="s">
        <v>312</v>
      </c>
      <c r="B3"/>
    </row>
    <row r="4" spans="1:40" x14ac:dyDescent="0.25">
      <c r="A4"/>
      <c r="B4" t="s">
        <v>313</v>
      </c>
    </row>
    <row r="5" spans="1:40" x14ac:dyDescent="0.25">
      <c r="A5"/>
      <c r="B5" t="s">
        <v>314</v>
      </c>
    </row>
    <row r="6" spans="1:40" x14ac:dyDescent="0.25">
      <c r="A6" t="s">
        <v>315</v>
      </c>
      <c r="B6"/>
    </row>
    <row r="7" spans="1:40" x14ac:dyDescent="0.25">
      <c r="A7"/>
      <c r="B7" t="s">
        <v>316</v>
      </c>
      <c r="X7">
        <f>X8-112</f>
        <v>80.5</v>
      </c>
    </row>
    <row r="8" spans="1:40" x14ac:dyDescent="0.25">
      <c r="A8" t="s">
        <v>317</v>
      </c>
      <c r="B8"/>
      <c r="X8">
        <f>(X9+X10)*7</f>
        <v>192.5</v>
      </c>
    </row>
    <row r="9" spans="1:40" x14ac:dyDescent="0.25">
      <c r="A9"/>
      <c r="B9" t="s">
        <v>318</v>
      </c>
      <c r="W9" s="198" t="s">
        <v>194</v>
      </c>
      <c r="X9" s="199">
        <v>13.5</v>
      </c>
    </row>
    <row r="10" spans="1:40" x14ac:dyDescent="0.25">
      <c r="A10"/>
      <c r="B10"/>
      <c r="W10" s="198" t="s">
        <v>319</v>
      </c>
      <c r="X10" s="198">
        <v>14</v>
      </c>
    </row>
    <row r="11" spans="1:40" x14ac:dyDescent="0.25">
      <c r="A11"/>
      <c r="B11"/>
      <c r="F11" s="194"/>
      <c r="G11" s="194"/>
      <c r="H11" s="194"/>
      <c r="I11" s="194"/>
      <c r="J11" s="194"/>
      <c r="K11" s="194"/>
      <c r="L11" s="194"/>
      <c r="M11" s="195">
        <f>SUM(M13:M27)</f>
        <v>970</v>
      </c>
      <c r="N11" s="194"/>
      <c r="O11" s="194"/>
      <c r="P11" s="194"/>
      <c r="Q11" s="194"/>
      <c r="R11" s="194"/>
      <c r="S11" s="194"/>
      <c r="T11" s="194"/>
      <c r="U11" s="194"/>
      <c r="Y11" s="194"/>
      <c r="Z11" s="194"/>
      <c r="AA11" s="194"/>
      <c r="AB11" s="194"/>
      <c r="AC11" s="194"/>
      <c r="AD11" s="194"/>
      <c r="AE11" s="194"/>
      <c r="AF11" s="195">
        <f>SUM(AF13:AF27)</f>
        <v>5644.4400000000005</v>
      </c>
      <c r="AG11" s="194"/>
      <c r="AH11" s="194"/>
      <c r="AI11" s="194"/>
      <c r="AJ11" s="194"/>
      <c r="AK11" s="194"/>
      <c r="AL11" s="194"/>
      <c r="AM11" s="194"/>
      <c r="AN11" s="194"/>
    </row>
    <row r="12" spans="1:40" x14ac:dyDescent="0.25">
      <c r="A12" s="10" t="s">
        <v>170</v>
      </c>
      <c r="B12" s="10" t="s">
        <v>320</v>
      </c>
      <c r="C12" s="10" t="s">
        <v>84</v>
      </c>
      <c r="D12" s="10" t="s">
        <v>321</v>
      </c>
      <c r="E12" s="10" t="s">
        <v>322</v>
      </c>
      <c r="F12" s="10" t="s">
        <v>15</v>
      </c>
      <c r="G12" s="10" t="s">
        <v>16</v>
      </c>
      <c r="H12" s="10" t="s">
        <v>17</v>
      </c>
      <c r="I12" s="10" t="s">
        <v>18</v>
      </c>
      <c r="J12" s="10" t="s">
        <v>19</v>
      </c>
      <c r="K12" s="10" t="s">
        <v>20</v>
      </c>
      <c r="L12" s="10" t="s">
        <v>6</v>
      </c>
      <c r="M12" s="10" t="s">
        <v>68</v>
      </c>
      <c r="N12" s="10" t="s">
        <v>323</v>
      </c>
      <c r="O12" s="10" t="s">
        <v>324</v>
      </c>
      <c r="P12" s="10" t="s">
        <v>325</v>
      </c>
      <c r="Q12" s="10" t="s">
        <v>326</v>
      </c>
      <c r="R12" s="10" t="s">
        <v>327</v>
      </c>
      <c r="S12" s="10" t="s">
        <v>328</v>
      </c>
      <c r="T12" s="10" t="s">
        <v>329</v>
      </c>
      <c r="U12" s="10" t="s">
        <v>330</v>
      </c>
      <c r="W12" s="10" t="s">
        <v>321</v>
      </c>
      <c r="X12" s="10" t="s">
        <v>322</v>
      </c>
      <c r="Y12" s="10" t="s">
        <v>15</v>
      </c>
      <c r="Z12" s="10" t="s">
        <v>16</v>
      </c>
      <c r="AA12" s="10" t="s">
        <v>17</v>
      </c>
      <c r="AB12" s="10" t="s">
        <v>18</v>
      </c>
      <c r="AC12" s="10" t="s">
        <v>19</v>
      </c>
      <c r="AD12" s="10" t="s">
        <v>20</v>
      </c>
      <c r="AE12" s="10" t="s">
        <v>6</v>
      </c>
      <c r="AF12" s="10" t="s">
        <v>68</v>
      </c>
      <c r="AG12" s="10" t="s">
        <v>323</v>
      </c>
      <c r="AH12" s="10" t="s">
        <v>324</v>
      </c>
      <c r="AI12" s="10" t="s">
        <v>325</v>
      </c>
      <c r="AJ12" s="10" t="s">
        <v>326</v>
      </c>
      <c r="AK12" s="10" t="s">
        <v>327</v>
      </c>
      <c r="AL12" s="10" t="s">
        <v>328</v>
      </c>
      <c r="AM12" s="10" t="s">
        <v>329</v>
      </c>
      <c r="AN12" s="10" t="s">
        <v>330</v>
      </c>
    </row>
    <row r="13" spans="1:40" x14ac:dyDescent="0.25">
      <c r="A13" t="s">
        <v>29</v>
      </c>
      <c r="B13" s="15"/>
      <c r="C13" s="18"/>
      <c r="D13" s="18"/>
      <c r="E13" s="18"/>
      <c r="F13" s="111">
        <v>2</v>
      </c>
      <c r="G13" s="19">
        <v>2</v>
      </c>
      <c r="H13" s="111">
        <v>0</v>
      </c>
      <c r="I13" s="19">
        <v>0</v>
      </c>
      <c r="J13" s="111">
        <v>0</v>
      </c>
      <c r="K13" s="19">
        <v>0</v>
      </c>
      <c r="L13" s="111">
        <v>2</v>
      </c>
      <c r="M13" s="47"/>
      <c r="N13" s="194">
        <v>0</v>
      </c>
      <c r="O13" s="194">
        <v>0</v>
      </c>
      <c r="P13" s="194">
        <v>0</v>
      </c>
      <c r="Q13" s="196">
        <v>0</v>
      </c>
      <c r="R13" s="196">
        <v>0</v>
      </c>
      <c r="S13" s="196">
        <v>0</v>
      </c>
      <c r="T13" s="196">
        <v>0</v>
      </c>
      <c r="U13" s="66">
        <f>SUM(N13:T13)</f>
        <v>0</v>
      </c>
      <c r="Y13" s="111">
        <f>F13</f>
        <v>2</v>
      </c>
      <c r="Z13" s="111">
        <f t="shared" ref="Z13:AE28" si="0">G13</f>
        <v>2</v>
      </c>
      <c r="AA13" s="111">
        <f t="shared" si="0"/>
        <v>0</v>
      </c>
      <c r="AB13" s="111">
        <f t="shared" si="0"/>
        <v>0</v>
      </c>
      <c r="AC13" s="111">
        <f t="shared" si="0"/>
        <v>0</v>
      </c>
      <c r="AD13" s="111">
        <f t="shared" si="0"/>
        <v>0</v>
      </c>
      <c r="AE13" s="111">
        <f t="shared" si="0"/>
        <v>2</v>
      </c>
      <c r="AF13" s="47"/>
      <c r="AG13" s="194">
        <v>0</v>
      </c>
      <c r="AH13" s="194">
        <v>0</v>
      </c>
      <c r="AI13" s="194">
        <v>0</v>
      </c>
      <c r="AJ13" s="196">
        <v>0</v>
      </c>
      <c r="AK13" s="196">
        <v>0</v>
      </c>
      <c r="AL13" s="196">
        <v>0</v>
      </c>
      <c r="AM13" s="196">
        <v>0</v>
      </c>
      <c r="AN13" s="66">
        <f>SUM(AG13:AM13)</f>
        <v>0</v>
      </c>
    </row>
    <row r="14" spans="1:40" x14ac:dyDescent="0.25">
      <c r="A14" t="s">
        <v>32</v>
      </c>
      <c r="B14" s="15"/>
      <c r="C14" s="3"/>
      <c r="D14" s="3"/>
      <c r="E14" s="3"/>
      <c r="F14" s="112">
        <v>0</v>
      </c>
      <c r="G14" s="25">
        <v>2</v>
      </c>
      <c r="H14" s="112">
        <v>2</v>
      </c>
      <c r="I14" s="25">
        <v>2</v>
      </c>
      <c r="J14" s="112">
        <v>2</v>
      </c>
      <c r="K14" s="25">
        <v>2</v>
      </c>
      <c r="L14" s="112">
        <v>2</v>
      </c>
      <c r="M14" s="47"/>
      <c r="N14" s="194">
        <v>0</v>
      </c>
      <c r="O14" s="194">
        <v>0</v>
      </c>
      <c r="P14" s="194">
        <v>0</v>
      </c>
      <c r="Q14" s="194">
        <v>0</v>
      </c>
      <c r="R14" s="194">
        <v>0</v>
      </c>
      <c r="S14" s="194">
        <v>0</v>
      </c>
      <c r="T14" s="194">
        <v>0</v>
      </c>
      <c r="U14" s="66">
        <f>SUM(N14:T14)</f>
        <v>0</v>
      </c>
      <c r="Y14" s="111">
        <f t="shared" ref="Y14:Y28" si="1">F14</f>
        <v>0</v>
      </c>
      <c r="Z14" s="111">
        <f t="shared" si="0"/>
        <v>2</v>
      </c>
      <c r="AA14" s="111">
        <f t="shared" si="0"/>
        <v>2</v>
      </c>
      <c r="AB14" s="111">
        <f t="shared" si="0"/>
        <v>2</v>
      </c>
      <c r="AC14" s="111">
        <f t="shared" si="0"/>
        <v>2</v>
      </c>
      <c r="AD14" s="111">
        <f t="shared" si="0"/>
        <v>2</v>
      </c>
      <c r="AE14" s="111">
        <f t="shared" si="0"/>
        <v>2</v>
      </c>
      <c r="AF14" s="47"/>
      <c r="AG14" s="194">
        <v>0</v>
      </c>
      <c r="AH14" s="194">
        <v>0</v>
      </c>
      <c r="AI14" s="194">
        <v>0</v>
      </c>
      <c r="AJ14" s="194">
        <v>0</v>
      </c>
      <c r="AK14" s="194">
        <v>0</v>
      </c>
      <c r="AL14" s="194">
        <v>0</v>
      </c>
      <c r="AM14" s="194">
        <v>0</v>
      </c>
      <c r="AN14" s="66">
        <f>SUM(AG14:AM14)</f>
        <v>0</v>
      </c>
    </row>
    <row r="15" spans="1:40" x14ac:dyDescent="0.25">
      <c r="A15" t="s">
        <v>33</v>
      </c>
      <c r="B15" s="15"/>
      <c r="C15" s="3"/>
      <c r="D15" s="3"/>
      <c r="E15" s="3"/>
      <c r="F15" s="112">
        <v>0</v>
      </c>
      <c r="G15" s="25">
        <v>2</v>
      </c>
      <c r="H15" s="112">
        <v>2</v>
      </c>
      <c r="I15" s="25">
        <v>2</v>
      </c>
      <c r="J15" s="112">
        <v>2</v>
      </c>
      <c r="K15" s="25">
        <v>2</v>
      </c>
      <c r="L15" s="112">
        <v>2</v>
      </c>
      <c r="M15" s="47"/>
      <c r="N15" s="194">
        <v>0</v>
      </c>
      <c r="O15" s="194">
        <v>0</v>
      </c>
      <c r="P15" s="194">
        <v>0</v>
      </c>
      <c r="Q15" s="194">
        <v>0</v>
      </c>
      <c r="R15" s="194">
        <v>0</v>
      </c>
      <c r="S15" s="194">
        <v>0</v>
      </c>
      <c r="T15" s="194">
        <v>0</v>
      </c>
      <c r="U15" s="66">
        <f>SUM(N15:T15)</f>
        <v>0</v>
      </c>
      <c r="Y15" s="111">
        <f t="shared" si="1"/>
        <v>0</v>
      </c>
      <c r="Z15" s="111">
        <f t="shared" si="0"/>
        <v>2</v>
      </c>
      <c r="AA15" s="111">
        <f t="shared" si="0"/>
        <v>2</v>
      </c>
      <c r="AB15" s="111">
        <f t="shared" si="0"/>
        <v>2</v>
      </c>
      <c r="AC15" s="111">
        <f t="shared" si="0"/>
        <v>2</v>
      </c>
      <c r="AD15" s="111">
        <f t="shared" si="0"/>
        <v>2</v>
      </c>
      <c r="AE15" s="111">
        <f t="shared" si="0"/>
        <v>2</v>
      </c>
      <c r="AF15" s="47"/>
      <c r="AG15" s="194">
        <v>0</v>
      </c>
      <c r="AH15" s="194">
        <v>0</v>
      </c>
      <c r="AI15" s="194">
        <v>0</v>
      </c>
      <c r="AJ15" s="194">
        <v>0</v>
      </c>
      <c r="AK15" s="194">
        <v>0</v>
      </c>
      <c r="AL15" s="194">
        <v>0</v>
      </c>
      <c r="AM15" s="194">
        <v>0</v>
      </c>
      <c r="AN15" s="66">
        <f>SUM(AG15:AM15)</f>
        <v>0</v>
      </c>
    </row>
    <row r="16" spans="1:40" x14ac:dyDescent="0.25">
      <c r="A16" t="s">
        <v>39</v>
      </c>
      <c r="B16" s="15"/>
      <c r="C16" s="3"/>
      <c r="D16" s="3"/>
      <c r="E16" s="3"/>
      <c r="F16" s="112">
        <v>0</v>
      </c>
      <c r="G16" s="25">
        <v>2</v>
      </c>
      <c r="H16" s="112">
        <v>2</v>
      </c>
      <c r="I16" s="25">
        <v>2</v>
      </c>
      <c r="J16" s="112">
        <v>2</v>
      </c>
      <c r="K16" s="25">
        <v>2</v>
      </c>
      <c r="L16" s="112">
        <v>2</v>
      </c>
      <c r="M16" s="47"/>
      <c r="N16" s="194">
        <v>0</v>
      </c>
      <c r="O16" s="194">
        <v>0</v>
      </c>
      <c r="P16" s="194">
        <v>0</v>
      </c>
      <c r="Q16" s="194">
        <v>0</v>
      </c>
      <c r="R16" s="194">
        <v>0</v>
      </c>
      <c r="S16" s="194">
        <v>0</v>
      </c>
      <c r="T16" s="194">
        <v>0</v>
      </c>
      <c r="U16" s="66">
        <f>SUM(N16:T16)</f>
        <v>0</v>
      </c>
      <c r="Y16" s="111">
        <f t="shared" si="1"/>
        <v>0</v>
      </c>
      <c r="Z16" s="111">
        <f t="shared" si="0"/>
        <v>2</v>
      </c>
      <c r="AA16" s="111">
        <f t="shared" si="0"/>
        <v>2</v>
      </c>
      <c r="AB16" s="111">
        <f t="shared" si="0"/>
        <v>2</v>
      </c>
      <c r="AC16" s="111">
        <f t="shared" si="0"/>
        <v>2</v>
      </c>
      <c r="AD16" s="111">
        <f t="shared" si="0"/>
        <v>2</v>
      </c>
      <c r="AE16" s="111">
        <f t="shared" si="0"/>
        <v>2</v>
      </c>
      <c r="AF16" s="47"/>
      <c r="AG16" s="194">
        <v>0</v>
      </c>
      <c r="AH16" s="194">
        <v>0</v>
      </c>
      <c r="AI16" s="194">
        <v>0</v>
      </c>
      <c r="AJ16" s="194">
        <v>0</v>
      </c>
      <c r="AK16" s="194">
        <v>0</v>
      </c>
      <c r="AL16" s="194">
        <v>0</v>
      </c>
      <c r="AM16" s="194">
        <v>0</v>
      </c>
      <c r="AN16" s="66">
        <f>SUM(AG16:AM16)</f>
        <v>0</v>
      </c>
    </row>
    <row r="17" spans="1:40" x14ac:dyDescent="0.25">
      <c r="A17" t="s">
        <v>41</v>
      </c>
      <c r="B17" s="15"/>
      <c r="C17" s="3"/>
      <c r="D17" s="3"/>
      <c r="E17" s="3"/>
      <c r="F17" s="112">
        <v>0</v>
      </c>
      <c r="G17" s="25">
        <v>2</v>
      </c>
      <c r="H17" s="112">
        <v>2</v>
      </c>
      <c r="I17" s="25">
        <v>2</v>
      </c>
      <c r="J17" s="112">
        <v>2</v>
      </c>
      <c r="K17" s="25">
        <v>2</v>
      </c>
      <c r="L17" s="112">
        <v>2</v>
      </c>
      <c r="M17" s="47"/>
      <c r="N17" s="194">
        <v>0</v>
      </c>
      <c r="O17" s="194">
        <v>0</v>
      </c>
      <c r="P17" s="194">
        <v>0</v>
      </c>
      <c r="Q17" s="194">
        <v>0</v>
      </c>
      <c r="R17" s="194">
        <v>0</v>
      </c>
      <c r="S17" s="194">
        <v>0</v>
      </c>
      <c r="T17" s="194">
        <v>0</v>
      </c>
      <c r="U17" s="66">
        <f t="shared" ref="U17:U24" si="2">SUM(N17:T17)</f>
        <v>0</v>
      </c>
      <c r="Y17" s="111">
        <f t="shared" si="1"/>
        <v>0</v>
      </c>
      <c r="Z17" s="111">
        <f t="shared" si="0"/>
        <v>2</v>
      </c>
      <c r="AA17" s="111">
        <f t="shared" si="0"/>
        <v>2</v>
      </c>
      <c r="AB17" s="111">
        <f t="shared" si="0"/>
        <v>2</v>
      </c>
      <c r="AC17" s="111">
        <f t="shared" si="0"/>
        <v>2</v>
      </c>
      <c r="AD17" s="111">
        <f t="shared" si="0"/>
        <v>2</v>
      </c>
      <c r="AE17" s="111">
        <f t="shared" si="0"/>
        <v>2</v>
      </c>
      <c r="AF17" s="47"/>
      <c r="AG17" s="194">
        <v>0</v>
      </c>
      <c r="AH17" s="194">
        <v>0</v>
      </c>
      <c r="AI17" s="194">
        <v>0</v>
      </c>
      <c r="AJ17" s="194">
        <v>0</v>
      </c>
      <c r="AK17" s="194">
        <v>0</v>
      </c>
      <c r="AL17" s="194">
        <v>0</v>
      </c>
      <c r="AM17" s="194">
        <v>0</v>
      </c>
      <c r="AN17" s="66">
        <f t="shared" ref="AN17:AN24" si="3">SUM(AG17:AM17)</f>
        <v>0</v>
      </c>
    </row>
    <row r="18" spans="1:40" x14ac:dyDescent="0.25">
      <c r="A18" t="s">
        <v>38</v>
      </c>
      <c r="B18" s="15"/>
      <c r="C18" s="3"/>
      <c r="D18" s="3"/>
      <c r="E18" s="3"/>
      <c r="F18" s="112">
        <v>0</v>
      </c>
      <c r="G18" s="25">
        <v>2</v>
      </c>
      <c r="H18" s="112">
        <v>2</v>
      </c>
      <c r="I18" s="25">
        <v>2</v>
      </c>
      <c r="J18" s="112">
        <v>2</v>
      </c>
      <c r="K18" s="25">
        <v>2</v>
      </c>
      <c r="L18" s="112">
        <v>2</v>
      </c>
      <c r="M18" s="47"/>
      <c r="N18" s="194">
        <v>0</v>
      </c>
      <c r="O18" s="194">
        <v>0</v>
      </c>
      <c r="P18" s="194">
        <v>0</v>
      </c>
      <c r="Q18" s="194">
        <v>0</v>
      </c>
      <c r="R18" s="194">
        <v>0</v>
      </c>
      <c r="S18" s="194">
        <v>0</v>
      </c>
      <c r="T18" s="194">
        <v>0</v>
      </c>
      <c r="U18" s="66">
        <f t="shared" si="2"/>
        <v>0</v>
      </c>
      <c r="Y18" s="111">
        <f t="shared" si="1"/>
        <v>0</v>
      </c>
      <c r="Z18" s="111">
        <f t="shared" si="0"/>
        <v>2</v>
      </c>
      <c r="AA18" s="111">
        <f t="shared" si="0"/>
        <v>2</v>
      </c>
      <c r="AB18" s="111">
        <f t="shared" si="0"/>
        <v>2</v>
      </c>
      <c r="AC18" s="111">
        <f t="shared" si="0"/>
        <v>2</v>
      </c>
      <c r="AD18" s="111">
        <f t="shared" si="0"/>
        <v>2</v>
      </c>
      <c r="AE18" s="111">
        <f t="shared" si="0"/>
        <v>2</v>
      </c>
      <c r="AF18" s="47"/>
      <c r="AG18" s="194">
        <v>0</v>
      </c>
      <c r="AH18" s="194">
        <v>0</v>
      </c>
      <c r="AI18" s="194">
        <v>0</v>
      </c>
      <c r="AJ18" s="194">
        <v>0</v>
      </c>
      <c r="AK18" s="194">
        <v>0</v>
      </c>
      <c r="AL18" s="194">
        <v>0</v>
      </c>
      <c r="AM18" s="194">
        <v>0</v>
      </c>
      <c r="AN18" s="66">
        <f t="shared" si="3"/>
        <v>0</v>
      </c>
    </row>
    <row r="19" spans="1:40" x14ac:dyDescent="0.25">
      <c r="A19" t="s">
        <v>35</v>
      </c>
      <c r="B19" s="15"/>
      <c r="C19" s="3"/>
      <c r="D19" s="3"/>
      <c r="E19" s="3"/>
      <c r="F19" s="112">
        <v>0</v>
      </c>
      <c r="G19" s="25">
        <v>2</v>
      </c>
      <c r="H19" s="112">
        <v>2</v>
      </c>
      <c r="I19" s="25">
        <v>2</v>
      </c>
      <c r="J19" s="112">
        <v>2</v>
      </c>
      <c r="K19" s="25">
        <v>2</v>
      </c>
      <c r="L19" s="112">
        <v>2</v>
      </c>
      <c r="M19" s="47"/>
      <c r="N19" s="194">
        <v>0</v>
      </c>
      <c r="O19" s="194">
        <v>0</v>
      </c>
      <c r="P19" s="194">
        <v>0</v>
      </c>
      <c r="Q19" s="194">
        <v>0</v>
      </c>
      <c r="R19" s="194">
        <v>0</v>
      </c>
      <c r="S19" s="194">
        <v>0</v>
      </c>
      <c r="T19" s="194">
        <v>0</v>
      </c>
      <c r="U19" s="66">
        <f t="shared" si="2"/>
        <v>0</v>
      </c>
      <c r="Y19" s="111">
        <f t="shared" si="1"/>
        <v>0</v>
      </c>
      <c r="Z19" s="111">
        <f t="shared" si="0"/>
        <v>2</v>
      </c>
      <c r="AA19" s="111">
        <f t="shared" si="0"/>
        <v>2</v>
      </c>
      <c r="AB19" s="111">
        <f t="shared" si="0"/>
        <v>2</v>
      </c>
      <c r="AC19" s="111">
        <f t="shared" si="0"/>
        <v>2</v>
      </c>
      <c r="AD19" s="111">
        <f t="shared" si="0"/>
        <v>2</v>
      </c>
      <c r="AE19" s="111">
        <f t="shared" si="0"/>
        <v>2</v>
      </c>
      <c r="AF19" s="47"/>
      <c r="AG19" s="194">
        <v>0</v>
      </c>
      <c r="AH19" s="194">
        <v>0</v>
      </c>
      <c r="AI19" s="194">
        <v>0</v>
      </c>
      <c r="AJ19" s="194">
        <v>0</v>
      </c>
      <c r="AK19" s="194">
        <v>0</v>
      </c>
      <c r="AL19" s="194">
        <v>0</v>
      </c>
      <c r="AM19" s="194">
        <v>0</v>
      </c>
      <c r="AN19" s="66">
        <f t="shared" si="3"/>
        <v>0</v>
      </c>
    </row>
    <row r="20" spans="1:40" x14ac:dyDescent="0.25">
      <c r="A20" t="s">
        <v>31</v>
      </c>
      <c r="B20" s="15"/>
      <c r="C20" s="3"/>
      <c r="D20" s="3"/>
      <c r="E20" s="3"/>
      <c r="F20" s="112">
        <v>0</v>
      </c>
      <c r="G20" s="25">
        <v>2</v>
      </c>
      <c r="H20" s="112">
        <v>2</v>
      </c>
      <c r="I20" s="25">
        <v>2</v>
      </c>
      <c r="J20" s="112">
        <v>2</v>
      </c>
      <c r="K20" s="25">
        <v>2</v>
      </c>
      <c r="L20" s="112">
        <v>2</v>
      </c>
      <c r="M20" s="47"/>
      <c r="N20" s="194">
        <v>0</v>
      </c>
      <c r="O20" s="194">
        <v>0</v>
      </c>
      <c r="P20" s="194">
        <v>0</v>
      </c>
      <c r="Q20" s="194">
        <v>0</v>
      </c>
      <c r="R20" s="194">
        <v>0</v>
      </c>
      <c r="S20" s="194">
        <v>0</v>
      </c>
      <c r="T20" s="194">
        <v>0</v>
      </c>
      <c r="U20" s="66">
        <f t="shared" si="2"/>
        <v>0</v>
      </c>
      <c r="Y20" s="111">
        <f t="shared" si="1"/>
        <v>0</v>
      </c>
      <c r="Z20" s="111">
        <f t="shared" si="0"/>
        <v>2</v>
      </c>
      <c r="AA20" s="111">
        <f t="shared" si="0"/>
        <v>2</v>
      </c>
      <c r="AB20" s="111">
        <f t="shared" si="0"/>
        <v>2</v>
      </c>
      <c r="AC20" s="111">
        <f t="shared" si="0"/>
        <v>2</v>
      </c>
      <c r="AD20" s="111">
        <f t="shared" si="0"/>
        <v>2</v>
      </c>
      <c r="AE20" s="111">
        <f t="shared" si="0"/>
        <v>2</v>
      </c>
      <c r="AF20" s="47"/>
      <c r="AG20" s="194">
        <v>0</v>
      </c>
      <c r="AH20" s="194">
        <v>0</v>
      </c>
      <c r="AI20" s="194">
        <v>0</v>
      </c>
      <c r="AJ20" s="194">
        <v>0</v>
      </c>
      <c r="AK20" s="194">
        <v>0</v>
      </c>
      <c r="AL20" s="194">
        <v>0</v>
      </c>
      <c r="AM20" s="194">
        <v>0</v>
      </c>
      <c r="AN20" s="66">
        <f t="shared" si="3"/>
        <v>0</v>
      </c>
    </row>
    <row r="21" spans="1:40" x14ac:dyDescent="0.25">
      <c r="A21" t="s">
        <v>43</v>
      </c>
      <c r="B21" s="15"/>
      <c r="C21" s="3"/>
      <c r="D21" s="3"/>
      <c r="E21" s="3"/>
      <c r="F21" s="112">
        <v>0</v>
      </c>
      <c r="G21" s="25">
        <v>2</v>
      </c>
      <c r="H21" s="112">
        <v>2</v>
      </c>
      <c r="I21" s="25">
        <v>2</v>
      </c>
      <c r="J21" s="112">
        <v>2</v>
      </c>
      <c r="K21" s="25">
        <v>2</v>
      </c>
      <c r="L21" s="112">
        <v>2</v>
      </c>
      <c r="M21" s="47"/>
      <c r="N21" s="194">
        <v>0</v>
      </c>
      <c r="O21" s="194">
        <v>0</v>
      </c>
      <c r="P21" s="194">
        <v>0</v>
      </c>
      <c r="Q21" s="194">
        <v>0</v>
      </c>
      <c r="R21" s="194">
        <v>0</v>
      </c>
      <c r="S21" s="194">
        <v>0</v>
      </c>
      <c r="T21" s="194">
        <v>0</v>
      </c>
      <c r="U21" s="66">
        <f t="shared" si="2"/>
        <v>0</v>
      </c>
      <c r="Y21" s="111">
        <f t="shared" si="1"/>
        <v>0</v>
      </c>
      <c r="Z21" s="111">
        <f t="shared" si="0"/>
        <v>2</v>
      </c>
      <c r="AA21" s="111">
        <f t="shared" si="0"/>
        <v>2</v>
      </c>
      <c r="AB21" s="111">
        <f t="shared" si="0"/>
        <v>2</v>
      </c>
      <c r="AC21" s="111">
        <f t="shared" si="0"/>
        <v>2</v>
      </c>
      <c r="AD21" s="111">
        <f t="shared" si="0"/>
        <v>2</v>
      </c>
      <c r="AE21" s="111">
        <f t="shared" si="0"/>
        <v>2</v>
      </c>
      <c r="AF21" s="47"/>
      <c r="AG21" s="194">
        <v>0</v>
      </c>
      <c r="AH21" s="194">
        <v>0</v>
      </c>
      <c r="AI21" s="194">
        <v>0</v>
      </c>
      <c r="AJ21" s="194">
        <v>0</v>
      </c>
      <c r="AK21" s="194">
        <v>0</v>
      </c>
      <c r="AL21" s="194">
        <v>0</v>
      </c>
      <c r="AM21" s="194">
        <v>0</v>
      </c>
      <c r="AN21" s="66">
        <f t="shared" si="3"/>
        <v>0</v>
      </c>
    </row>
    <row r="22" spans="1:40" x14ac:dyDescent="0.25">
      <c r="A22" t="s">
        <v>37</v>
      </c>
      <c r="B22" s="15"/>
      <c r="C22" s="3"/>
      <c r="D22" s="3"/>
      <c r="E22" s="3"/>
      <c r="F22" s="112">
        <v>0</v>
      </c>
      <c r="G22" s="25">
        <v>2</v>
      </c>
      <c r="H22" s="112">
        <v>2</v>
      </c>
      <c r="I22" s="25">
        <v>2</v>
      </c>
      <c r="J22" s="112">
        <v>2</v>
      </c>
      <c r="K22" s="25">
        <v>2</v>
      </c>
      <c r="L22" s="112">
        <v>2</v>
      </c>
      <c r="M22" s="47"/>
      <c r="N22" s="194">
        <v>0</v>
      </c>
      <c r="O22" s="194">
        <v>0</v>
      </c>
      <c r="P22" s="194">
        <v>0</v>
      </c>
      <c r="Q22" s="194">
        <v>0</v>
      </c>
      <c r="R22" s="194">
        <v>0</v>
      </c>
      <c r="S22" s="194">
        <v>0</v>
      </c>
      <c r="T22" s="194">
        <v>0</v>
      </c>
      <c r="U22" s="66">
        <f t="shared" si="2"/>
        <v>0</v>
      </c>
      <c r="Y22" s="111">
        <f t="shared" si="1"/>
        <v>0</v>
      </c>
      <c r="Z22" s="111">
        <f t="shared" si="0"/>
        <v>2</v>
      </c>
      <c r="AA22" s="111">
        <f t="shared" si="0"/>
        <v>2</v>
      </c>
      <c r="AB22" s="111">
        <f t="shared" si="0"/>
        <v>2</v>
      </c>
      <c r="AC22" s="111">
        <f t="shared" si="0"/>
        <v>2</v>
      </c>
      <c r="AD22" s="111">
        <f t="shared" si="0"/>
        <v>2</v>
      </c>
      <c r="AE22" s="111">
        <f t="shared" si="0"/>
        <v>2</v>
      </c>
      <c r="AF22" s="47"/>
      <c r="AG22" s="194">
        <v>0</v>
      </c>
      <c r="AH22" s="194">
        <v>0</v>
      </c>
      <c r="AI22" s="194">
        <v>0</v>
      </c>
      <c r="AJ22" s="194">
        <v>0</v>
      </c>
      <c r="AK22" s="194">
        <v>0</v>
      </c>
      <c r="AL22" s="194">
        <v>0</v>
      </c>
      <c r="AM22" s="194">
        <v>0</v>
      </c>
      <c r="AN22" s="66">
        <f t="shared" si="3"/>
        <v>0</v>
      </c>
    </row>
    <row r="23" spans="1:40" x14ac:dyDescent="0.25">
      <c r="A23" t="s">
        <v>36</v>
      </c>
      <c r="B23" s="15"/>
      <c r="C23" s="3"/>
      <c r="D23" s="3"/>
      <c r="E23" s="3"/>
      <c r="F23" s="112">
        <v>0</v>
      </c>
      <c r="G23" s="25">
        <v>2</v>
      </c>
      <c r="H23" s="112">
        <v>2</v>
      </c>
      <c r="I23" s="25">
        <v>2</v>
      </c>
      <c r="J23" s="112">
        <v>2</v>
      </c>
      <c r="K23" s="25">
        <v>2</v>
      </c>
      <c r="L23" s="112">
        <v>2</v>
      </c>
      <c r="M23" s="47"/>
      <c r="N23" s="194">
        <v>0</v>
      </c>
      <c r="O23" s="194">
        <v>0</v>
      </c>
      <c r="P23" s="194">
        <v>0</v>
      </c>
      <c r="Q23" s="194">
        <v>0</v>
      </c>
      <c r="R23" s="194">
        <v>0</v>
      </c>
      <c r="S23" s="194">
        <v>0</v>
      </c>
      <c r="T23" s="194">
        <v>0</v>
      </c>
      <c r="U23" s="66">
        <f t="shared" si="2"/>
        <v>0</v>
      </c>
      <c r="Y23" s="111">
        <f t="shared" si="1"/>
        <v>0</v>
      </c>
      <c r="Z23" s="111">
        <f t="shared" si="0"/>
        <v>2</v>
      </c>
      <c r="AA23" s="111">
        <f t="shared" si="0"/>
        <v>2</v>
      </c>
      <c r="AB23" s="111">
        <f t="shared" si="0"/>
        <v>2</v>
      </c>
      <c r="AC23" s="111">
        <f t="shared" si="0"/>
        <v>2</v>
      </c>
      <c r="AD23" s="111">
        <f t="shared" si="0"/>
        <v>2</v>
      </c>
      <c r="AE23" s="111">
        <f t="shared" si="0"/>
        <v>2</v>
      </c>
      <c r="AF23" s="47"/>
      <c r="AG23" s="194">
        <v>0</v>
      </c>
      <c r="AH23" s="194">
        <v>0</v>
      </c>
      <c r="AI23" s="194">
        <v>0</v>
      </c>
      <c r="AJ23" s="194">
        <v>0</v>
      </c>
      <c r="AK23" s="194">
        <v>0</v>
      </c>
      <c r="AL23" s="194">
        <v>0</v>
      </c>
      <c r="AM23" s="194">
        <v>0</v>
      </c>
      <c r="AN23" s="66">
        <f t="shared" si="3"/>
        <v>0</v>
      </c>
    </row>
    <row r="24" spans="1:40" x14ac:dyDescent="0.25">
      <c r="A24" t="s">
        <v>40</v>
      </c>
      <c r="B24" s="15" t="s">
        <v>331</v>
      </c>
      <c r="C24" s="3" t="s">
        <v>45</v>
      </c>
      <c r="D24" s="3">
        <v>17</v>
      </c>
      <c r="E24" s="3">
        <v>15</v>
      </c>
      <c r="F24" s="112">
        <v>0</v>
      </c>
      <c r="G24" s="25">
        <v>2</v>
      </c>
      <c r="H24" s="112">
        <v>5.7</v>
      </c>
      <c r="I24" s="25">
        <v>5.5</v>
      </c>
      <c r="J24" s="112">
        <v>5</v>
      </c>
      <c r="K24" s="25">
        <v>3</v>
      </c>
      <c r="L24" s="112">
        <v>2</v>
      </c>
      <c r="M24" s="47">
        <v>350</v>
      </c>
      <c r="N24" s="194">
        <v>0</v>
      </c>
      <c r="O24" s="194">
        <v>0</v>
      </c>
      <c r="P24" s="194">
        <v>11</v>
      </c>
      <c r="Q24" s="194">
        <f>5.5+1.5</f>
        <v>7</v>
      </c>
      <c r="R24" s="194">
        <v>7</v>
      </c>
      <c r="S24" s="194">
        <v>2</v>
      </c>
      <c r="T24" s="194">
        <v>0</v>
      </c>
      <c r="U24" s="66">
        <f t="shared" si="2"/>
        <v>27</v>
      </c>
      <c r="W24">
        <f>D24+1</f>
        <v>18</v>
      </c>
      <c r="X24">
        <f>E24+$X$7</f>
        <v>95.5</v>
      </c>
      <c r="Y24" s="111">
        <f t="shared" si="1"/>
        <v>0</v>
      </c>
      <c r="Z24" s="111">
        <f t="shared" si="0"/>
        <v>2</v>
      </c>
      <c r="AA24" s="111">
        <f t="shared" si="0"/>
        <v>5.7</v>
      </c>
      <c r="AB24" s="111">
        <v>9.5</v>
      </c>
      <c r="AC24" s="111">
        <f>8+3/5</f>
        <v>8.6</v>
      </c>
      <c r="AD24" s="111">
        <f t="shared" si="0"/>
        <v>3</v>
      </c>
      <c r="AE24" s="111">
        <f t="shared" si="0"/>
        <v>2</v>
      </c>
      <c r="AF24" s="47">
        <f>(2140+140+150)*1.008</f>
        <v>2449.44</v>
      </c>
      <c r="AG24" s="194">
        <f>N24</f>
        <v>0</v>
      </c>
      <c r="AH24" s="194">
        <f t="shared" ref="AH24:AM26" si="4">O24</f>
        <v>0</v>
      </c>
      <c r="AI24" s="194">
        <f t="shared" si="4"/>
        <v>11</v>
      </c>
      <c r="AJ24" s="39">
        <f>Q24+X9</f>
        <v>20.5</v>
      </c>
      <c r="AK24" s="194">
        <f>R24+X10</f>
        <v>21</v>
      </c>
      <c r="AL24" s="194">
        <f t="shared" si="4"/>
        <v>2</v>
      </c>
      <c r="AM24" s="194">
        <f t="shared" si="4"/>
        <v>0</v>
      </c>
      <c r="AN24" s="66">
        <f t="shared" si="3"/>
        <v>54.5</v>
      </c>
    </row>
    <row r="25" spans="1:40" x14ac:dyDescent="0.25">
      <c r="A25" t="s">
        <v>34</v>
      </c>
      <c r="B25" s="15" t="s">
        <v>332</v>
      </c>
      <c r="C25" s="3" t="s">
        <v>296</v>
      </c>
      <c r="D25" s="3">
        <v>17</v>
      </c>
      <c r="E25" s="3">
        <v>19</v>
      </c>
      <c r="F25" s="112">
        <v>0</v>
      </c>
      <c r="G25" s="25">
        <v>6</v>
      </c>
      <c r="H25" s="112">
        <v>3</v>
      </c>
      <c r="I25" s="25">
        <v>3</v>
      </c>
      <c r="J25" s="112">
        <v>5</v>
      </c>
      <c r="K25" s="25">
        <v>2</v>
      </c>
      <c r="L25" s="112">
        <v>0</v>
      </c>
      <c r="M25" s="47">
        <v>330</v>
      </c>
      <c r="N25" s="194">
        <v>0</v>
      </c>
      <c r="O25" s="194">
        <v>14</v>
      </c>
      <c r="P25" s="194">
        <v>3</v>
      </c>
      <c r="Q25" s="194">
        <v>1.5</v>
      </c>
      <c r="R25" s="194">
        <v>7</v>
      </c>
      <c r="S25" s="194">
        <v>0</v>
      </c>
      <c r="T25" s="194">
        <v>-2</v>
      </c>
      <c r="U25" s="66">
        <f>SUM(N25:T25)</f>
        <v>23.5</v>
      </c>
      <c r="W25">
        <f>D25+1</f>
        <v>18</v>
      </c>
      <c r="X25">
        <f>E25+$X$7</f>
        <v>99.5</v>
      </c>
      <c r="Y25" s="111">
        <f t="shared" si="1"/>
        <v>0</v>
      </c>
      <c r="Z25" s="111">
        <f t="shared" si="0"/>
        <v>6</v>
      </c>
      <c r="AA25" s="111">
        <f t="shared" si="0"/>
        <v>3</v>
      </c>
      <c r="AB25" s="111">
        <v>8</v>
      </c>
      <c r="AC25" s="111">
        <f>8+3/5</f>
        <v>8.6</v>
      </c>
      <c r="AD25" s="111">
        <f t="shared" si="0"/>
        <v>2</v>
      </c>
      <c r="AE25" s="111">
        <f t="shared" si="0"/>
        <v>0</v>
      </c>
      <c r="AF25" s="47">
        <f>(830+455+165)*1</f>
        <v>1450</v>
      </c>
      <c r="AG25" s="194">
        <f>N25</f>
        <v>0</v>
      </c>
      <c r="AH25" s="194">
        <f t="shared" si="4"/>
        <v>14</v>
      </c>
      <c r="AI25" s="194">
        <f t="shared" si="4"/>
        <v>3</v>
      </c>
      <c r="AJ25" s="39">
        <f>Q25+X9</f>
        <v>15</v>
      </c>
      <c r="AK25" s="194">
        <f>R25+X10</f>
        <v>21</v>
      </c>
      <c r="AL25" s="194">
        <f t="shared" si="4"/>
        <v>0</v>
      </c>
      <c r="AM25" s="194">
        <f t="shared" si="4"/>
        <v>-2</v>
      </c>
      <c r="AN25" s="66">
        <f>SUM(AG25:AM25)</f>
        <v>51</v>
      </c>
    </row>
    <row r="26" spans="1:40" x14ac:dyDescent="0.25">
      <c r="A26" t="s">
        <v>42</v>
      </c>
      <c r="B26" s="15" t="s">
        <v>333</v>
      </c>
      <c r="C26" s="3" t="s">
        <v>296</v>
      </c>
      <c r="D26" s="3">
        <v>17</v>
      </c>
      <c r="E26" s="3">
        <v>15</v>
      </c>
      <c r="F26" s="112">
        <v>0</v>
      </c>
      <c r="G26" s="25">
        <v>3</v>
      </c>
      <c r="H26" s="112">
        <v>5</v>
      </c>
      <c r="I26" s="25">
        <v>4</v>
      </c>
      <c r="J26" s="112">
        <v>4</v>
      </c>
      <c r="K26" s="25">
        <v>3</v>
      </c>
      <c r="L26" s="112">
        <v>0</v>
      </c>
      <c r="M26" s="47">
        <v>290</v>
      </c>
      <c r="N26" s="194">
        <v>0</v>
      </c>
      <c r="O26" s="194">
        <v>3</v>
      </c>
      <c r="P26" s="194">
        <v>9</v>
      </c>
      <c r="Q26" s="194">
        <v>3.5</v>
      </c>
      <c r="R26" s="194">
        <v>4</v>
      </c>
      <c r="S26" s="194">
        <v>2</v>
      </c>
      <c r="T26" s="194">
        <v>-2</v>
      </c>
      <c r="U26" s="66">
        <f>SUM(N26:T26)</f>
        <v>19.5</v>
      </c>
      <c r="W26">
        <f>D26+1</f>
        <v>18</v>
      </c>
      <c r="X26">
        <f>E26+$X$7</f>
        <v>95.5</v>
      </c>
      <c r="Y26" s="111">
        <f t="shared" si="1"/>
        <v>0</v>
      </c>
      <c r="Z26" s="111">
        <f t="shared" si="0"/>
        <v>3</v>
      </c>
      <c r="AA26" s="111">
        <f t="shared" si="0"/>
        <v>5</v>
      </c>
      <c r="AB26" s="111">
        <f>8+2.5/3</f>
        <v>8.8333333333333339</v>
      </c>
      <c r="AC26" s="111">
        <v>8</v>
      </c>
      <c r="AD26" s="111">
        <f t="shared" si="0"/>
        <v>3</v>
      </c>
      <c r="AE26" s="111">
        <f t="shared" si="0"/>
        <v>0</v>
      </c>
      <c r="AF26" s="47">
        <f>(1475+135+135)*1</f>
        <v>1745</v>
      </c>
      <c r="AG26" s="194">
        <f>N26</f>
        <v>0</v>
      </c>
      <c r="AH26" s="194">
        <f t="shared" si="4"/>
        <v>3</v>
      </c>
      <c r="AI26" s="194">
        <f t="shared" si="4"/>
        <v>9</v>
      </c>
      <c r="AJ26" s="194">
        <f>Q26+X10</f>
        <v>17.5</v>
      </c>
      <c r="AK26" s="194">
        <f>R26+X10</f>
        <v>18</v>
      </c>
      <c r="AL26" s="194">
        <f t="shared" si="4"/>
        <v>2</v>
      </c>
      <c r="AM26" s="194">
        <f t="shared" si="4"/>
        <v>-2</v>
      </c>
      <c r="AN26" s="66">
        <f>SUM(AG26:AM26)</f>
        <v>47.5</v>
      </c>
    </row>
    <row r="27" spans="1:40" x14ac:dyDescent="0.25">
      <c r="A27" t="s">
        <v>46</v>
      </c>
      <c r="B27" s="15"/>
      <c r="C27" s="3"/>
      <c r="D27" s="3"/>
      <c r="E27" s="3"/>
      <c r="F27" s="112">
        <v>0</v>
      </c>
      <c r="G27" s="25">
        <v>2</v>
      </c>
      <c r="H27" s="112">
        <v>2</v>
      </c>
      <c r="I27" s="25">
        <v>2</v>
      </c>
      <c r="J27" s="112">
        <v>2</v>
      </c>
      <c r="K27" s="25">
        <v>2</v>
      </c>
      <c r="L27" s="112">
        <v>2</v>
      </c>
      <c r="M27" s="47"/>
      <c r="N27" s="194">
        <v>0</v>
      </c>
      <c r="O27" s="194">
        <v>0</v>
      </c>
      <c r="P27" s="194">
        <v>0</v>
      </c>
      <c r="Q27" s="194">
        <v>0</v>
      </c>
      <c r="R27" s="194">
        <v>0</v>
      </c>
      <c r="S27" s="194">
        <v>0</v>
      </c>
      <c r="T27" s="194">
        <v>0</v>
      </c>
      <c r="U27" s="66">
        <f>SUM(N27:T27)</f>
        <v>0</v>
      </c>
      <c r="Y27" s="111">
        <f t="shared" si="1"/>
        <v>0</v>
      </c>
      <c r="Z27" s="111">
        <f t="shared" si="0"/>
        <v>2</v>
      </c>
      <c r="AA27" s="111">
        <f t="shared" si="0"/>
        <v>2</v>
      </c>
      <c r="AB27" s="111">
        <f t="shared" si="0"/>
        <v>2</v>
      </c>
      <c r="AC27" s="111">
        <f t="shared" si="0"/>
        <v>2</v>
      </c>
      <c r="AD27" s="111">
        <f t="shared" si="0"/>
        <v>2</v>
      </c>
      <c r="AE27" s="111">
        <f t="shared" si="0"/>
        <v>2</v>
      </c>
      <c r="AF27" s="47"/>
      <c r="AG27" s="194">
        <v>0</v>
      </c>
      <c r="AH27" s="194">
        <v>0</v>
      </c>
      <c r="AI27" s="194">
        <v>0</v>
      </c>
      <c r="AJ27" s="194">
        <v>0</v>
      </c>
      <c r="AK27" s="194">
        <v>0</v>
      </c>
      <c r="AL27" s="194">
        <v>0</v>
      </c>
      <c r="AM27" s="194">
        <v>0</v>
      </c>
      <c r="AN27" s="66">
        <f>SUM(AG27:AM27)</f>
        <v>0</v>
      </c>
    </row>
    <row r="28" spans="1:40" x14ac:dyDescent="0.25">
      <c r="A28" t="s">
        <v>334</v>
      </c>
      <c r="B28" s="15"/>
      <c r="C28" s="3"/>
      <c r="D28" s="3"/>
      <c r="E28" s="3"/>
      <c r="F28" s="112">
        <v>0</v>
      </c>
      <c r="G28" s="25">
        <v>2</v>
      </c>
      <c r="H28" s="112">
        <v>2</v>
      </c>
      <c r="I28" s="25">
        <v>2</v>
      </c>
      <c r="J28" s="112">
        <v>2</v>
      </c>
      <c r="K28" s="25">
        <v>2</v>
      </c>
      <c r="L28" s="112">
        <v>2</v>
      </c>
      <c r="M28" s="47"/>
      <c r="N28" s="194">
        <v>0</v>
      </c>
      <c r="O28" s="194">
        <v>0</v>
      </c>
      <c r="P28" s="194">
        <v>0</v>
      </c>
      <c r="Q28" s="194">
        <v>0</v>
      </c>
      <c r="R28" s="194">
        <v>0</v>
      </c>
      <c r="S28" s="194">
        <v>0</v>
      </c>
      <c r="T28" s="194">
        <v>0</v>
      </c>
      <c r="U28" s="66">
        <f>SUM(N28:T28)</f>
        <v>0</v>
      </c>
      <c r="Y28" s="111">
        <f t="shared" si="1"/>
        <v>0</v>
      </c>
      <c r="Z28" s="111">
        <f t="shared" si="0"/>
        <v>2</v>
      </c>
      <c r="AA28" s="111">
        <f t="shared" si="0"/>
        <v>2</v>
      </c>
      <c r="AB28" s="111">
        <f t="shared" si="0"/>
        <v>2</v>
      </c>
      <c r="AC28" s="111">
        <f t="shared" si="0"/>
        <v>2</v>
      </c>
      <c r="AD28" s="111">
        <f t="shared" si="0"/>
        <v>2</v>
      </c>
      <c r="AE28" s="111">
        <f t="shared" si="0"/>
        <v>2</v>
      </c>
      <c r="AF28" s="47"/>
      <c r="AG28" s="194">
        <v>0</v>
      </c>
      <c r="AH28" s="194">
        <v>0</v>
      </c>
      <c r="AI28" s="194">
        <v>0</v>
      </c>
      <c r="AJ28" s="194">
        <v>0</v>
      </c>
      <c r="AK28" s="194">
        <v>0</v>
      </c>
      <c r="AL28" s="194">
        <v>0</v>
      </c>
      <c r="AM28" s="194">
        <v>0</v>
      </c>
      <c r="AN28" s="66">
        <f>SUM(AG28:AM28)</f>
        <v>0</v>
      </c>
    </row>
    <row r="29" spans="1:40" x14ac:dyDescent="0.25">
      <c r="A29"/>
      <c r="B29"/>
      <c r="F29" s="194"/>
      <c r="G29" s="194"/>
      <c r="H29" s="194"/>
      <c r="I29" s="194"/>
      <c r="J29" s="194"/>
      <c r="K29" s="194"/>
      <c r="L29" s="194"/>
      <c r="M29" s="195">
        <f>SUM(M31:M45)</f>
        <v>15124.68</v>
      </c>
      <c r="N29" s="194"/>
      <c r="O29" s="194"/>
      <c r="P29" s="194"/>
      <c r="Q29" s="194"/>
      <c r="R29" s="194"/>
      <c r="S29" s="194"/>
      <c r="T29" s="194"/>
      <c r="U29" s="194"/>
      <c r="Y29" s="194"/>
      <c r="Z29" s="194"/>
      <c r="AA29" s="194"/>
      <c r="AB29" s="194"/>
      <c r="AC29" s="194"/>
      <c r="AD29" s="194"/>
      <c r="AE29" s="194"/>
      <c r="AF29" s="195">
        <f>SUM(AF31:AF45)</f>
        <v>42675.44</v>
      </c>
      <c r="AG29" s="194"/>
      <c r="AH29" s="194"/>
      <c r="AI29" s="194"/>
      <c r="AJ29" s="194"/>
      <c r="AK29" s="194"/>
      <c r="AL29" s="194"/>
      <c r="AM29" s="194"/>
      <c r="AN29" s="194"/>
    </row>
    <row r="30" spans="1:40" x14ac:dyDescent="0.25">
      <c r="A30" s="10" t="s">
        <v>170</v>
      </c>
      <c r="B30" s="10" t="s">
        <v>2</v>
      </c>
      <c r="C30" s="10" t="s">
        <v>84</v>
      </c>
      <c r="D30" s="10" t="s">
        <v>321</v>
      </c>
      <c r="E30" s="10" t="s">
        <v>322</v>
      </c>
      <c r="F30" s="10" t="s">
        <v>15</v>
      </c>
      <c r="G30" s="10" t="s">
        <v>16</v>
      </c>
      <c r="H30" s="10" t="s">
        <v>17</v>
      </c>
      <c r="I30" s="10" t="s">
        <v>18</v>
      </c>
      <c r="J30" s="10" t="s">
        <v>19</v>
      </c>
      <c r="K30" s="10" t="s">
        <v>20</v>
      </c>
      <c r="L30" s="10" t="s">
        <v>6</v>
      </c>
      <c r="M30" s="10" t="s">
        <v>68</v>
      </c>
      <c r="N30" s="10" t="s">
        <v>323</v>
      </c>
      <c r="O30" s="10" t="s">
        <v>324</v>
      </c>
      <c r="P30" s="10" t="s">
        <v>325</v>
      </c>
      <c r="Q30" s="10" t="s">
        <v>326</v>
      </c>
      <c r="R30" s="10" t="s">
        <v>327</v>
      </c>
      <c r="S30" s="10" t="s">
        <v>328</v>
      </c>
      <c r="T30" s="10" t="s">
        <v>329</v>
      </c>
      <c r="U30" s="10" t="s">
        <v>330</v>
      </c>
      <c r="W30" s="10" t="s">
        <v>321</v>
      </c>
      <c r="X30" s="10" t="s">
        <v>322</v>
      </c>
      <c r="Y30" s="10" t="s">
        <v>15</v>
      </c>
      <c r="Z30" s="10" t="s">
        <v>16</v>
      </c>
      <c r="AA30" s="10" t="s">
        <v>17</v>
      </c>
      <c r="AB30" s="10" t="s">
        <v>18</v>
      </c>
      <c r="AC30" s="10" t="s">
        <v>19</v>
      </c>
      <c r="AD30" s="10" t="s">
        <v>20</v>
      </c>
      <c r="AE30" s="10" t="s">
        <v>6</v>
      </c>
      <c r="AF30" s="10" t="s">
        <v>68</v>
      </c>
      <c r="AG30" s="10" t="s">
        <v>323</v>
      </c>
      <c r="AH30" s="10" t="s">
        <v>324</v>
      </c>
      <c r="AI30" s="10" t="s">
        <v>325</v>
      </c>
      <c r="AJ30" s="10" t="s">
        <v>326</v>
      </c>
      <c r="AK30" s="10" t="s">
        <v>327</v>
      </c>
      <c r="AL30" s="10" t="s">
        <v>328</v>
      </c>
      <c r="AM30" s="10" t="s">
        <v>329</v>
      </c>
      <c r="AN30" s="10" t="s">
        <v>330</v>
      </c>
    </row>
    <row r="31" spans="1:40" x14ac:dyDescent="0.25">
      <c r="A31" t="s">
        <v>29</v>
      </c>
      <c r="B31" s="15"/>
      <c r="C31" s="18"/>
      <c r="D31" s="18"/>
      <c r="E31" s="18"/>
      <c r="F31" s="111">
        <f>Y13</f>
        <v>2</v>
      </c>
      <c r="G31" s="111">
        <f t="shared" ref="G31:M46" si="5">Z13</f>
        <v>2</v>
      </c>
      <c r="H31" s="111">
        <f t="shared" si="5"/>
        <v>0</v>
      </c>
      <c r="I31" s="111">
        <f t="shared" si="5"/>
        <v>0</v>
      </c>
      <c r="J31" s="111">
        <f t="shared" si="5"/>
        <v>0</v>
      </c>
      <c r="K31" s="111">
        <f t="shared" si="5"/>
        <v>0</v>
      </c>
      <c r="L31" s="111">
        <f t="shared" si="5"/>
        <v>2</v>
      </c>
      <c r="M31" s="47"/>
      <c r="N31" s="194">
        <f>AG13</f>
        <v>0</v>
      </c>
      <c r="O31" s="194">
        <f t="shared" ref="O31:T46" si="6">AH13</f>
        <v>0</v>
      </c>
      <c r="P31" s="194">
        <f t="shared" si="6"/>
        <v>0</v>
      </c>
      <c r="Q31" s="194">
        <f t="shared" si="6"/>
        <v>0</v>
      </c>
      <c r="R31" s="194">
        <f t="shared" si="6"/>
        <v>0</v>
      </c>
      <c r="S31" s="194">
        <f t="shared" si="6"/>
        <v>0</v>
      </c>
      <c r="T31" s="194">
        <f t="shared" si="6"/>
        <v>0</v>
      </c>
      <c r="U31" s="66">
        <f>SUM(N31:T31)</f>
        <v>0</v>
      </c>
      <c r="Y31" s="111">
        <f>F31</f>
        <v>2</v>
      </c>
      <c r="Z31" s="111">
        <f t="shared" ref="Z31:AE46" si="7">G31</f>
        <v>2</v>
      </c>
      <c r="AA31" s="111">
        <f t="shared" si="7"/>
        <v>0</v>
      </c>
      <c r="AB31" s="111">
        <f t="shared" si="7"/>
        <v>0</v>
      </c>
      <c r="AC31" s="111">
        <f t="shared" si="7"/>
        <v>0</v>
      </c>
      <c r="AD31" s="111">
        <f t="shared" si="7"/>
        <v>0</v>
      </c>
      <c r="AE31" s="111">
        <f t="shared" si="7"/>
        <v>2</v>
      </c>
      <c r="AF31" s="47"/>
      <c r="AG31" s="194">
        <f>N31</f>
        <v>0</v>
      </c>
      <c r="AH31" s="194">
        <f t="shared" ref="AH31:AM46" si="8">O31</f>
        <v>0</v>
      </c>
      <c r="AI31" s="194">
        <f t="shared" si="8"/>
        <v>0</v>
      </c>
      <c r="AJ31" s="194">
        <f t="shared" si="8"/>
        <v>0</v>
      </c>
      <c r="AK31" s="194">
        <f t="shared" si="8"/>
        <v>0</v>
      </c>
      <c r="AL31" s="194">
        <f t="shared" si="8"/>
        <v>0</v>
      </c>
      <c r="AM31" s="194">
        <f t="shared" si="8"/>
        <v>0</v>
      </c>
      <c r="AN31" s="66">
        <f>SUM(AG31:AM31)</f>
        <v>0</v>
      </c>
    </row>
    <row r="32" spans="1:40" x14ac:dyDescent="0.25">
      <c r="A32" t="s">
        <v>32</v>
      </c>
      <c r="B32" s="15"/>
      <c r="C32" s="3"/>
      <c r="D32" s="3"/>
      <c r="E32" s="3"/>
      <c r="F32" s="111">
        <f t="shared" ref="F32:F46" si="9">Y14</f>
        <v>0</v>
      </c>
      <c r="G32" s="111">
        <f t="shared" si="5"/>
        <v>2</v>
      </c>
      <c r="H32" s="111">
        <f t="shared" si="5"/>
        <v>2</v>
      </c>
      <c r="I32" s="111">
        <f t="shared" si="5"/>
        <v>2</v>
      </c>
      <c r="J32" s="111">
        <f t="shared" si="5"/>
        <v>2</v>
      </c>
      <c r="K32" s="111">
        <f t="shared" si="5"/>
        <v>2</v>
      </c>
      <c r="L32" s="111">
        <f t="shared" si="5"/>
        <v>2</v>
      </c>
      <c r="M32" s="47"/>
      <c r="N32" s="194">
        <f t="shared" ref="N32:N46" si="10">AG14</f>
        <v>0</v>
      </c>
      <c r="O32" s="194">
        <f t="shared" si="6"/>
        <v>0</v>
      </c>
      <c r="P32" s="194">
        <f t="shared" si="6"/>
        <v>0</v>
      </c>
      <c r="Q32" s="194">
        <f t="shared" si="6"/>
        <v>0</v>
      </c>
      <c r="R32" s="194">
        <f t="shared" si="6"/>
        <v>0</v>
      </c>
      <c r="S32" s="194">
        <f t="shared" si="6"/>
        <v>0</v>
      </c>
      <c r="T32" s="194">
        <f t="shared" si="6"/>
        <v>0</v>
      </c>
      <c r="U32" s="66">
        <f>SUM(N32:T32)</f>
        <v>0</v>
      </c>
      <c r="Y32" s="111">
        <f t="shared" ref="Y32:Y46" si="11">F32</f>
        <v>0</v>
      </c>
      <c r="Z32" s="111">
        <f t="shared" si="7"/>
        <v>2</v>
      </c>
      <c r="AA32" s="111">
        <f t="shared" si="7"/>
        <v>2</v>
      </c>
      <c r="AB32" s="111">
        <f t="shared" si="7"/>
        <v>2</v>
      </c>
      <c r="AC32" s="111">
        <f t="shared" si="7"/>
        <v>2</v>
      </c>
      <c r="AD32" s="111">
        <f t="shared" si="7"/>
        <v>2</v>
      </c>
      <c r="AE32" s="111">
        <f t="shared" si="7"/>
        <v>2</v>
      </c>
      <c r="AF32" s="47"/>
      <c r="AG32" s="194">
        <f t="shared" ref="AG32:AG46" si="12">N32</f>
        <v>0</v>
      </c>
      <c r="AH32" s="194">
        <f t="shared" si="8"/>
        <v>0</v>
      </c>
      <c r="AI32" s="194">
        <f t="shared" si="8"/>
        <v>0</v>
      </c>
      <c r="AJ32" s="194">
        <f t="shared" si="8"/>
        <v>0</v>
      </c>
      <c r="AK32" s="194">
        <f t="shared" si="8"/>
        <v>0</v>
      </c>
      <c r="AL32" s="194">
        <f t="shared" si="8"/>
        <v>0</v>
      </c>
      <c r="AM32" s="194">
        <f t="shared" si="8"/>
        <v>0</v>
      </c>
      <c r="AN32" s="66">
        <f>SUM(AG32:AM32)</f>
        <v>0</v>
      </c>
    </row>
    <row r="33" spans="1:46" x14ac:dyDescent="0.25">
      <c r="A33" t="s">
        <v>33</v>
      </c>
      <c r="B33" s="15"/>
      <c r="C33" s="3"/>
      <c r="D33" s="3"/>
      <c r="E33" s="3"/>
      <c r="F33" s="111">
        <f t="shared" si="9"/>
        <v>0</v>
      </c>
      <c r="G33" s="111">
        <f t="shared" si="5"/>
        <v>2</v>
      </c>
      <c r="H33" s="111">
        <f t="shared" si="5"/>
        <v>2</v>
      </c>
      <c r="I33" s="111">
        <f t="shared" si="5"/>
        <v>2</v>
      </c>
      <c r="J33" s="111">
        <f t="shared" si="5"/>
        <v>2</v>
      </c>
      <c r="K33" s="111">
        <f t="shared" si="5"/>
        <v>2</v>
      </c>
      <c r="L33" s="111">
        <f t="shared" si="5"/>
        <v>2</v>
      </c>
      <c r="M33" s="47"/>
      <c r="N33" s="194">
        <f t="shared" si="10"/>
        <v>0</v>
      </c>
      <c r="O33" s="194">
        <f t="shared" si="6"/>
        <v>0</v>
      </c>
      <c r="P33" s="194">
        <f t="shared" si="6"/>
        <v>0</v>
      </c>
      <c r="Q33" s="194">
        <f t="shared" si="6"/>
        <v>0</v>
      </c>
      <c r="R33" s="194">
        <f t="shared" si="6"/>
        <v>0</v>
      </c>
      <c r="S33" s="194">
        <f t="shared" si="6"/>
        <v>0</v>
      </c>
      <c r="T33" s="194">
        <f t="shared" si="6"/>
        <v>0</v>
      </c>
      <c r="U33" s="66">
        <f>SUM(N33:T33)</f>
        <v>0</v>
      </c>
      <c r="Y33" s="111">
        <f t="shared" si="11"/>
        <v>0</v>
      </c>
      <c r="Z33" s="111">
        <f t="shared" si="7"/>
        <v>2</v>
      </c>
      <c r="AA33" s="111">
        <f t="shared" si="7"/>
        <v>2</v>
      </c>
      <c r="AB33" s="111">
        <f t="shared" si="7"/>
        <v>2</v>
      </c>
      <c r="AC33" s="111">
        <f t="shared" si="7"/>
        <v>2</v>
      </c>
      <c r="AD33" s="111">
        <f t="shared" si="7"/>
        <v>2</v>
      </c>
      <c r="AE33" s="111">
        <f t="shared" si="7"/>
        <v>2</v>
      </c>
      <c r="AF33" s="47"/>
      <c r="AG33" s="194">
        <f t="shared" si="12"/>
        <v>0</v>
      </c>
      <c r="AH33" s="194">
        <f t="shared" si="8"/>
        <v>0</v>
      </c>
      <c r="AI33" s="194">
        <f t="shared" si="8"/>
        <v>0</v>
      </c>
      <c r="AJ33" s="194">
        <f t="shared" si="8"/>
        <v>0</v>
      </c>
      <c r="AK33" s="194">
        <f t="shared" si="8"/>
        <v>0</v>
      </c>
      <c r="AL33" s="194">
        <f t="shared" si="8"/>
        <v>0</v>
      </c>
      <c r="AM33" s="194">
        <f t="shared" si="8"/>
        <v>0</v>
      </c>
      <c r="AN33" s="66">
        <f>SUM(AG33:AM33)</f>
        <v>0</v>
      </c>
    </row>
    <row r="34" spans="1:46" x14ac:dyDescent="0.25">
      <c r="A34" t="s">
        <v>39</v>
      </c>
      <c r="B34" s="15"/>
      <c r="C34" s="3"/>
      <c r="D34" s="3"/>
      <c r="E34" s="3"/>
      <c r="F34" s="111">
        <f t="shared" si="9"/>
        <v>0</v>
      </c>
      <c r="G34" s="111">
        <f t="shared" si="5"/>
        <v>2</v>
      </c>
      <c r="H34" s="111">
        <f t="shared" si="5"/>
        <v>2</v>
      </c>
      <c r="I34" s="111">
        <f t="shared" si="5"/>
        <v>2</v>
      </c>
      <c r="J34" s="111">
        <f t="shared" si="5"/>
        <v>2</v>
      </c>
      <c r="K34" s="111">
        <f t="shared" si="5"/>
        <v>2</v>
      </c>
      <c r="L34" s="111">
        <f t="shared" si="5"/>
        <v>2</v>
      </c>
      <c r="M34" s="47"/>
      <c r="N34" s="194">
        <f t="shared" si="10"/>
        <v>0</v>
      </c>
      <c r="O34" s="194">
        <f t="shared" si="6"/>
        <v>0</v>
      </c>
      <c r="P34" s="194">
        <f t="shared" si="6"/>
        <v>0</v>
      </c>
      <c r="Q34" s="194">
        <f t="shared" si="6"/>
        <v>0</v>
      </c>
      <c r="R34" s="194">
        <f t="shared" si="6"/>
        <v>0</v>
      </c>
      <c r="S34" s="194">
        <f t="shared" si="6"/>
        <v>0</v>
      </c>
      <c r="T34" s="194">
        <f t="shared" si="6"/>
        <v>0</v>
      </c>
      <c r="U34" s="66">
        <f>SUM(N34:T34)</f>
        <v>0</v>
      </c>
      <c r="Y34" s="111">
        <f t="shared" si="11"/>
        <v>0</v>
      </c>
      <c r="Z34" s="111">
        <f t="shared" si="7"/>
        <v>2</v>
      </c>
      <c r="AA34" s="111">
        <f t="shared" si="7"/>
        <v>2</v>
      </c>
      <c r="AB34" s="111">
        <f t="shared" si="7"/>
        <v>2</v>
      </c>
      <c r="AC34" s="111">
        <f t="shared" si="7"/>
        <v>2</v>
      </c>
      <c r="AD34" s="111">
        <f t="shared" si="7"/>
        <v>2</v>
      </c>
      <c r="AE34" s="111">
        <f t="shared" si="7"/>
        <v>2</v>
      </c>
      <c r="AF34" s="47"/>
      <c r="AG34" s="194">
        <f t="shared" si="12"/>
        <v>0</v>
      </c>
      <c r="AH34" s="194">
        <f t="shared" si="8"/>
        <v>0</v>
      </c>
      <c r="AI34" s="194">
        <f t="shared" si="8"/>
        <v>0</v>
      </c>
      <c r="AJ34" s="194">
        <f t="shared" si="8"/>
        <v>0</v>
      </c>
      <c r="AK34" s="194">
        <f t="shared" si="8"/>
        <v>0</v>
      </c>
      <c r="AL34" s="194">
        <f t="shared" si="8"/>
        <v>0</v>
      </c>
      <c r="AM34" s="194">
        <f t="shared" si="8"/>
        <v>0</v>
      </c>
      <c r="AN34" s="66">
        <f>SUM(AG34:AM34)</f>
        <v>0</v>
      </c>
    </row>
    <row r="35" spans="1:46" x14ac:dyDescent="0.25">
      <c r="A35" t="s">
        <v>41</v>
      </c>
      <c r="B35" s="15"/>
      <c r="C35" s="3"/>
      <c r="D35" s="3"/>
      <c r="E35" s="3"/>
      <c r="F35" s="111">
        <f t="shared" si="9"/>
        <v>0</v>
      </c>
      <c r="G35" s="111">
        <f t="shared" si="5"/>
        <v>2</v>
      </c>
      <c r="H35" s="111">
        <f t="shared" si="5"/>
        <v>2</v>
      </c>
      <c r="I35" s="111">
        <f t="shared" si="5"/>
        <v>2</v>
      </c>
      <c r="J35" s="111">
        <f t="shared" si="5"/>
        <v>2</v>
      </c>
      <c r="K35" s="111">
        <f t="shared" si="5"/>
        <v>2</v>
      </c>
      <c r="L35" s="111">
        <f t="shared" si="5"/>
        <v>2</v>
      </c>
      <c r="M35" s="47"/>
      <c r="N35" s="194">
        <f t="shared" si="10"/>
        <v>0</v>
      </c>
      <c r="O35" s="194">
        <f t="shared" si="6"/>
        <v>0</v>
      </c>
      <c r="P35" s="194">
        <f t="shared" si="6"/>
        <v>0</v>
      </c>
      <c r="Q35" s="194">
        <f t="shared" si="6"/>
        <v>0</v>
      </c>
      <c r="R35" s="194">
        <f t="shared" si="6"/>
        <v>0</v>
      </c>
      <c r="S35" s="194">
        <f t="shared" si="6"/>
        <v>0</v>
      </c>
      <c r="T35" s="194">
        <f t="shared" si="6"/>
        <v>0</v>
      </c>
      <c r="U35" s="66">
        <f t="shared" ref="U35:U42" si="13">SUM(N35:T35)</f>
        <v>0</v>
      </c>
      <c r="Y35" s="111">
        <f t="shared" si="11"/>
        <v>0</v>
      </c>
      <c r="Z35" s="111">
        <f t="shared" si="7"/>
        <v>2</v>
      </c>
      <c r="AA35" s="111">
        <f t="shared" si="7"/>
        <v>2</v>
      </c>
      <c r="AB35" s="111">
        <f t="shared" si="7"/>
        <v>2</v>
      </c>
      <c r="AC35" s="111">
        <f t="shared" si="7"/>
        <v>2</v>
      </c>
      <c r="AD35" s="111">
        <f t="shared" si="7"/>
        <v>2</v>
      </c>
      <c r="AE35" s="111">
        <f t="shared" si="7"/>
        <v>2</v>
      </c>
      <c r="AF35" s="47"/>
      <c r="AG35" s="194">
        <f t="shared" si="12"/>
        <v>0</v>
      </c>
      <c r="AH35" s="194">
        <f t="shared" si="8"/>
        <v>0</v>
      </c>
      <c r="AI35" s="194">
        <f t="shared" si="8"/>
        <v>0</v>
      </c>
      <c r="AJ35" s="194">
        <f t="shared" si="8"/>
        <v>0</v>
      </c>
      <c r="AK35" s="194">
        <f t="shared" si="8"/>
        <v>0</v>
      </c>
      <c r="AL35" s="194">
        <f t="shared" si="8"/>
        <v>0</v>
      </c>
      <c r="AM35" s="194">
        <f t="shared" si="8"/>
        <v>0</v>
      </c>
      <c r="AN35" s="66">
        <f t="shared" ref="AN35:AN42" si="14">SUM(AG35:AM35)</f>
        <v>0</v>
      </c>
    </row>
    <row r="36" spans="1:46" x14ac:dyDescent="0.25">
      <c r="A36" t="s">
        <v>38</v>
      </c>
      <c r="B36" s="15"/>
      <c r="C36" s="3"/>
      <c r="D36" s="3"/>
      <c r="E36" s="3"/>
      <c r="F36" s="111">
        <f t="shared" si="9"/>
        <v>0</v>
      </c>
      <c r="G36" s="111">
        <f t="shared" si="5"/>
        <v>2</v>
      </c>
      <c r="H36" s="111">
        <f t="shared" si="5"/>
        <v>2</v>
      </c>
      <c r="I36" s="111">
        <f t="shared" si="5"/>
        <v>2</v>
      </c>
      <c r="J36" s="111">
        <f t="shared" si="5"/>
        <v>2</v>
      </c>
      <c r="K36" s="111">
        <f t="shared" si="5"/>
        <v>2</v>
      </c>
      <c r="L36" s="111">
        <f t="shared" si="5"/>
        <v>2</v>
      </c>
      <c r="M36" s="47"/>
      <c r="N36" s="194">
        <f t="shared" si="10"/>
        <v>0</v>
      </c>
      <c r="O36" s="194">
        <f t="shared" si="6"/>
        <v>0</v>
      </c>
      <c r="P36" s="194">
        <f t="shared" si="6"/>
        <v>0</v>
      </c>
      <c r="Q36" s="194">
        <f t="shared" si="6"/>
        <v>0</v>
      </c>
      <c r="R36" s="194">
        <f t="shared" si="6"/>
        <v>0</v>
      </c>
      <c r="S36" s="194">
        <f t="shared" si="6"/>
        <v>0</v>
      </c>
      <c r="T36" s="194">
        <f t="shared" si="6"/>
        <v>0</v>
      </c>
      <c r="U36" s="66">
        <f t="shared" si="13"/>
        <v>0</v>
      </c>
      <c r="Y36" s="111">
        <f t="shared" si="11"/>
        <v>0</v>
      </c>
      <c r="Z36" s="111">
        <f t="shared" si="7"/>
        <v>2</v>
      </c>
      <c r="AA36" s="111">
        <f t="shared" si="7"/>
        <v>2</v>
      </c>
      <c r="AB36" s="111">
        <f t="shared" si="7"/>
        <v>2</v>
      </c>
      <c r="AC36" s="111">
        <f t="shared" si="7"/>
        <v>2</v>
      </c>
      <c r="AD36" s="111">
        <f t="shared" si="7"/>
        <v>2</v>
      </c>
      <c r="AE36" s="111">
        <f t="shared" si="7"/>
        <v>2</v>
      </c>
      <c r="AF36" s="47"/>
      <c r="AG36" s="194">
        <f t="shared" si="12"/>
        <v>0</v>
      </c>
      <c r="AH36" s="194">
        <f t="shared" si="8"/>
        <v>0</v>
      </c>
      <c r="AI36" s="194">
        <f t="shared" si="8"/>
        <v>0</v>
      </c>
      <c r="AJ36" s="194">
        <f t="shared" si="8"/>
        <v>0</v>
      </c>
      <c r="AK36" s="194">
        <f t="shared" si="8"/>
        <v>0</v>
      </c>
      <c r="AL36" s="194">
        <f t="shared" si="8"/>
        <v>0</v>
      </c>
      <c r="AM36" s="194">
        <f t="shared" si="8"/>
        <v>0</v>
      </c>
      <c r="AN36" s="66">
        <f t="shared" si="14"/>
        <v>0</v>
      </c>
    </row>
    <row r="37" spans="1:46" x14ac:dyDescent="0.25">
      <c r="A37" t="s">
        <v>35</v>
      </c>
      <c r="B37" s="15"/>
      <c r="C37" s="3"/>
      <c r="D37" s="3"/>
      <c r="E37" s="3"/>
      <c r="F37" s="111">
        <f t="shared" si="9"/>
        <v>0</v>
      </c>
      <c r="G37" s="111">
        <f t="shared" si="5"/>
        <v>2</v>
      </c>
      <c r="H37" s="111">
        <f t="shared" si="5"/>
        <v>2</v>
      </c>
      <c r="I37" s="111">
        <f t="shared" si="5"/>
        <v>2</v>
      </c>
      <c r="J37" s="111">
        <f t="shared" si="5"/>
        <v>2</v>
      </c>
      <c r="K37" s="111">
        <f t="shared" si="5"/>
        <v>2</v>
      </c>
      <c r="L37" s="111">
        <f t="shared" si="5"/>
        <v>2</v>
      </c>
      <c r="M37" s="47"/>
      <c r="N37" s="194">
        <f t="shared" si="10"/>
        <v>0</v>
      </c>
      <c r="O37" s="194">
        <f t="shared" si="6"/>
        <v>0</v>
      </c>
      <c r="P37" s="194">
        <f t="shared" si="6"/>
        <v>0</v>
      </c>
      <c r="Q37" s="194">
        <f t="shared" si="6"/>
        <v>0</v>
      </c>
      <c r="R37" s="194">
        <f t="shared" si="6"/>
        <v>0</v>
      </c>
      <c r="S37" s="194">
        <f t="shared" si="6"/>
        <v>0</v>
      </c>
      <c r="T37" s="194">
        <f t="shared" si="6"/>
        <v>0</v>
      </c>
      <c r="U37" s="66">
        <f t="shared" si="13"/>
        <v>0</v>
      </c>
      <c r="Y37" s="111">
        <f t="shared" si="11"/>
        <v>0</v>
      </c>
      <c r="Z37" s="111">
        <f t="shared" si="7"/>
        <v>2</v>
      </c>
      <c r="AA37" s="111">
        <f t="shared" si="7"/>
        <v>2</v>
      </c>
      <c r="AB37" s="111">
        <f t="shared" si="7"/>
        <v>2</v>
      </c>
      <c r="AC37" s="111">
        <f t="shared" si="7"/>
        <v>2</v>
      </c>
      <c r="AD37" s="111">
        <f t="shared" si="7"/>
        <v>2</v>
      </c>
      <c r="AE37" s="111">
        <f t="shared" si="7"/>
        <v>2</v>
      </c>
      <c r="AF37" s="47"/>
      <c r="AG37" s="194">
        <f t="shared" si="12"/>
        <v>0</v>
      </c>
      <c r="AH37" s="194">
        <f t="shared" si="8"/>
        <v>0</v>
      </c>
      <c r="AI37" s="194">
        <f t="shared" si="8"/>
        <v>0</v>
      </c>
      <c r="AJ37" s="194">
        <f t="shared" si="8"/>
        <v>0</v>
      </c>
      <c r="AK37" s="194">
        <f t="shared" si="8"/>
        <v>0</v>
      </c>
      <c r="AL37" s="194">
        <f t="shared" si="8"/>
        <v>0</v>
      </c>
      <c r="AM37" s="194">
        <f t="shared" si="8"/>
        <v>0</v>
      </c>
      <c r="AN37" s="66">
        <f t="shared" si="14"/>
        <v>0</v>
      </c>
      <c r="AP37" s="198" t="s">
        <v>90</v>
      </c>
      <c r="AQ37" s="198">
        <v>33</v>
      </c>
      <c r="AR37" s="198" t="s">
        <v>88</v>
      </c>
      <c r="AS37" s="198">
        <v>15</v>
      </c>
    </row>
    <row r="38" spans="1:46" x14ac:dyDescent="0.25">
      <c r="A38" t="s">
        <v>31</v>
      </c>
      <c r="B38" s="15"/>
      <c r="C38" s="3"/>
      <c r="D38" s="3"/>
      <c r="E38" s="3"/>
      <c r="F38" s="111">
        <f t="shared" si="9"/>
        <v>0</v>
      </c>
      <c r="G38" s="111">
        <f t="shared" si="5"/>
        <v>2</v>
      </c>
      <c r="H38" s="111">
        <f t="shared" si="5"/>
        <v>2</v>
      </c>
      <c r="I38" s="111">
        <f t="shared" si="5"/>
        <v>2</v>
      </c>
      <c r="J38" s="111">
        <f t="shared" si="5"/>
        <v>2</v>
      </c>
      <c r="K38" s="111">
        <f t="shared" si="5"/>
        <v>2</v>
      </c>
      <c r="L38" s="111">
        <f t="shared" si="5"/>
        <v>2</v>
      </c>
      <c r="M38" s="47"/>
      <c r="N38" s="194">
        <f t="shared" si="10"/>
        <v>0</v>
      </c>
      <c r="O38" s="194">
        <f t="shared" si="6"/>
        <v>0</v>
      </c>
      <c r="P38" s="194">
        <f t="shared" si="6"/>
        <v>0</v>
      </c>
      <c r="Q38" s="194">
        <f t="shared" si="6"/>
        <v>0</v>
      </c>
      <c r="R38" s="194">
        <f t="shared" si="6"/>
        <v>0</v>
      </c>
      <c r="S38" s="194">
        <f t="shared" si="6"/>
        <v>0</v>
      </c>
      <c r="T38" s="194">
        <f t="shared" si="6"/>
        <v>0</v>
      </c>
      <c r="U38" s="66">
        <f t="shared" si="13"/>
        <v>0</v>
      </c>
      <c r="Y38" s="111">
        <f t="shared" si="11"/>
        <v>0</v>
      </c>
      <c r="Z38" s="111">
        <f t="shared" si="7"/>
        <v>2</v>
      </c>
      <c r="AA38" s="111">
        <f t="shared" si="7"/>
        <v>2</v>
      </c>
      <c r="AB38" s="111">
        <f t="shared" si="7"/>
        <v>2</v>
      </c>
      <c r="AC38" s="111">
        <f t="shared" si="7"/>
        <v>2</v>
      </c>
      <c r="AD38" s="111">
        <f t="shared" si="7"/>
        <v>2</v>
      </c>
      <c r="AE38" s="111">
        <f t="shared" si="7"/>
        <v>2</v>
      </c>
      <c r="AF38" s="47"/>
      <c r="AG38" s="194">
        <f t="shared" si="12"/>
        <v>0</v>
      </c>
      <c r="AH38" s="194">
        <f t="shared" si="8"/>
        <v>0</v>
      </c>
      <c r="AI38" s="194">
        <f t="shared" si="8"/>
        <v>0</v>
      </c>
      <c r="AJ38" s="194">
        <f t="shared" si="8"/>
        <v>0</v>
      </c>
      <c r="AK38" s="194">
        <f t="shared" si="8"/>
        <v>0</v>
      </c>
      <c r="AL38" s="194">
        <f t="shared" si="8"/>
        <v>0</v>
      </c>
      <c r="AM38" s="194">
        <f t="shared" si="8"/>
        <v>0</v>
      </c>
      <c r="AN38" s="66">
        <f t="shared" si="14"/>
        <v>0</v>
      </c>
      <c r="AQ38">
        <f>AQ37*7</f>
        <v>231</v>
      </c>
      <c r="AS38">
        <f>AS37*7</f>
        <v>105</v>
      </c>
      <c r="AT38">
        <f>AQ38+AS38</f>
        <v>336</v>
      </c>
    </row>
    <row r="39" spans="1:46" x14ac:dyDescent="0.25">
      <c r="A39" t="s">
        <v>43</v>
      </c>
      <c r="B39" s="15" t="s">
        <v>335</v>
      </c>
      <c r="C39" s="3" t="s">
        <v>0</v>
      </c>
      <c r="D39" s="3">
        <v>18</v>
      </c>
      <c r="E39" s="3">
        <v>80</v>
      </c>
      <c r="F39" s="111">
        <f t="shared" si="9"/>
        <v>0</v>
      </c>
      <c r="G39" s="111">
        <v>7</v>
      </c>
      <c r="H39" s="111">
        <v>10</v>
      </c>
      <c r="I39" s="111">
        <f t="shared" si="5"/>
        <v>2</v>
      </c>
      <c r="J39" s="111">
        <f t="shared" si="5"/>
        <v>2</v>
      </c>
      <c r="K39" s="111">
        <f t="shared" si="5"/>
        <v>2</v>
      </c>
      <c r="L39" s="111">
        <f t="shared" si="5"/>
        <v>2</v>
      </c>
      <c r="M39" s="47">
        <f>(2910+225)*1.008</f>
        <v>3160.08</v>
      </c>
      <c r="N39" s="194">
        <f t="shared" si="10"/>
        <v>0</v>
      </c>
      <c r="O39" s="194">
        <v>18</v>
      </c>
      <c r="P39" s="194">
        <v>33</v>
      </c>
      <c r="Q39" s="194">
        <f t="shared" si="6"/>
        <v>0</v>
      </c>
      <c r="R39" s="194">
        <f t="shared" si="6"/>
        <v>0</v>
      </c>
      <c r="S39" s="194">
        <f t="shared" si="6"/>
        <v>0</v>
      </c>
      <c r="T39" s="194">
        <f t="shared" si="6"/>
        <v>0</v>
      </c>
      <c r="U39" s="66">
        <f t="shared" si="13"/>
        <v>51</v>
      </c>
      <c r="W39">
        <f t="shared" ref="W39:W44" si="15">D39+3</f>
        <v>21</v>
      </c>
      <c r="X39">
        <f t="shared" ref="X39:X44" si="16">E39+$AT$41</f>
        <v>80</v>
      </c>
      <c r="Y39" s="111">
        <f t="shared" si="11"/>
        <v>0</v>
      </c>
      <c r="Z39" s="111">
        <f t="shared" si="7"/>
        <v>7</v>
      </c>
      <c r="AA39" s="111">
        <v>12</v>
      </c>
      <c r="AB39" s="111">
        <f t="shared" si="7"/>
        <v>2</v>
      </c>
      <c r="AC39" s="111">
        <f t="shared" si="7"/>
        <v>2</v>
      </c>
      <c r="AD39" s="111">
        <v>10</v>
      </c>
      <c r="AE39" s="111">
        <f t="shared" si="7"/>
        <v>2</v>
      </c>
      <c r="AF39" s="47">
        <f>(8670+1315+225)*1.008</f>
        <v>10291.68</v>
      </c>
      <c r="AG39" s="194">
        <f t="shared" si="12"/>
        <v>0</v>
      </c>
      <c r="AH39" s="194">
        <f t="shared" si="8"/>
        <v>18</v>
      </c>
      <c r="AI39" s="194">
        <v>48</v>
      </c>
      <c r="AJ39" s="194">
        <f t="shared" si="8"/>
        <v>0</v>
      </c>
      <c r="AK39" s="194">
        <f t="shared" si="8"/>
        <v>0</v>
      </c>
      <c r="AL39" s="194">
        <v>33</v>
      </c>
      <c r="AM39" s="194">
        <f t="shared" si="8"/>
        <v>0</v>
      </c>
      <c r="AN39" s="66">
        <f t="shared" si="14"/>
        <v>99</v>
      </c>
      <c r="AQ39">
        <f>AQ38-112</f>
        <v>119</v>
      </c>
      <c r="AT39">
        <f>AT38-112</f>
        <v>224</v>
      </c>
    </row>
    <row r="40" spans="1:46" x14ac:dyDescent="0.25">
      <c r="A40" t="s">
        <v>37</v>
      </c>
      <c r="B40" s="15" t="s">
        <v>335</v>
      </c>
      <c r="C40" s="3" t="s">
        <v>0</v>
      </c>
      <c r="D40" s="3">
        <v>18</v>
      </c>
      <c r="E40" s="3">
        <v>80</v>
      </c>
      <c r="F40" s="111">
        <f t="shared" si="9"/>
        <v>0</v>
      </c>
      <c r="G40" s="111">
        <v>7</v>
      </c>
      <c r="H40" s="111">
        <v>10</v>
      </c>
      <c r="I40" s="111">
        <f t="shared" si="5"/>
        <v>2</v>
      </c>
      <c r="J40" s="111">
        <f t="shared" si="5"/>
        <v>2</v>
      </c>
      <c r="K40" s="111">
        <f t="shared" si="5"/>
        <v>2</v>
      </c>
      <c r="L40" s="111">
        <f t="shared" si="5"/>
        <v>2</v>
      </c>
      <c r="M40" s="47">
        <f>(2910+225)*1.008</f>
        <v>3160.08</v>
      </c>
      <c r="N40" s="194">
        <f t="shared" si="10"/>
        <v>0</v>
      </c>
      <c r="O40" s="194">
        <v>18</v>
      </c>
      <c r="P40" s="194">
        <v>33</v>
      </c>
      <c r="Q40" s="194">
        <f t="shared" si="6"/>
        <v>0</v>
      </c>
      <c r="R40" s="194">
        <f t="shared" si="6"/>
        <v>0</v>
      </c>
      <c r="S40" s="194">
        <f t="shared" si="6"/>
        <v>0</v>
      </c>
      <c r="T40" s="194">
        <f t="shared" si="6"/>
        <v>0</v>
      </c>
      <c r="U40" s="66">
        <f t="shared" si="13"/>
        <v>51</v>
      </c>
      <c r="W40">
        <f t="shared" si="15"/>
        <v>21</v>
      </c>
      <c r="X40">
        <f t="shared" si="16"/>
        <v>80</v>
      </c>
      <c r="Y40" s="111">
        <f t="shared" si="11"/>
        <v>0</v>
      </c>
      <c r="Z40" s="111">
        <f t="shared" si="7"/>
        <v>7</v>
      </c>
      <c r="AA40" s="111">
        <v>12</v>
      </c>
      <c r="AB40" s="111">
        <f t="shared" si="7"/>
        <v>2</v>
      </c>
      <c r="AC40" s="111">
        <f t="shared" si="7"/>
        <v>2</v>
      </c>
      <c r="AD40" s="111">
        <v>10</v>
      </c>
      <c r="AE40" s="111">
        <f t="shared" si="7"/>
        <v>2</v>
      </c>
      <c r="AF40" s="47">
        <f>AF39</f>
        <v>10291.68</v>
      </c>
      <c r="AG40" s="194">
        <f t="shared" si="12"/>
        <v>0</v>
      </c>
      <c r="AH40" s="194">
        <f t="shared" si="8"/>
        <v>18</v>
      </c>
      <c r="AI40" s="194">
        <v>48</v>
      </c>
      <c r="AJ40" s="194">
        <f t="shared" si="8"/>
        <v>0</v>
      </c>
      <c r="AK40" s="194">
        <f t="shared" si="8"/>
        <v>0</v>
      </c>
      <c r="AL40" s="194">
        <v>33</v>
      </c>
      <c r="AM40" s="194">
        <f t="shared" si="8"/>
        <v>0</v>
      </c>
      <c r="AN40" s="66">
        <f t="shared" si="14"/>
        <v>99</v>
      </c>
      <c r="AQ40">
        <f>AQ39-112</f>
        <v>7</v>
      </c>
      <c r="AT40">
        <f>AT39-112</f>
        <v>112</v>
      </c>
    </row>
    <row r="41" spans="1:46" x14ac:dyDescent="0.25">
      <c r="A41" t="s">
        <v>36</v>
      </c>
      <c r="B41" s="15" t="s">
        <v>335</v>
      </c>
      <c r="C41" s="3" t="s">
        <v>0</v>
      </c>
      <c r="D41" s="3">
        <v>18</v>
      </c>
      <c r="E41" s="3">
        <v>80</v>
      </c>
      <c r="F41" s="111">
        <f t="shared" si="9"/>
        <v>0</v>
      </c>
      <c r="G41" s="111">
        <v>7</v>
      </c>
      <c r="H41" s="111">
        <v>10</v>
      </c>
      <c r="I41" s="111">
        <f t="shared" si="5"/>
        <v>2</v>
      </c>
      <c r="J41" s="111">
        <f t="shared" si="5"/>
        <v>2</v>
      </c>
      <c r="K41" s="111">
        <f t="shared" si="5"/>
        <v>2</v>
      </c>
      <c r="L41" s="111">
        <f t="shared" si="5"/>
        <v>2</v>
      </c>
      <c r="M41" s="47">
        <f>(2910+225)*1.008</f>
        <v>3160.08</v>
      </c>
      <c r="N41" s="194">
        <f t="shared" si="10"/>
        <v>0</v>
      </c>
      <c r="O41" s="194">
        <v>18</v>
      </c>
      <c r="P41" s="194">
        <v>33</v>
      </c>
      <c r="Q41" s="194">
        <f t="shared" si="6"/>
        <v>0</v>
      </c>
      <c r="R41" s="194">
        <f t="shared" si="6"/>
        <v>0</v>
      </c>
      <c r="S41" s="194">
        <f t="shared" si="6"/>
        <v>0</v>
      </c>
      <c r="T41" s="194">
        <f t="shared" si="6"/>
        <v>0</v>
      </c>
      <c r="U41" s="66">
        <f t="shared" si="13"/>
        <v>51</v>
      </c>
      <c r="W41">
        <f t="shared" si="15"/>
        <v>21</v>
      </c>
      <c r="X41">
        <f t="shared" si="16"/>
        <v>80</v>
      </c>
      <c r="Y41" s="111">
        <f t="shared" si="11"/>
        <v>0</v>
      </c>
      <c r="Z41" s="111">
        <f t="shared" si="7"/>
        <v>7</v>
      </c>
      <c r="AA41" s="111">
        <v>12</v>
      </c>
      <c r="AB41" s="111">
        <f t="shared" si="7"/>
        <v>2</v>
      </c>
      <c r="AC41" s="111">
        <f t="shared" si="7"/>
        <v>2</v>
      </c>
      <c r="AD41" s="111">
        <v>10</v>
      </c>
      <c r="AE41" s="111">
        <f t="shared" si="7"/>
        <v>2</v>
      </c>
      <c r="AF41" s="47">
        <f>AF40</f>
        <v>10291.68</v>
      </c>
      <c r="AG41" s="194">
        <f t="shared" si="12"/>
        <v>0</v>
      </c>
      <c r="AH41" s="194">
        <f t="shared" si="8"/>
        <v>18</v>
      </c>
      <c r="AI41" s="194">
        <v>48</v>
      </c>
      <c r="AJ41" s="194">
        <f t="shared" si="8"/>
        <v>0</v>
      </c>
      <c r="AK41" s="194">
        <f t="shared" si="8"/>
        <v>0</v>
      </c>
      <c r="AL41" s="194">
        <v>33</v>
      </c>
      <c r="AM41" s="194">
        <f t="shared" si="8"/>
        <v>0</v>
      </c>
      <c r="AN41" s="66">
        <f t="shared" si="14"/>
        <v>99</v>
      </c>
      <c r="AT41">
        <f>AT40-112</f>
        <v>0</v>
      </c>
    </row>
    <row r="42" spans="1:46" x14ac:dyDescent="0.25">
      <c r="A42" t="s">
        <v>40</v>
      </c>
      <c r="B42" s="15" t="str">
        <f t="shared" ref="B42:C44" si="17">B24</f>
        <v>E. Cubas</v>
      </c>
      <c r="C42" s="3" t="str">
        <f t="shared" si="17"/>
        <v>RAP</v>
      </c>
      <c r="D42" s="3">
        <f t="shared" ref="D42:E44" si="18">W24</f>
        <v>18</v>
      </c>
      <c r="E42" s="3">
        <f t="shared" si="18"/>
        <v>95.5</v>
      </c>
      <c r="F42" s="111">
        <f t="shared" si="9"/>
        <v>0</v>
      </c>
      <c r="G42" s="111">
        <f t="shared" si="5"/>
        <v>2</v>
      </c>
      <c r="H42" s="111">
        <f t="shared" si="5"/>
        <v>5.7</v>
      </c>
      <c r="I42" s="111">
        <f t="shared" si="5"/>
        <v>9.5</v>
      </c>
      <c r="J42" s="111">
        <f t="shared" si="5"/>
        <v>8.6</v>
      </c>
      <c r="K42" s="111">
        <f t="shared" si="5"/>
        <v>3</v>
      </c>
      <c r="L42" s="111">
        <f t="shared" si="5"/>
        <v>2</v>
      </c>
      <c r="M42" s="47">
        <f>AF24</f>
        <v>2449.44</v>
      </c>
      <c r="N42" s="194">
        <f t="shared" si="10"/>
        <v>0</v>
      </c>
      <c r="O42" s="194">
        <f t="shared" si="6"/>
        <v>0</v>
      </c>
      <c r="P42" s="194">
        <f t="shared" si="6"/>
        <v>11</v>
      </c>
      <c r="Q42" s="194">
        <f t="shared" si="6"/>
        <v>20.5</v>
      </c>
      <c r="R42" s="194">
        <f t="shared" si="6"/>
        <v>21</v>
      </c>
      <c r="S42" s="194">
        <f t="shared" si="6"/>
        <v>2</v>
      </c>
      <c r="T42" s="194">
        <f t="shared" si="6"/>
        <v>0</v>
      </c>
      <c r="U42" s="66">
        <f t="shared" si="13"/>
        <v>54.5</v>
      </c>
      <c r="W42">
        <f t="shared" si="15"/>
        <v>21</v>
      </c>
      <c r="X42">
        <f t="shared" si="16"/>
        <v>95.5</v>
      </c>
      <c r="Y42" s="111">
        <f t="shared" si="11"/>
        <v>0</v>
      </c>
      <c r="Z42" s="111">
        <f t="shared" si="7"/>
        <v>2</v>
      </c>
      <c r="AA42" s="111">
        <v>9</v>
      </c>
      <c r="AB42" s="111">
        <f t="shared" si="7"/>
        <v>9.5</v>
      </c>
      <c r="AC42" s="111">
        <f t="shared" si="7"/>
        <v>8.6</v>
      </c>
      <c r="AD42" s="111">
        <f>10+2/7</f>
        <v>10.285714285714286</v>
      </c>
      <c r="AE42" s="111">
        <f t="shared" si="7"/>
        <v>2</v>
      </c>
      <c r="AF42" s="47">
        <f>(2850+620+170+785)*1.008</f>
        <v>4460.3999999999996</v>
      </c>
      <c r="AG42" s="194">
        <f t="shared" si="12"/>
        <v>0</v>
      </c>
      <c r="AH42" s="194">
        <f t="shared" si="8"/>
        <v>0</v>
      </c>
      <c r="AI42" s="194">
        <f>P42+15</f>
        <v>26</v>
      </c>
      <c r="AJ42" s="194">
        <f t="shared" si="8"/>
        <v>20.5</v>
      </c>
      <c r="AK42" s="194">
        <f t="shared" si="8"/>
        <v>21</v>
      </c>
      <c r="AL42" s="194">
        <f>2+33</f>
        <v>35</v>
      </c>
      <c r="AM42" s="194">
        <f t="shared" si="8"/>
        <v>0</v>
      </c>
      <c r="AN42" s="66">
        <f t="shared" si="14"/>
        <v>102.5</v>
      </c>
    </row>
    <row r="43" spans="1:46" x14ac:dyDescent="0.25">
      <c r="A43" t="s">
        <v>34</v>
      </c>
      <c r="B43" s="15" t="str">
        <f t="shared" si="17"/>
        <v>V. Gomis</v>
      </c>
      <c r="C43" s="3" t="str">
        <f t="shared" si="17"/>
        <v>IMP</v>
      </c>
      <c r="D43" s="3">
        <f t="shared" si="18"/>
        <v>18</v>
      </c>
      <c r="E43" s="3">
        <f t="shared" si="18"/>
        <v>99.5</v>
      </c>
      <c r="F43" s="111">
        <f t="shared" si="9"/>
        <v>0</v>
      </c>
      <c r="G43" s="111">
        <f t="shared" si="5"/>
        <v>6</v>
      </c>
      <c r="H43" s="111">
        <f t="shared" si="5"/>
        <v>3</v>
      </c>
      <c r="I43" s="111">
        <f t="shared" si="5"/>
        <v>8</v>
      </c>
      <c r="J43" s="111">
        <f t="shared" si="5"/>
        <v>8.6</v>
      </c>
      <c r="K43" s="111">
        <f t="shared" si="5"/>
        <v>2</v>
      </c>
      <c r="L43" s="111">
        <f t="shared" si="5"/>
        <v>0</v>
      </c>
      <c r="M43" s="47">
        <f t="shared" si="5"/>
        <v>1450</v>
      </c>
      <c r="N43" s="194">
        <f t="shared" si="10"/>
        <v>0</v>
      </c>
      <c r="O43" s="194">
        <f t="shared" si="6"/>
        <v>14</v>
      </c>
      <c r="P43" s="194">
        <f t="shared" si="6"/>
        <v>3</v>
      </c>
      <c r="Q43" s="194">
        <f t="shared" si="6"/>
        <v>15</v>
      </c>
      <c r="R43" s="194">
        <f t="shared" si="6"/>
        <v>21</v>
      </c>
      <c r="S43" s="194">
        <f t="shared" si="6"/>
        <v>0</v>
      </c>
      <c r="T43" s="194">
        <f t="shared" si="6"/>
        <v>-2</v>
      </c>
      <c r="U43" s="66">
        <f>SUM(N43:T43)</f>
        <v>51</v>
      </c>
      <c r="W43">
        <f t="shared" si="15"/>
        <v>21</v>
      </c>
      <c r="X43">
        <f t="shared" si="16"/>
        <v>99.5</v>
      </c>
      <c r="Y43" s="111">
        <f t="shared" si="11"/>
        <v>0</v>
      </c>
      <c r="Z43" s="111">
        <f t="shared" si="7"/>
        <v>6</v>
      </c>
      <c r="AA43" s="111">
        <v>7.5</v>
      </c>
      <c r="AB43" s="111">
        <f t="shared" si="7"/>
        <v>8</v>
      </c>
      <c r="AC43" s="111">
        <f t="shared" si="7"/>
        <v>8.6</v>
      </c>
      <c r="AD43" s="111">
        <v>10</v>
      </c>
      <c r="AE43" s="111">
        <f t="shared" si="7"/>
        <v>0</v>
      </c>
      <c r="AF43" s="47">
        <f>(2630+140+275+165+330)*1</f>
        <v>3540</v>
      </c>
      <c r="AG43" s="194">
        <f t="shared" si="12"/>
        <v>0</v>
      </c>
      <c r="AH43" s="194">
        <f t="shared" si="8"/>
        <v>14</v>
      </c>
      <c r="AI43" s="194">
        <f>P43+15</f>
        <v>18</v>
      </c>
      <c r="AJ43" s="194">
        <f t="shared" si="8"/>
        <v>15</v>
      </c>
      <c r="AK43" s="194">
        <f t="shared" si="8"/>
        <v>21</v>
      </c>
      <c r="AL43" s="194">
        <v>33</v>
      </c>
      <c r="AM43" s="194">
        <f t="shared" si="8"/>
        <v>-2</v>
      </c>
      <c r="AN43" s="66">
        <f>SUM(AG43:AM43)</f>
        <v>99</v>
      </c>
    </row>
    <row r="44" spans="1:46" x14ac:dyDescent="0.25">
      <c r="A44" t="s">
        <v>42</v>
      </c>
      <c r="B44" s="15" t="str">
        <f t="shared" si="17"/>
        <v>J.G. Peñuela</v>
      </c>
      <c r="C44" s="3" t="str">
        <f t="shared" si="17"/>
        <v>IMP</v>
      </c>
      <c r="D44" s="3">
        <f t="shared" si="18"/>
        <v>18</v>
      </c>
      <c r="E44" s="3">
        <f t="shared" si="18"/>
        <v>95.5</v>
      </c>
      <c r="F44" s="111">
        <f t="shared" si="9"/>
        <v>0</v>
      </c>
      <c r="G44" s="111">
        <f t="shared" si="5"/>
        <v>3</v>
      </c>
      <c r="H44" s="111">
        <f t="shared" si="5"/>
        <v>5</v>
      </c>
      <c r="I44" s="111">
        <f t="shared" si="5"/>
        <v>8.8333333333333339</v>
      </c>
      <c r="J44" s="111">
        <f t="shared" si="5"/>
        <v>8</v>
      </c>
      <c r="K44" s="111">
        <f t="shared" si="5"/>
        <v>3</v>
      </c>
      <c r="L44" s="111">
        <f t="shared" si="5"/>
        <v>0</v>
      </c>
      <c r="M44" s="47">
        <f t="shared" si="5"/>
        <v>1745</v>
      </c>
      <c r="N44" s="194">
        <f t="shared" si="10"/>
        <v>0</v>
      </c>
      <c r="O44" s="194">
        <f t="shared" si="6"/>
        <v>3</v>
      </c>
      <c r="P44" s="194">
        <f t="shared" si="6"/>
        <v>9</v>
      </c>
      <c r="Q44" s="194">
        <f t="shared" si="6"/>
        <v>17.5</v>
      </c>
      <c r="R44" s="194">
        <f t="shared" si="6"/>
        <v>18</v>
      </c>
      <c r="S44" s="194">
        <f t="shared" si="6"/>
        <v>2</v>
      </c>
      <c r="T44" s="194">
        <f t="shared" si="6"/>
        <v>-2</v>
      </c>
      <c r="U44" s="66">
        <f>SUM(N44:T44)</f>
        <v>47.5</v>
      </c>
      <c r="W44">
        <f t="shared" si="15"/>
        <v>21</v>
      </c>
      <c r="X44">
        <f t="shared" si="16"/>
        <v>95.5</v>
      </c>
      <c r="Y44" s="111">
        <f t="shared" si="11"/>
        <v>0</v>
      </c>
      <c r="Z44" s="111">
        <f t="shared" si="7"/>
        <v>3</v>
      </c>
      <c r="AA44" s="111">
        <f>8+3/5</f>
        <v>8.6</v>
      </c>
      <c r="AB44" s="111">
        <f t="shared" si="7"/>
        <v>8.8333333333333339</v>
      </c>
      <c r="AC44" s="111">
        <f t="shared" si="7"/>
        <v>8</v>
      </c>
      <c r="AD44" s="111">
        <f>AD42</f>
        <v>10.285714285714286</v>
      </c>
      <c r="AE44" s="111">
        <f t="shared" si="7"/>
        <v>0</v>
      </c>
      <c r="AF44" s="47">
        <f>(2630+135+420+615)*1</f>
        <v>3800</v>
      </c>
      <c r="AG44" s="194">
        <f t="shared" si="12"/>
        <v>0</v>
      </c>
      <c r="AH44" s="194">
        <f t="shared" si="8"/>
        <v>3</v>
      </c>
      <c r="AI44" s="194">
        <f>P44+15</f>
        <v>24</v>
      </c>
      <c r="AJ44" s="194">
        <f t="shared" si="8"/>
        <v>17.5</v>
      </c>
      <c r="AK44" s="194">
        <f t="shared" si="8"/>
        <v>18</v>
      </c>
      <c r="AL44" s="194">
        <f>2+33</f>
        <v>35</v>
      </c>
      <c r="AM44" s="194">
        <f t="shared" si="8"/>
        <v>-2</v>
      </c>
      <c r="AN44" s="66">
        <f>SUM(AG44:AM44)</f>
        <v>95.5</v>
      </c>
    </row>
    <row r="45" spans="1:46" x14ac:dyDescent="0.25">
      <c r="A45" t="s">
        <v>46</v>
      </c>
      <c r="B45" s="15"/>
      <c r="C45" s="3"/>
      <c r="D45" s="3"/>
      <c r="E45" s="3"/>
      <c r="F45" s="111">
        <f t="shared" si="9"/>
        <v>0</v>
      </c>
      <c r="G45" s="111">
        <f t="shared" si="5"/>
        <v>2</v>
      </c>
      <c r="H45" s="111">
        <f t="shared" si="5"/>
        <v>2</v>
      </c>
      <c r="I45" s="111">
        <f t="shared" si="5"/>
        <v>2</v>
      </c>
      <c r="J45" s="111">
        <f t="shared" si="5"/>
        <v>2</v>
      </c>
      <c r="K45" s="111">
        <f t="shared" si="5"/>
        <v>2</v>
      </c>
      <c r="L45" s="111">
        <f t="shared" si="5"/>
        <v>2</v>
      </c>
      <c r="M45" s="47"/>
      <c r="N45" s="194">
        <f t="shared" si="10"/>
        <v>0</v>
      </c>
      <c r="O45" s="194">
        <f t="shared" si="6"/>
        <v>0</v>
      </c>
      <c r="P45" s="194">
        <f t="shared" si="6"/>
        <v>0</v>
      </c>
      <c r="Q45" s="194">
        <f t="shared" si="6"/>
        <v>0</v>
      </c>
      <c r="R45" s="194">
        <f t="shared" si="6"/>
        <v>0</v>
      </c>
      <c r="S45" s="194">
        <f t="shared" si="6"/>
        <v>0</v>
      </c>
      <c r="T45" s="194">
        <f t="shared" si="6"/>
        <v>0</v>
      </c>
      <c r="U45" s="66">
        <f>SUM(N45:T45)</f>
        <v>0</v>
      </c>
      <c r="Y45" s="111">
        <f t="shared" si="11"/>
        <v>0</v>
      </c>
      <c r="Z45" s="111">
        <f t="shared" si="7"/>
        <v>2</v>
      </c>
      <c r="AA45" s="111">
        <f t="shared" si="7"/>
        <v>2</v>
      </c>
      <c r="AB45" s="111">
        <f t="shared" si="7"/>
        <v>2</v>
      </c>
      <c r="AC45" s="111">
        <f t="shared" si="7"/>
        <v>2</v>
      </c>
      <c r="AD45" s="111">
        <f t="shared" si="7"/>
        <v>2</v>
      </c>
      <c r="AE45" s="111">
        <f t="shared" si="7"/>
        <v>2</v>
      </c>
      <c r="AF45" s="47"/>
      <c r="AG45" s="194">
        <f t="shared" si="12"/>
        <v>0</v>
      </c>
      <c r="AH45" s="194">
        <f t="shared" si="8"/>
        <v>0</v>
      </c>
      <c r="AI45" s="194">
        <f t="shared" si="8"/>
        <v>0</v>
      </c>
      <c r="AJ45" s="194">
        <f t="shared" si="8"/>
        <v>0</v>
      </c>
      <c r="AK45" s="194">
        <f t="shared" si="8"/>
        <v>0</v>
      </c>
      <c r="AL45" s="194">
        <f t="shared" si="8"/>
        <v>0</v>
      </c>
      <c r="AM45" s="194">
        <f t="shared" si="8"/>
        <v>0</v>
      </c>
      <c r="AN45" s="66">
        <f>SUM(AG45:AM45)</f>
        <v>0</v>
      </c>
    </row>
    <row r="46" spans="1:46" x14ac:dyDescent="0.25">
      <c r="A46" t="s">
        <v>334</v>
      </c>
      <c r="B46" s="15"/>
      <c r="C46" s="3"/>
      <c r="D46" s="3"/>
      <c r="E46" s="3"/>
      <c r="F46" s="111">
        <f t="shared" si="9"/>
        <v>0</v>
      </c>
      <c r="G46" s="111">
        <f t="shared" si="5"/>
        <v>2</v>
      </c>
      <c r="H46" s="111">
        <f t="shared" si="5"/>
        <v>2</v>
      </c>
      <c r="I46" s="111">
        <f t="shared" si="5"/>
        <v>2</v>
      </c>
      <c r="J46" s="111">
        <f t="shared" si="5"/>
        <v>2</v>
      </c>
      <c r="K46" s="111">
        <f t="shared" si="5"/>
        <v>2</v>
      </c>
      <c r="L46" s="111">
        <f t="shared" si="5"/>
        <v>2</v>
      </c>
      <c r="M46" s="47"/>
      <c r="N46" s="194">
        <f t="shared" si="10"/>
        <v>0</v>
      </c>
      <c r="O46" s="194">
        <f t="shared" si="6"/>
        <v>0</v>
      </c>
      <c r="P46" s="194">
        <f t="shared" si="6"/>
        <v>0</v>
      </c>
      <c r="Q46" s="194">
        <f t="shared" si="6"/>
        <v>0</v>
      </c>
      <c r="R46" s="194">
        <f t="shared" si="6"/>
        <v>0</v>
      </c>
      <c r="S46" s="194">
        <f t="shared" si="6"/>
        <v>0</v>
      </c>
      <c r="T46" s="194">
        <f t="shared" si="6"/>
        <v>0</v>
      </c>
      <c r="U46" s="66">
        <f>SUM(N46:T46)</f>
        <v>0</v>
      </c>
      <c r="Y46" s="111">
        <f t="shared" si="11"/>
        <v>0</v>
      </c>
      <c r="Z46" s="111">
        <f t="shared" si="7"/>
        <v>2</v>
      </c>
      <c r="AA46" s="111">
        <f t="shared" si="7"/>
        <v>2</v>
      </c>
      <c r="AB46" s="111">
        <f t="shared" si="7"/>
        <v>2</v>
      </c>
      <c r="AC46" s="111">
        <f t="shared" si="7"/>
        <v>2</v>
      </c>
      <c r="AD46" s="111">
        <f t="shared" si="7"/>
        <v>2</v>
      </c>
      <c r="AE46" s="111">
        <f t="shared" si="7"/>
        <v>2</v>
      </c>
      <c r="AF46" s="47"/>
      <c r="AG46" s="194">
        <f t="shared" si="12"/>
        <v>0</v>
      </c>
      <c r="AH46" s="194">
        <f t="shared" si="8"/>
        <v>0</v>
      </c>
      <c r="AI46" s="194">
        <f t="shared" si="8"/>
        <v>0</v>
      </c>
      <c r="AJ46" s="194">
        <f t="shared" si="8"/>
        <v>0</v>
      </c>
      <c r="AK46" s="194">
        <f t="shared" si="8"/>
        <v>0</v>
      </c>
      <c r="AL46" s="194">
        <f t="shared" si="8"/>
        <v>0</v>
      </c>
      <c r="AM46" s="194">
        <f t="shared" si="8"/>
        <v>0</v>
      </c>
      <c r="AN46" s="66">
        <f>SUM(AG46:AM46)</f>
        <v>0</v>
      </c>
    </row>
    <row r="47" spans="1:46" x14ac:dyDescent="0.25">
      <c r="A47"/>
      <c r="B47"/>
      <c r="F47" s="194"/>
      <c r="G47" s="194"/>
      <c r="H47" s="194"/>
      <c r="I47" s="194"/>
      <c r="J47" s="194"/>
      <c r="K47" s="194"/>
      <c r="L47" s="194"/>
      <c r="M47" s="195">
        <f>SUM(M49:M63)</f>
        <v>64407.92</v>
      </c>
      <c r="N47" s="194"/>
      <c r="O47" s="194"/>
      <c r="P47" s="194"/>
      <c r="Q47" s="194"/>
      <c r="R47" s="194"/>
      <c r="S47" s="194"/>
      <c r="T47" s="194"/>
      <c r="U47" s="194"/>
      <c r="Y47" s="194"/>
      <c r="Z47" s="194"/>
      <c r="AA47" s="194"/>
      <c r="AB47" s="194"/>
      <c r="AC47" s="194"/>
      <c r="AD47" s="194"/>
      <c r="AE47" s="194"/>
      <c r="AF47" s="195">
        <f>SUM(AF49:AF63)</f>
        <v>89732.88</v>
      </c>
      <c r="AG47" s="194"/>
      <c r="AH47" s="194"/>
      <c r="AI47" s="194"/>
      <c r="AJ47" s="194"/>
      <c r="AK47" s="194"/>
      <c r="AL47" s="194"/>
      <c r="AM47" s="194"/>
      <c r="AN47" s="194"/>
    </row>
    <row r="48" spans="1:46" x14ac:dyDescent="0.25">
      <c r="A48" s="10" t="s">
        <v>170</v>
      </c>
      <c r="B48" s="10" t="s">
        <v>2</v>
      </c>
      <c r="C48" s="10" t="s">
        <v>84</v>
      </c>
      <c r="D48" s="10" t="s">
        <v>321</v>
      </c>
      <c r="E48" s="10" t="s">
        <v>322</v>
      </c>
      <c r="F48" s="10" t="s">
        <v>15</v>
      </c>
      <c r="G48" s="10" t="s">
        <v>16</v>
      </c>
      <c r="H48" s="10" t="s">
        <v>17</v>
      </c>
      <c r="I48" s="10" t="s">
        <v>18</v>
      </c>
      <c r="J48" s="10" t="s">
        <v>19</v>
      </c>
      <c r="K48" s="10" t="s">
        <v>20</v>
      </c>
      <c r="L48" s="10" t="s">
        <v>6</v>
      </c>
      <c r="M48" s="10" t="s">
        <v>68</v>
      </c>
      <c r="N48" s="10" t="s">
        <v>323</v>
      </c>
      <c r="O48" s="10" t="s">
        <v>324</v>
      </c>
      <c r="P48" s="10" t="s">
        <v>325</v>
      </c>
      <c r="Q48" s="10" t="s">
        <v>326</v>
      </c>
      <c r="R48" s="10" t="s">
        <v>327</v>
      </c>
      <c r="S48" s="10" t="s">
        <v>328</v>
      </c>
      <c r="T48" s="10" t="s">
        <v>329</v>
      </c>
      <c r="U48" s="10" t="s">
        <v>330</v>
      </c>
      <c r="W48" s="10" t="s">
        <v>321</v>
      </c>
      <c r="X48" s="10" t="s">
        <v>322</v>
      </c>
      <c r="Y48" s="10" t="s">
        <v>15</v>
      </c>
      <c r="Z48" s="10" t="s">
        <v>16</v>
      </c>
      <c r="AA48" s="10" t="s">
        <v>17</v>
      </c>
      <c r="AB48" s="10" t="s">
        <v>18</v>
      </c>
      <c r="AC48" s="10" t="s">
        <v>19</v>
      </c>
      <c r="AD48" s="10" t="s">
        <v>20</v>
      </c>
      <c r="AE48" s="10" t="s">
        <v>6</v>
      </c>
      <c r="AF48" s="10" t="s">
        <v>68</v>
      </c>
      <c r="AG48" s="10" t="s">
        <v>323</v>
      </c>
      <c r="AH48" s="10" t="s">
        <v>324</v>
      </c>
      <c r="AI48" s="10" t="s">
        <v>325</v>
      </c>
      <c r="AJ48" s="10" t="s">
        <v>326</v>
      </c>
      <c r="AK48" s="10" t="s">
        <v>327</v>
      </c>
      <c r="AL48" s="10" t="s">
        <v>328</v>
      </c>
      <c r="AM48" s="10" t="s">
        <v>329</v>
      </c>
      <c r="AN48" s="10" t="s">
        <v>330</v>
      </c>
    </row>
    <row r="49" spans="1:43" x14ac:dyDescent="0.25">
      <c r="A49" t="s">
        <v>29</v>
      </c>
      <c r="B49" s="15"/>
      <c r="C49" s="18"/>
      <c r="D49" s="18"/>
      <c r="E49" s="18"/>
      <c r="F49" s="111">
        <f>Y31</f>
        <v>2</v>
      </c>
      <c r="G49" s="111">
        <f t="shared" ref="G49:N64" si="19">Z31</f>
        <v>2</v>
      </c>
      <c r="H49" s="111">
        <f t="shared" si="19"/>
        <v>0</v>
      </c>
      <c r="I49" s="111">
        <f t="shared" si="19"/>
        <v>0</v>
      </c>
      <c r="J49" s="111">
        <f t="shared" si="19"/>
        <v>0</v>
      </c>
      <c r="K49" s="111">
        <f t="shared" si="19"/>
        <v>0</v>
      </c>
      <c r="L49" s="111">
        <f t="shared" si="19"/>
        <v>2</v>
      </c>
      <c r="M49" s="47"/>
      <c r="N49" s="194">
        <f>AG31</f>
        <v>0</v>
      </c>
      <c r="O49" s="194">
        <f t="shared" ref="O49:T64" si="20">AH31</f>
        <v>0</v>
      </c>
      <c r="P49" s="194">
        <f t="shared" si="20"/>
        <v>0</v>
      </c>
      <c r="Q49" s="194">
        <f t="shared" si="20"/>
        <v>0</v>
      </c>
      <c r="R49" s="194">
        <f t="shared" si="20"/>
        <v>0</v>
      </c>
      <c r="S49" s="194">
        <f t="shared" si="20"/>
        <v>0</v>
      </c>
      <c r="T49" s="194">
        <f t="shared" si="20"/>
        <v>0</v>
      </c>
      <c r="U49" s="66">
        <f>SUM(N49:T49)</f>
        <v>0</v>
      </c>
      <c r="Y49" s="111">
        <f>F49</f>
        <v>2</v>
      </c>
      <c r="Z49" s="111">
        <f t="shared" ref="Z49:AE64" si="21">G49</f>
        <v>2</v>
      </c>
      <c r="AA49" s="111">
        <f t="shared" si="21"/>
        <v>0</v>
      </c>
      <c r="AB49" s="111">
        <f t="shared" si="21"/>
        <v>0</v>
      </c>
      <c r="AC49" s="111">
        <f t="shared" si="21"/>
        <v>0</v>
      </c>
      <c r="AD49" s="111">
        <f t="shared" si="21"/>
        <v>0</v>
      </c>
      <c r="AE49" s="111">
        <f t="shared" si="21"/>
        <v>2</v>
      </c>
      <c r="AF49" s="47"/>
      <c r="AG49" s="194">
        <f>N49</f>
        <v>0</v>
      </c>
      <c r="AH49" s="194">
        <f t="shared" ref="AH49:AM64" si="22">O49</f>
        <v>0</v>
      </c>
      <c r="AI49" s="194">
        <f t="shared" si="22"/>
        <v>0</v>
      </c>
      <c r="AJ49" s="194">
        <f t="shared" si="22"/>
        <v>0</v>
      </c>
      <c r="AK49" s="194">
        <f t="shared" si="22"/>
        <v>0</v>
      </c>
      <c r="AL49" s="194">
        <f t="shared" si="22"/>
        <v>0</v>
      </c>
      <c r="AM49" s="194">
        <f t="shared" si="22"/>
        <v>0</v>
      </c>
      <c r="AN49" s="66">
        <f>SUM(AG49:AM49)</f>
        <v>0</v>
      </c>
    </row>
    <row r="50" spans="1:43" x14ac:dyDescent="0.25">
      <c r="A50" t="s">
        <v>32</v>
      </c>
      <c r="B50" s="15"/>
      <c r="C50" s="3"/>
      <c r="D50" s="3"/>
      <c r="E50" s="3"/>
      <c r="F50" s="111">
        <f t="shared" ref="F50:F64" si="23">Y32</f>
        <v>0</v>
      </c>
      <c r="G50" s="111">
        <f t="shared" si="19"/>
        <v>2</v>
      </c>
      <c r="H50" s="111">
        <f t="shared" si="19"/>
        <v>2</v>
      </c>
      <c r="I50" s="111">
        <f t="shared" si="19"/>
        <v>2</v>
      </c>
      <c r="J50" s="111">
        <f t="shared" si="19"/>
        <v>2</v>
      </c>
      <c r="K50" s="111">
        <f t="shared" si="19"/>
        <v>2</v>
      </c>
      <c r="L50" s="111">
        <f t="shared" si="19"/>
        <v>2</v>
      </c>
      <c r="M50" s="47"/>
      <c r="N50" s="194">
        <f t="shared" si="19"/>
        <v>0</v>
      </c>
      <c r="O50" s="194">
        <f t="shared" si="20"/>
        <v>0</v>
      </c>
      <c r="P50" s="194">
        <f t="shared" si="20"/>
        <v>0</v>
      </c>
      <c r="Q50" s="194">
        <f t="shared" si="20"/>
        <v>0</v>
      </c>
      <c r="R50" s="194">
        <f t="shared" si="20"/>
        <v>0</v>
      </c>
      <c r="S50" s="194">
        <f t="shared" si="20"/>
        <v>0</v>
      </c>
      <c r="T50" s="194">
        <f t="shared" si="20"/>
        <v>0</v>
      </c>
      <c r="U50" s="66">
        <f>SUM(N50:T50)</f>
        <v>0</v>
      </c>
      <c r="Y50" s="111">
        <f t="shared" ref="Y50:Y64" si="24">F50</f>
        <v>0</v>
      </c>
      <c r="Z50" s="111">
        <f t="shared" si="21"/>
        <v>2</v>
      </c>
      <c r="AA50" s="111">
        <f t="shared" si="21"/>
        <v>2</v>
      </c>
      <c r="AB50" s="111">
        <f t="shared" si="21"/>
        <v>2</v>
      </c>
      <c r="AC50" s="111">
        <f t="shared" si="21"/>
        <v>2</v>
      </c>
      <c r="AD50" s="111">
        <f t="shared" si="21"/>
        <v>2</v>
      </c>
      <c r="AE50" s="111">
        <f t="shared" si="21"/>
        <v>2</v>
      </c>
      <c r="AF50" s="47"/>
      <c r="AG50" s="194">
        <f t="shared" ref="AG50:AG64" si="25">N50</f>
        <v>0</v>
      </c>
      <c r="AH50" s="194">
        <f t="shared" si="22"/>
        <v>0</v>
      </c>
      <c r="AI50" s="194">
        <f t="shared" si="22"/>
        <v>0</v>
      </c>
      <c r="AJ50" s="194">
        <f t="shared" si="22"/>
        <v>0</v>
      </c>
      <c r="AK50" s="194">
        <f t="shared" si="22"/>
        <v>0</v>
      </c>
      <c r="AL50" s="194">
        <f t="shared" si="22"/>
        <v>0</v>
      </c>
      <c r="AM50" s="194">
        <f t="shared" si="22"/>
        <v>0</v>
      </c>
      <c r="AN50" s="66">
        <f>SUM(AG50:AM50)</f>
        <v>0</v>
      </c>
    </row>
    <row r="51" spans="1:43" x14ac:dyDescent="0.25">
      <c r="A51" t="s">
        <v>33</v>
      </c>
      <c r="B51" s="15"/>
      <c r="C51" s="3"/>
      <c r="D51" s="3"/>
      <c r="E51" s="3"/>
      <c r="F51" s="111">
        <f t="shared" si="23"/>
        <v>0</v>
      </c>
      <c r="G51" s="111">
        <f t="shared" si="19"/>
        <v>2</v>
      </c>
      <c r="H51" s="111">
        <f t="shared" si="19"/>
        <v>2</v>
      </c>
      <c r="I51" s="111">
        <f t="shared" si="19"/>
        <v>2</v>
      </c>
      <c r="J51" s="111">
        <f t="shared" si="19"/>
        <v>2</v>
      </c>
      <c r="K51" s="111">
        <f t="shared" si="19"/>
        <v>2</v>
      </c>
      <c r="L51" s="111">
        <f t="shared" si="19"/>
        <v>2</v>
      </c>
      <c r="M51" s="47"/>
      <c r="N51" s="194">
        <f t="shared" si="19"/>
        <v>0</v>
      </c>
      <c r="O51" s="194">
        <f t="shared" si="20"/>
        <v>0</v>
      </c>
      <c r="P51" s="194">
        <f t="shared" si="20"/>
        <v>0</v>
      </c>
      <c r="Q51" s="194">
        <f t="shared" si="20"/>
        <v>0</v>
      </c>
      <c r="R51" s="194">
        <f t="shared" si="20"/>
        <v>0</v>
      </c>
      <c r="S51" s="194">
        <f t="shared" si="20"/>
        <v>0</v>
      </c>
      <c r="T51" s="194">
        <f t="shared" si="20"/>
        <v>0</v>
      </c>
      <c r="U51" s="66">
        <f>SUM(N51:T51)</f>
        <v>0</v>
      </c>
      <c r="Y51" s="111">
        <f t="shared" si="24"/>
        <v>0</v>
      </c>
      <c r="Z51" s="111">
        <f t="shared" si="21"/>
        <v>2</v>
      </c>
      <c r="AA51" s="111">
        <f t="shared" si="21"/>
        <v>2</v>
      </c>
      <c r="AB51" s="111">
        <f t="shared" si="21"/>
        <v>2</v>
      </c>
      <c r="AC51" s="111">
        <f t="shared" si="21"/>
        <v>2</v>
      </c>
      <c r="AD51" s="111">
        <f t="shared" si="21"/>
        <v>2</v>
      </c>
      <c r="AE51" s="111">
        <f t="shared" si="21"/>
        <v>2</v>
      </c>
      <c r="AF51" s="47"/>
      <c r="AG51" s="194">
        <f t="shared" si="25"/>
        <v>0</v>
      </c>
      <c r="AH51" s="194">
        <f t="shared" si="22"/>
        <v>0</v>
      </c>
      <c r="AI51" s="194">
        <f t="shared" si="22"/>
        <v>0</v>
      </c>
      <c r="AJ51" s="194">
        <f t="shared" si="22"/>
        <v>0</v>
      </c>
      <c r="AK51" s="194">
        <f t="shared" si="22"/>
        <v>0</v>
      </c>
      <c r="AL51" s="194">
        <f t="shared" si="22"/>
        <v>0</v>
      </c>
      <c r="AM51" s="194">
        <f t="shared" si="22"/>
        <v>0</v>
      </c>
      <c r="AN51" s="66">
        <f>SUM(AG51:AM51)</f>
        <v>0</v>
      </c>
    </row>
    <row r="52" spans="1:43" x14ac:dyDescent="0.25">
      <c r="A52" t="s">
        <v>39</v>
      </c>
      <c r="B52" s="15"/>
      <c r="C52" s="3"/>
      <c r="D52" s="3"/>
      <c r="E52" s="3"/>
      <c r="F52" s="111">
        <f t="shared" si="23"/>
        <v>0</v>
      </c>
      <c r="G52" s="111">
        <f t="shared" si="19"/>
        <v>2</v>
      </c>
      <c r="H52" s="111">
        <f t="shared" si="19"/>
        <v>2</v>
      </c>
      <c r="I52" s="111">
        <f t="shared" si="19"/>
        <v>2</v>
      </c>
      <c r="J52" s="111">
        <f t="shared" si="19"/>
        <v>2</v>
      </c>
      <c r="K52" s="111">
        <f t="shared" si="19"/>
        <v>2</v>
      </c>
      <c r="L52" s="111">
        <f t="shared" si="19"/>
        <v>2</v>
      </c>
      <c r="M52" s="47"/>
      <c r="N52" s="194">
        <f t="shared" si="19"/>
        <v>0</v>
      </c>
      <c r="O52" s="194">
        <f t="shared" si="20"/>
        <v>0</v>
      </c>
      <c r="P52" s="194">
        <f t="shared" si="20"/>
        <v>0</v>
      </c>
      <c r="Q52" s="194">
        <f t="shared" si="20"/>
        <v>0</v>
      </c>
      <c r="R52" s="194">
        <f t="shared" si="20"/>
        <v>0</v>
      </c>
      <c r="S52" s="194">
        <f t="shared" si="20"/>
        <v>0</v>
      </c>
      <c r="T52" s="194">
        <f t="shared" si="20"/>
        <v>0</v>
      </c>
      <c r="U52" s="66">
        <f>SUM(N52:T52)</f>
        <v>0</v>
      </c>
      <c r="Y52" s="111">
        <f t="shared" si="24"/>
        <v>0</v>
      </c>
      <c r="Z52" s="111">
        <f t="shared" si="21"/>
        <v>2</v>
      </c>
      <c r="AA52" s="111">
        <f t="shared" si="21"/>
        <v>2</v>
      </c>
      <c r="AB52" s="111">
        <f t="shared" si="21"/>
        <v>2</v>
      </c>
      <c r="AC52" s="111">
        <f t="shared" si="21"/>
        <v>2</v>
      </c>
      <c r="AD52" s="111">
        <f t="shared" si="21"/>
        <v>2</v>
      </c>
      <c r="AE52" s="111">
        <f t="shared" si="21"/>
        <v>2</v>
      </c>
      <c r="AF52" s="47"/>
      <c r="AG52" s="194">
        <f t="shared" si="25"/>
        <v>0</v>
      </c>
      <c r="AH52" s="194">
        <f t="shared" si="22"/>
        <v>0</v>
      </c>
      <c r="AI52" s="194">
        <f t="shared" si="22"/>
        <v>0</v>
      </c>
      <c r="AJ52" s="194">
        <f t="shared" si="22"/>
        <v>0</v>
      </c>
      <c r="AK52" s="194">
        <f t="shared" si="22"/>
        <v>0</v>
      </c>
      <c r="AL52" s="194">
        <f t="shared" si="22"/>
        <v>0</v>
      </c>
      <c r="AM52" s="194">
        <f t="shared" si="22"/>
        <v>0</v>
      </c>
      <c r="AN52" s="66">
        <f>SUM(AG52:AM52)</f>
        <v>0</v>
      </c>
    </row>
    <row r="53" spans="1:43" x14ac:dyDescent="0.25">
      <c r="A53" t="s">
        <v>41</v>
      </c>
      <c r="B53" s="15" t="s">
        <v>336</v>
      </c>
      <c r="C53" s="3" t="s">
        <v>177</v>
      </c>
      <c r="D53" s="3">
        <v>21</v>
      </c>
      <c r="E53" s="3">
        <v>70</v>
      </c>
      <c r="F53" s="111">
        <f t="shared" si="23"/>
        <v>0</v>
      </c>
      <c r="G53" s="111">
        <v>9</v>
      </c>
      <c r="H53" s="111">
        <v>10</v>
      </c>
      <c r="I53" s="111">
        <f t="shared" si="19"/>
        <v>2</v>
      </c>
      <c r="J53" s="111">
        <f t="shared" si="19"/>
        <v>2</v>
      </c>
      <c r="K53" s="111">
        <v>10</v>
      </c>
      <c r="L53" s="111">
        <f t="shared" si="19"/>
        <v>2</v>
      </c>
      <c r="M53" s="47">
        <f>(2910+1315+1165)*1.008</f>
        <v>5433.12</v>
      </c>
      <c r="N53" s="194">
        <f t="shared" si="19"/>
        <v>0</v>
      </c>
      <c r="O53" s="194">
        <v>30</v>
      </c>
      <c r="P53" s="194">
        <v>33</v>
      </c>
      <c r="Q53" s="194">
        <f t="shared" si="20"/>
        <v>0</v>
      </c>
      <c r="R53" s="194">
        <f t="shared" si="20"/>
        <v>0</v>
      </c>
      <c r="S53" s="194">
        <v>33</v>
      </c>
      <c r="T53" s="194">
        <f t="shared" si="20"/>
        <v>0</v>
      </c>
      <c r="U53" s="66">
        <f t="shared" ref="U53:U60" si="26">SUM(N53:T53)</f>
        <v>96</v>
      </c>
      <c r="W53">
        <f>D53+2</f>
        <v>23</v>
      </c>
      <c r="X53">
        <f>E53+$AQ$56-112</f>
        <v>28</v>
      </c>
      <c r="Y53" s="111">
        <f t="shared" si="24"/>
        <v>0</v>
      </c>
      <c r="Z53" s="111">
        <v>12</v>
      </c>
      <c r="AA53" s="111">
        <f t="shared" si="21"/>
        <v>10</v>
      </c>
      <c r="AB53" s="111">
        <f t="shared" si="21"/>
        <v>2</v>
      </c>
      <c r="AC53" s="111">
        <f t="shared" si="21"/>
        <v>2</v>
      </c>
      <c r="AD53" s="111">
        <f t="shared" si="21"/>
        <v>10</v>
      </c>
      <c r="AE53" s="111">
        <f t="shared" si="21"/>
        <v>2</v>
      </c>
      <c r="AF53" s="47">
        <f>(7010+1455+1315)*1.008</f>
        <v>9858.24</v>
      </c>
      <c r="AG53" s="194">
        <f t="shared" si="25"/>
        <v>0</v>
      </c>
      <c r="AH53" s="194">
        <f>O53+$AQ$54</f>
        <v>56</v>
      </c>
      <c r="AI53" s="194">
        <f t="shared" si="22"/>
        <v>33</v>
      </c>
      <c r="AJ53" s="194">
        <f t="shared" si="22"/>
        <v>0</v>
      </c>
      <c r="AK53" s="194">
        <f t="shared" si="22"/>
        <v>0</v>
      </c>
      <c r="AL53" s="194">
        <f t="shared" si="22"/>
        <v>33</v>
      </c>
      <c r="AM53" s="194">
        <f t="shared" si="22"/>
        <v>0</v>
      </c>
      <c r="AN53" s="66">
        <f t="shared" ref="AN53:AN60" si="27">SUM(AG53:AM53)</f>
        <v>122</v>
      </c>
    </row>
    <row r="54" spans="1:43" x14ac:dyDescent="0.25">
      <c r="A54" t="s">
        <v>38</v>
      </c>
      <c r="B54" s="15" t="s">
        <v>336</v>
      </c>
      <c r="C54" s="3" t="s">
        <v>177</v>
      </c>
      <c r="D54" s="3">
        <v>21</v>
      </c>
      <c r="E54" s="3">
        <v>70</v>
      </c>
      <c r="F54" s="111">
        <f t="shared" si="23"/>
        <v>0</v>
      </c>
      <c r="G54" s="111">
        <v>9</v>
      </c>
      <c r="H54" s="111">
        <v>10</v>
      </c>
      <c r="I54" s="111">
        <f t="shared" si="19"/>
        <v>2</v>
      </c>
      <c r="J54" s="111">
        <f t="shared" si="19"/>
        <v>2</v>
      </c>
      <c r="K54" s="111">
        <v>10</v>
      </c>
      <c r="L54" s="111">
        <f t="shared" si="19"/>
        <v>2</v>
      </c>
      <c r="M54" s="47">
        <f>(2910+1315+1165)*1.008</f>
        <v>5433.12</v>
      </c>
      <c r="N54" s="194">
        <f t="shared" si="19"/>
        <v>0</v>
      </c>
      <c r="O54" s="194">
        <v>30</v>
      </c>
      <c r="P54" s="194">
        <v>33</v>
      </c>
      <c r="Q54" s="194">
        <f t="shared" si="20"/>
        <v>0</v>
      </c>
      <c r="R54" s="194">
        <f t="shared" si="20"/>
        <v>0</v>
      </c>
      <c r="S54" s="194">
        <v>33</v>
      </c>
      <c r="T54" s="194">
        <f t="shared" si="20"/>
        <v>0</v>
      </c>
      <c r="U54" s="66">
        <f t="shared" si="26"/>
        <v>96</v>
      </c>
      <c r="W54">
        <f t="shared" ref="W54:W59" si="28">D54+2</f>
        <v>23</v>
      </c>
      <c r="X54">
        <f t="shared" ref="X54:X59" si="29">E54+$AQ$56-112</f>
        <v>28</v>
      </c>
      <c r="Y54" s="111">
        <f t="shared" si="24"/>
        <v>0</v>
      </c>
      <c r="Z54" s="111">
        <v>12</v>
      </c>
      <c r="AA54" s="111">
        <f t="shared" si="21"/>
        <v>10</v>
      </c>
      <c r="AB54" s="111">
        <f t="shared" si="21"/>
        <v>2</v>
      </c>
      <c r="AC54" s="111">
        <f t="shared" si="21"/>
        <v>2</v>
      </c>
      <c r="AD54" s="111">
        <f t="shared" si="21"/>
        <v>10</v>
      </c>
      <c r="AE54" s="111">
        <f t="shared" si="21"/>
        <v>2</v>
      </c>
      <c r="AF54" s="47">
        <f>(7010+1455+1315)*1.008</f>
        <v>9858.24</v>
      </c>
      <c r="AG54" s="194">
        <f t="shared" si="25"/>
        <v>0</v>
      </c>
      <c r="AH54" s="194">
        <f t="shared" ref="AH54:AH62" si="30">O54+$AQ$54</f>
        <v>56</v>
      </c>
      <c r="AI54" s="194">
        <f t="shared" si="22"/>
        <v>33</v>
      </c>
      <c r="AJ54" s="194">
        <f t="shared" si="22"/>
        <v>0</v>
      </c>
      <c r="AK54" s="194">
        <f t="shared" si="22"/>
        <v>0</v>
      </c>
      <c r="AL54" s="194">
        <f t="shared" si="22"/>
        <v>33</v>
      </c>
      <c r="AM54" s="194">
        <f t="shared" si="22"/>
        <v>0</v>
      </c>
      <c r="AN54" s="66">
        <f t="shared" si="27"/>
        <v>122</v>
      </c>
      <c r="AP54" s="198" t="s">
        <v>30</v>
      </c>
      <c r="AQ54" s="198">
        <v>26</v>
      </c>
    </row>
    <row r="55" spans="1:43" x14ac:dyDescent="0.25">
      <c r="A55" t="s">
        <v>35</v>
      </c>
      <c r="B55" s="15" t="s">
        <v>336</v>
      </c>
      <c r="C55" s="3" t="s">
        <v>296</v>
      </c>
      <c r="D55" s="3">
        <v>21</v>
      </c>
      <c r="E55" s="3">
        <v>70</v>
      </c>
      <c r="F55" s="111">
        <f t="shared" si="23"/>
        <v>0</v>
      </c>
      <c r="G55" s="111">
        <v>9</v>
      </c>
      <c r="H55" s="111">
        <v>10</v>
      </c>
      <c r="I55" s="111">
        <f t="shared" si="19"/>
        <v>2</v>
      </c>
      <c r="J55" s="111">
        <f t="shared" si="19"/>
        <v>2</v>
      </c>
      <c r="K55" s="111">
        <v>10</v>
      </c>
      <c r="L55" s="111">
        <f t="shared" si="19"/>
        <v>2</v>
      </c>
      <c r="M55" s="47">
        <f>(2910+1315+1165)*1.008</f>
        <v>5433.12</v>
      </c>
      <c r="N55" s="194">
        <f t="shared" si="19"/>
        <v>0</v>
      </c>
      <c r="O55" s="194">
        <v>30</v>
      </c>
      <c r="P55" s="194">
        <v>33</v>
      </c>
      <c r="Q55" s="194">
        <f t="shared" si="20"/>
        <v>0</v>
      </c>
      <c r="R55" s="194">
        <f t="shared" si="20"/>
        <v>0</v>
      </c>
      <c r="S55" s="194">
        <v>33</v>
      </c>
      <c r="T55" s="194">
        <f t="shared" si="20"/>
        <v>0</v>
      </c>
      <c r="U55" s="66">
        <f t="shared" si="26"/>
        <v>96</v>
      </c>
      <c r="W55">
        <f t="shared" si="28"/>
        <v>23</v>
      </c>
      <c r="X55">
        <f t="shared" si="29"/>
        <v>28</v>
      </c>
      <c r="Y55" s="111">
        <f t="shared" si="24"/>
        <v>0</v>
      </c>
      <c r="Z55" s="111">
        <v>12</v>
      </c>
      <c r="AA55" s="111">
        <f t="shared" si="21"/>
        <v>10</v>
      </c>
      <c r="AB55" s="111">
        <f t="shared" si="21"/>
        <v>2</v>
      </c>
      <c r="AC55" s="111">
        <f t="shared" si="21"/>
        <v>2</v>
      </c>
      <c r="AD55" s="111">
        <f t="shared" si="21"/>
        <v>10</v>
      </c>
      <c r="AE55" s="111">
        <f t="shared" si="21"/>
        <v>2</v>
      </c>
      <c r="AF55" s="47">
        <f>(7010+1455+1315)*1.008</f>
        <v>9858.24</v>
      </c>
      <c r="AG55" s="194">
        <f t="shared" si="25"/>
        <v>0</v>
      </c>
      <c r="AH55" s="194">
        <f t="shared" si="30"/>
        <v>56</v>
      </c>
      <c r="AI55" s="194">
        <f t="shared" si="22"/>
        <v>33</v>
      </c>
      <c r="AJ55" s="194">
        <f t="shared" si="22"/>
        <v>0</v>
      </c>
      <c r="AK55" s="194">
        <f t="shared" si="22"/>
        <v>0</v>
      </c>
      <c r="AL55" s="194">
        <f t="shared" si="22"/>
        <v>33</v>
      </c>
      <c r="AM55" s="194">
        <f t="shared" si="22"/>
        <v>0</v>
      </c>
      <c r="AN55" s="66">
        <f t="shared" si="27"/>
        <v>122</v>
      </c>
      <c r="AQ55">
        <f>AQ54*7</f>
        <v>182</v>
      </c>
    </row>
    <row r="56" spans="1:43" x14ac:dyDescent="0.25">
      <c r="A56" t="s">
        <v>31</v>
      </c>
      <c r="B56" s="15" t="s">
        <v>336</v>
      </c>
      <c r="C56" s="3" t="s">
        <v>296</v>
      </c>
      <c r="D56" s="3">
        <v>21</v>
      </c>
      <c r="E56" s="3">
        <v>70</v>
      </c>
      <c r="F56" s="111">
        <f t="shared" si="23"/>
        <v>0</v>
      </c>
      <c r="G56" s="111">
        <v>9</v>
      </c>
      <c r="H56" s="111">
        <v>10</v>
      </c>
      <c r="I56" s="111">
        <f t="shared" si="19"/>
        <v>2</v>
      </c>
      <c r="J56" s="111">
        <f t="shared" si="19"/>
        <v>2</v>
      </c>
      <c r="K56" s="111">
        <v>10</v>
      </c>
      <c r="L56" s="111">
        <f t="shared" si="19"/>
        <v>2</v>
      </c>
      <c r="M56" s="47">
        <f>(2910+1315+1165)*1.008</f>
        <v>5433.12</v>
      </c>
      <c r="N56" s="194">
        <f t="shared" si="19"/>
        <v>0</v>
      </c>
      <c r="O56" s="194">
        <v>30</v>
      </c>
      <c r="P56" s="194">
        <v>33</v>
      </c>
      <c r="Q56" s="194">
        <f t="shared" si="20"/>
        <v>0</v>
      </c>
      <c r="R56" s="194">
        <f t="shared" si="20"/>
        <v>0</v>
      </c>
      <c r="S56" s="194">
        <v>33</v>
      </c>
      <c r="T56" s="194">
        <f t="shared" si="20"/>
        <v>0</v>
      </c>
      <c r="U56" s="66">
        <f t="shared" si="26"/>
        <v>96</v>
      </c>
      <c r="W56">
        <f t="shared" si="28"/>
        <v>23</v>
      </c>
      <c r="X56">
        <f t="shared" si="29"/>
        <v>28</v>
      </c>
      <c r="Y56" s="111">
        <f t="shared" si="24"/>
        <v>0</v>
      </c>
      <c r="Z56" s="111">
        <v>12</v>
      </c>
      <c r="AA56" s="111">
        <f t="shared" si="21"/>
        <v>10</v>
      </c>
      <c r="AB56" s="111">
        <f t="shared" si="21"/>
        <v>2</v>
      </c>
      <c r="AC56" s="111">
        <f t="shared" si="21"/>
        <v>2</v>
      </c>
      <c r="AD56" s="111">
        <f t="shared" si="21"/>
        <v>10</v>
      </c>
      <c r="AE56" s="111">
        <f t="shared" si="21"/>
        <v>2</v>
      </c>
      <c r="AF56" s="47">
        <f>(7010+1455+1315)*1.008</f>
        <v>9858.24</v>
      </c>
      <c r="AG56" s="194">
        <f t="shared" si="25"/>
        <v>0</v>
      </c>
      <c r="AH56" s="194">
        <f t="shared" si="30"/>
        <v>56</v>
      </c>
      <c r="AI56" s="194">
        <f t="shared" si="22"/>
        <v>33</v>
      </c>
      <c r="AJ56" s="194">
        <f t="shared" si="22"/>
        <v>0</v>
      </c>
      <c r="AK56" s="194">
        <f t="shared" si="22"/>
        <v>0</v>
      </c>
      <c r="AL56" s="194">
        <f t="shared" si="22"/>
        <v>33</v>
      </c>
      <c r="AM56" s="194">
        <f t="shared" si="22"/>
        <v>0</v>
      </c>
      <c r="AN56" s="66">
        <f t="shared" si="27"/>
        <v>122</v>
      </c>
      <c r="AQ56">
        <f>AQ55-112</f>
        <v>70</v>
      </c>
    </row>
    <row r="57" spans="1:43" x14ac:dyDescent="0.25">
      <c r="A57" t="s">
        <v>43</v>
      </c>
      <c r="B57" s="15" t="str">
        <f>B39</f>
        <v>Inner</v>
      </c>
      <c r="C57" s="3" t="str">
        <f>C39</f>
        <v>CAB</v>
      </c>
      <c r="D57" s="3">
        <f>W39</f>
        <v>21</v>
      </c>
      <c r="E57" s="3">
        <f>X39</f>
        <v>80</v>
      </c>
      <c r="F57" s="111">
        <f t="shared" si="23"/>
        <v>0</v>
      </c>
      <c r="G57" s="111">
        <f t="shared" si="19"/>
        <v>7</v>
      </c>
      <c r="H57" s="111">
        <f t="shared" si="19"/>
        <v>12</v>
      </c>
      <c r="I57" s="111">
        <f t="shared" si="19"/>
        <v>2</v>
      </c>
      <c r="J57" s="111">
        <f t="shared" si="19"/>
        <v>2</v>
      </c>
      <c r="K57" s="111">
        <f t="shared" si="19"/>
        <v>10</v>
      </c>
      <c r="L57" s="111">
        <f t="shared" si="19"/>
        <v>2</v>
      </c>
      <c r="M57" s="47">
        <f t="shared" si="19"/>
        <v>10291.68</v>
      </c>
      <c r="N57" s="194">
        <f t="shared" si="19"/>
        <v>0</v>
      </c>
      <c r="O57" s="194">
        <f t="shared" si="20"/>
        <v>18</v>
      </c>
      <c r="P57" s="194">
        <f t="shared" si="20"/>
        <v>48</v>
      </c>
      <c r="Q57" s="194">
        <f t="shared" si="20"/>
        <v>0</v>
      </c>
      <c r="R57" s="194">
        <f t="shared" si="20"/>
        <v>0</v>
      </c>
      <c r="S57" s="194">
        <f t="shared" si="20"/>
        <v>33</v>
      </c>
      <c r="T57" s="194">
        <f t="shared" si="20"/>
        <v>0</v>
      </c>
      <c r="U57" s="66">
        <f t="shared" si="26"/>
        <v>99</v>
      </c>
      <c r="W57">
        <f t="shared" si="28"/>
        <v>23</v>
      </c>
      <c r="X57">
        <f t="shared" si="29"/>
        <v>38</v>
      </c>
      <c r="Y57" s="111">
        <f t="shared" si="24"/>
        <v>0</v>
      </c>
      <c r="Z57" s="111">
        <f>10+7/9</f>
        <v>10.777777777777779</v>
      </c>
      <c r="AA57" s="111">
        <f t="shared" si="21"/>
        <v>12</v>
      </c>
      <c r="AB57" s="111">
        <f t="shared" si="21"/>
        <v>2</v>
      </c>
      <c r="AC57" s="111">
        <f t="shared" si="21"/>
        <v>2</v>
      </c>
      <c r="AD57" s="111">
        <f t="shared" si="21"/>
        <v>10</v>
      </c>
      <c r="AE57" s="111">
        <f t="shared" si="21"/>
        <v>2</v>
      </c>
      <c r="AF57" s="47">
        <f>(8670+1900+1315)*1.008</f>
        <v>11980.08</v>
      </c>
      <c r="AG57" s="194">
        <f t="shared" si="25"/>
        <v>0</v>
      </c>
      <c r="AH57" s="194">
        <f t="shared" si="30"/>
        <v>44</v>
      </c>
      <c r="AI57" s="194">
        <f t="shared" si="22"/>
        <v>48</v>
      </c>
      <c r="AJ57" s="194">
        <f t="shared" si="22"/>
        <v>0</v>
      </c>
      <c r="AK57" s="194">
        <f t="shared" si="22"/>
        <v>0</v>
      </c>
      <c r="AL57" s="194">
        <f t="shared" si="22"/>
        <v>33</v>
      </c>
      <c r="AM57" s="194">
        <f t="shared" si="22"/>
        <v>0</v>
      </c>
      <c r="AN57" s="66">
        <f t="shared" si="27"/>
        <v>125</v>
      </c>
    </row>
    <row r="58" spans="1:43" x14ac:dyDescent="0.25">
      <c r="A58" t="s">
        <v>37</v>
      </c>
      <c r="B58" s="15" t="str">
        <f t="shared" ref="B58:C62" si="31">B40</f>
        <v>Inner</v>
      </c>
      <c r="C58" s="3" t="str">
        <f t="shared" si="31"/>
        <v>CAB</v>
      </c>
      <c r="D58" s="3">
        <f t="shared" ref="D58:E62" si="32">W40</f>
        <v>21</v>
      </c>
      <c r="E58" s="3">
        <f t="shared" si="32"/>
        <v>80</v>
      </c>
      <c r="F58" s="111">
        <f t="shared" si="23"/>
        <v>0</v>
      </c>
      <c r="G58" s="111">
        <f t="shared" si="19"/>
        <v>7</v>
      </c>
      <c r="H58" s="111">
        <f t="shared" si="19"/>
        <v>12</v>
      </c>
      <c r="I58" s="111">
        <f t="shared" si="19"/>
        <v>2</v>
      </c>
      <c r="J58" s="111">
        <f t="shared" si="19"/>
        <v>2</v>
      </c>
      <c r="K58" s="111">
        <f t="shared" si="19"/>
        <v>10</v>
      </c>
      <c r="L58" s="111">
        <f t="shared" si="19"/>
        <v>2</v>
      </c>
      <c r="M58" s="47">
        <f t="shared" si="19"/>
        <v>10291.68</v>
      </c>
      <c r="N58" s="194">
        <f t="shared" si="19"/>
        <v>0</v>
      </c>
      <c r="O58" s="194">
        <f t="shared" si="20"/>
        <v>18</v>
      </c>
      <c r="P58" s="194">
        <f t="shared" si="20"/>
        <v>48</v>
      </c>
      <c r="Q58" s="194">
        <f t="shared" si="20"/>
        <v>0</v>
      </c>
      <c r="R58" s="194">
        <f t="shared" si="20"/>
        <v>0</v>
      </c>
      <c r="S58" s="194">
        <f t="shared" si="20"/>
        <v>33</v>
      </c>
      <c r="T58" s="194">
        <f t="shared" si="20"/>
        <v>0</v>
      </c>
      <c r="U58" s="66">
        <f t="shared" si="26"/>
        <v>99</v>
      </c>
      <c r="W58">
        <f t="shared" si="28"/>
        <v>23</v>
      </c>
      <c r="X58">
        <f t="shared" si="29"/>
        <v>38</v>
      </c>
      <c r="Y58" s="111">
        <f t="shared" si="24"/>
        <v>0</v>
      </c>
      <c r="Z58" s="111">
        <f>10+7/9</f>
        <v>10.777777777777779</v>
      </c>
      <c r="AA58" s="111">
        <f t="shared" si="21"/>
        <v>12</v>
      </c>
      <c r="AB58" s="111">
        <f t="shared" si="21"/>
        <v>2</v>
      </c>
      <c r="AC58" s="111">
        <f t="shared" si="21"/>
        <v>2</v>
      </c>
      <c r="AD58" s="111">
        <f t="shared" si="21"/>
        <v>10</v>
      </c>
      <c r="AE58" s="111">
        <f t="shared" si="21"/>
        <v>2</v>
      </c>
      <c r="AF58" s="47">
        <f>(8670+1900+1315)*1.008</f>
        <v>11980.08</v>
      </c>
      <c r="AG58" s="194">
        <f t="shared" si="25"/>
        <v>0</v>
      </c>
      <c r="AH58" s="194">
        <f t="shared" si="30"/>
        <v>44</v>
      </c>
      <c r="AI58" s="194">
        <f t="shared" si="22"/>
        <v>48</v>
      </c>
      <c r="AJ58" s="194">
        <f t="shared" si="22"/>
        <v>0</v>
      </c>
      <c r="AK58" s="194">
        <f t="shared" si="22"/>
        <v>0</v>
      </c>
      <c r="AL58" s="194">
        <f t="shared" si="22"/>
        <v>33</v>
      </c>
      <c r="AM58" s="194">
        <f t="shared" si="22"/>
        <v>0</v>
      </c>
      <c r="AN58" s="66">
        <f t="shared" si="27"/>
        <v>125</v>
      </c>
    </row>
    <row r="59" spans="1:43" x14ac:dyDescent="0.25">
      <c r="A59" t="s">
        <v>36</v>
      </c>
      <c r="B59" s="15" t="str">
        <f t="shared" si="31"/>
        <v>Inner</v>
      </c>
      <c r="C59" s="3" t="str">
        <f t="shared" si="31"/>
        <v>CAB</v>
      </c>
      <c r="D59" s="3">
        <f t="shared" si="32"/>
        <v>21</v>
      </c>
      <c r="E59" s="3">
        <f t="shared" si="32"/>
        <v>80</v>
      </c>
      <c r="F59" s="111">
        <f t="shared" si="23"/>
        <v>0</v>
      </c>
      <c r="G59" s="111">
        <f t="shared" si="19"/>
        <v>7</v>
      </c>
      <c r="H59" s="111">
        <f t="shared" si="19"/>
        <v>12</v>
      </c>
      <c r="I59" s="111">
        <f t="shared" si="19"/>
        <v>2</v>
      </c>
      <c r="J59" s="111">
        <f t="shared" si="19"/>
        <v>2</v>
      </c>
      <c r="K59" s="111">
        <f t="shared" si="19"/>
        <v>10</v>
      </c>
      <c r="L59" s="111">
        <f t="shared" si="19"/>
        <v>2</v>
      </c>
      <c r="M59" s="47">
        <f t="shared" si="19"/>
        <v>10291.68</v>
      </c>
      <c r="N59" s="194">
        <f t="shared" si="19"/>
        <v>0</v>
      </c>
      <c r="O59" s="194">
        <f t="shared" si="20"/>
        <v>18</v>
      </c>
      <c r="P59" s="194">
        <f t="shared" si="20"/>
        <v>48</v>
      </c>
      <c r="Q59" s="194">
        <f t="shared" si="20"/>
        <v>0</v>
      </c>
      <c r="R59" s="194">
        <f t="shared" si="20"/>
        <v>0</v>
      </c>
      <c r="S59" s="194">
        <f t="shared" si="20"/>
        <v>33</v>
      </c>
      <c r="T59" s="194">
        <f t="shared" si="20"/>
        <v>0</v>
      </c>
      <c r="U59" s="66">
        <f t="shared" si="26"/>
        <v>99</v>
      </c>
      <c r="W59">
        <f t="shared" si="28"/>
        <v>23</v>
      </c>
      <c r="X59">
        <f t="shared" si="29"/>
        <v>38</v>
      </c>
      <c r="Y59" s="111">
        <f t="shared" si="24"/>
        <v>0</v>
      </c>
      <c r="Z59" s="111">
        <f>10+7/9</f>
        <v>10.777777777777779</v>
      </c>
      <c r="AA59" s="111">
        <f t="shared" si="21"/>
        <v>12</v>
      </c>
      <c r="AB59" s="111">
        <f t="shared" si="21"/>
        <v>2</v>
      </c>
      <c r="AC59" s="111">
        <f t="shared" si="21"/>
        <v>2</v>
      </c>
      <c r="AD59" s="111">
        <f t="shared" si="21"/>
        <v>10</v>
      </c>
      <c r="AE59" s="111">
        <f t="shared" si="21"/>
        <v>2</v>
      </c>
      <c r="AF59" s="47">
        <f>(8670+1900+1315)*1.008</f>
        <v>11980.08</v>
      </c>
      <c r="AG59" s="194">
        <f t="shared" si="25"/>
        <v>0</v>
      </c>
      <c r="AH59" s="194">
        <f t="shared" si="30"/>
        <v>44</v>
      </c>
      <c r="AI59" s="194">
        <f t="shared" si="22"/>
        <v>48</v>
      </c>
      <c r="AJ59" s="194">
        <f t="shared" si="22"/>
        <v>0</v>
      </c>
      <c r="AK59" s="194">
        <f t="shared" si="22"/>
        <v>0</v>
      </c>
      <c r="AL59" s="194">
        <f t="shared" si="22"/>
        <v>33</v>
      </c>
      <c r="AM59" s="194">
        <f t="shared" si="22"/>
        <v>0</v>
      </c>
      <c r="AN59" s="66">
        <f t="shared" si="27"/>
        <v>125</v>
      </c>
    </row>
    <row r="60" spans="1:43" x14ac:dyDescent="0.25">
      <c r="A60" t="s">
        <v>40</v>
      </c>
      <c r="B60" s="15" t="str">
        <f t="shared" si="31"/>
        <v>E. Cubas</v>
      </c>
      <c r="C60" s="3" t="str">
        <f t="shared" si="31"/>
        <v>RAP</v>
      </c>
      <c r="D60" s="3">
        <f t="shared" si="32"/>
        <v>21</v>
      </c>
      <c r="E60" s="3">
        <f t="shared" si="32"/>
        <v>95.5</v>
      </c>
      <c r="F60" s="111">
        <f t="shared" si="23"/>
        <v>0</v>
      </c>
      <c r="G60" s="111">
        <f t="shared" si="19"/>
        <v>2</v>
      </c>
      <c r="H60" s="111">
        <f t="shared" si="19"/>
        <v>9</v>
      </c>
      <c r="I60" s="111">
        <f t="shared" si="19"/>
        <v>9.5</v>
      </c>
      <c r="J60" s="111">
        <f t="shared" si="19"/>
        <v>8.6</v>
      </c>
      <c r="K60" s="111">
        <f t="shared" si="19"/>
        <v>10.285714285714286</v>
      </c>
      <c r="L60" s="111">
        <f t="shared" si="19"/>
        <v>2</v>
      </c>
      <c r="M60" s="47">
        <f t="shared" si="19"/>
        <v>4460.3999999999996</v>
      </c>
      <c r="N60" s="194">
        <f t="shared" si="19"/>
        <v>0</v>
      </c>
      <c r="O60" s="194">
        <f t="shared" si="20"/>
        <v>0</v>
      </c>
      <c r="P60" s="194">
        <f t="shared" si="20"/>
        <v>26</v>
      </c>
      <c r="Q60" s="194">
        <f t="shared" si="20"/>
        <v>20.5</v>
      </c>
      <c r="R60" s="194">
        <f t="shared" si="20"/>
        <v>21</v>
      </c>
      <c r="S60" s="194">
        <f t="shared" si="20"/>
        <v>35</v>
      </c>
      <c r="T60" s="194">
        <f t="shared" si="20"/>
        <v>0</v>
      </c>
      <c r="U60" s="66">
        <f t="shared" si="26"/>
        <v>102.5</v>
      </c>
      <c r="W60">
        <f>D60+1+1</f>
        <v>23</v>
      </c>
      <c r="X60">
        <f>E60+$AQ$56-112</f>
        <v>53.5</v>
      </c>
      <c r="Y60" s="111">
        <f t="shared" si="24"/>
        <v>0</v>
      </c>
      <c r="Z60" s="111">
        <f>8+2/6</f>
        <v>8.3333333333333339</v>
      </c>
      <c r="AA60" s="111">
        <f t="shared" si="21"/>
        <v>9</v>
      </c>
      <c r="AB60" s="111">
        <f t="shared" si="21"/>
        <v>9.5</v>
      </c>
      <c r="AC60" s="111">
        <f t="shared" si="21"/>
        <v>8.6</v>
      </c>
      <c r="AD60" s="111">
        <f t="shared" si="21"/>
        <v>10.285714285714286</v>
      </c>
      <c r="AE60" s="111">
        <f t="shared" si="21"/>
        <v>2</v>
      </c>
      <c r="AF60" s="47">
        <f>(2900+140+620+785+515)*1.008</f>
        <v>4999.68</v>
      </c>
      <c r="AG60" s="194">
        <f t="shared" si="25"/>
        <v>0</v>
      </c>
      <c r="AH60" s="194">
        <f t="shared" si="30"/>
        <v>26</v>
      </c>
      <c r="AI60" s="194">
        <f t="shared" si="22"/>
        <v>26</v>
      </c>
      <c r="AJ60" s="194">
        <f t="shared" si="22"/>
        <v>20.5</v>
      </c>
      <c r="AK60" s="194">
        <f t="shared" si="22"/>
        <v>21</v>
      </c>
      <c r="AL60" s="194">
        <f t="shared" si="22"/>
        <v>35</v>
      </c>
      <c r="AM60" s="194">
        <f t="shared" si="22"/>
        <v>0</v>
      </c>
      <c r="AN60" s="66">
        <f t="shared" si="27"/>
        <v>128.5</v>
      </c>
    </row>
    <row r="61" spans="1:43" x14ac:dyDescent="0.25">
      <c r="A61" t="s">
        <v>34</v>
      </c>
      <c r="B61" s="15" t="str">
        <f t="shared" si="31"/>
        <v>V. Gomis</v>
      </c>
      <c r="C61" s="3" t="str">
        <f t="shared" si="31"/>
        <v>IMP</v>
      </c>
      <c r="D61" s="3">
        <f t="shared" si="32"/>
        <v>21</v>
      </c>
      <c r="E61" s="3">
        <f t="shared" si="32"/>
        <v>99.5</v>
      </c>
      <c r="F61" s="111">
        <f t="shared" si="23"/>
        <v>0</v>
      </c>
      <c r="G61" s="111">
        <f t="shared" si="19"/>
        <v>6</v>
      </c>
      <c r="H61" s="111">
        <f t="shared" si="19"/>
        <v>7.5</v>
      </c>
      <c r="I61" s="111">
        <f t="shared" si="19"/>
        <v>8</v>
      </c>
      <c r="J61" s="111">
        <f t="shared" si="19"/>
        <v>8.6</v>
      </c>
      <c r="K61" s="111">
        <f t="shared" si="19"/>
        <v>10</v>
      </c>
      <c r="L61" s="111">
        <f t="shared" si="19"/>
        <v>0</v>
      </c>
      <c r="M61" s="47">
        <f t="shared" si="19"/>
        <v>3540</v>
      </c>
      <c r="N61" s="194">
        <f t="shared" si="19"/>
        <v>0</v>
      </c>
      <c r="O61" s="194">
        <f t="shared" si="20"/>
        <v>14</v>
      </c>
      <c r="P61" s="194">
        <f t="shared" si="20"/>
        <v>18</v>
      </c>
      <c r="Q61" s="194">
        <f t="shared" si="20"/>
        <v>15</v>
      </c>
      <c r="R61" s="194">
        <f t="shared" si="20"/>
        <v>21</v>
      </c>
      <c r="S61" s="194">
        <f t="shared" si="20"/>
        <v>33</v>
      </c>
      <c r="T61" s="194">
        <f t="shared" si="20"/>
        <v>-2</v>
      </c>
      <c r="U61" s="66">
        <f>SUM(N61:T61)</f>
        <v>99</v>
      </c>
      <c r="W61">
        <f>D61+1+1</f>
        <v>23</v>
      </c>
      <c r="X61">
        <f>E61+$AQ$56-112</f>
        <v>57.5</v>
      </c>
      <c r="Y61" s="111">
        <f t="shared" si="24"/>
        <v>0</v>
      </c>
      <c r="Z61" s="111">
        <f>10+3/9</f>
        <v>10.333333333333334</v>
      </c>
      <c r="AA61" s="111">
        <f t="shared" si="21"/>
        <v>7.5</v>
      </c>
      <c r="AB61" s="111">
        <f t="shared" si="21"/>
        <v>8</v>
      </c>
      <c r="AC61" s="111">
        <f t="shared" si="21"/>
        <v>8.6</v>
      </c>
      <c r="AD61" s="111">
        <f t="shared" si="21"/>
        <v>10</v>
      </c>
      <c r="AE61" s="111">
        <f t="shared" si="21"/>
        <v>0</v>
      </c>
      <c r="AF61" s="47">
        <f>(2600+1315+140+275+330)*1</f>
        <v>4660</v>
      </c>
      <c r="AG61" s="194">
        <f t="shared" si="25"/>
        <v>0</v>
      </c>
      <c r="AH61" s="194">
        <f t="shared" si="30"/>
        <v>40</v>
      </c>
      <c r="AI61" s="194">
        <f t="shared" si="22"/>
        <v>18</v>
      </c>
      <c r="AJ61" s="194">
        <f t="shared" si="22"/>
        <v>15</v>
      </c>
      <c r="AK61" s="194">
        <f t="shared" si="22"/>
        <v>21</v>
      </c>
      <c r="AL61" s="194">
        <f t="shared" si="22"/>
        <v>33</v>
      </c>
      <c r="AM61" s="194">
        <f t="shared" si="22"/>
        <v>-2</v>
      </c>
      <c r="AN61" s="66">
        <f>SUM(AG61:AM61)</f>
        <v>125</v>
      </c>
    </row>
    <row r="62" spans="1:43" x14ac:dyDescent="0.25">
      <c r="A62" t="s">
        <v>42</v>
      </c>
      <c r="B62" s="15" t="str">
        <f t="shared" si="31"/>
        <v>J.G. Peñuela</v>
      </c>
      <c r="C62" s="3" t="str">
        <f t="shared" si="31"/>
        <v>IMP</v>
      </c>
      <c r="D62" s="3">
        <f t="shared" si="32"/>
        <v>21</v>
      </c>
      <c r="E62" s="3">
        <f t="shared" si="32"/>
        <v>95.5</v>
      </c>
      <c r="F62" s="111">
        <f t="shared" si="23"/>
        <v>0</v>
      </c>
      <c r="G62" s="111">
        <f t="shared" si="19"/>
        <v>3</v>
      </c>
      <c r="H62" s="111">
        <f t="shared" si="19"/>
        <v>8.6</v>
      </c>
      <c r="I62" s="111">
        <f t="shared" si="19"/>
        <v>8.8333333333333339</v>
      </c>
      <c r="J62" s="111">
        <f t="shared" si="19"/>
        <v>8</v>
      </c>
      <c r="K62" s="111">
        <f t="shared" si="19"/>
        <v>10.285714285714286</v>
      </c>
      <c r="L62" s="111">
        <f t="shared" si="19"/>
        <v>0</v>
      </c>
      <c r="M62" s="47">
        <f t="shared" si="19"/>
        <v>3800</v>
      </c>
      <c r="N62" s="194">
        <f t="shared" si="19"/>
        <v>0</v>
      </c>
      <c r="O62" s="194">
        <f t="shared" si="20"/>
        <v>3</v>
      </c>
      <c r="P62" s="194">
        <f t="shared" si="20"/>
        <v>24</v>
      </c>
      <c r="Q62" s="194">
        <f t="shared" si="20"/>
        <v>17.5</v>
      </c>
      <c r="R62" s="194">
        <f t="shared" si="20"/>
        <v>18</v>
      </c>
      <c r="S62" s="194">
        <f t="shared" si="20"/>
        <v>35</v>
      </c>
      <c r="T62" s="194">
        <f t="shared" si="20"/>
        <v>-2</v>
      </c>
      <c r="U62" s="66">
        <f>SUM(N62:T62)</f>
        <v>95.5</v>
      </c>
      <c r="W62">
        <f>D62+1+1</f>
        <v>23</v>
      </c>
      <c r="X62">
        <f>E62+$AQ$56-112</f>
        <v>53.5</v>
      </c>
      <c r="Y62" s="111">
        <f t="shared" si="24"/>
        <v>0</v>
      </c>
      <c r="Z62" s="111">
        <f>8+5/6</f>
        <v>8.8333333333333339</v>
      </c>
      <c r="AA62" s="111">
        <f t="shared" si="21"/>
        <v>8.6</v>
      </c>
      <c r="AB62" s="111">
        <f t="shared" si="21"/>
        <v>8.8333333333333339</v>
      </c>
      <c r="AC62" s="111">
        <f t="shared" si="21"/>
        <v>8</v>
      </c>
      <c r="AD62" s="111">
        <f t="shared" si="21"/>
        <v>10.285714285714286</v>
      </c>
      <c r="AE62" s="111">
        <f t="shared" si="21"/>
        <v>0</v>
      </c>
      <c r="AF62" s="47">
        <f>(2900+135+430+615+620)*1</f>
        <v>4700</v>
      </c>
      <c r="AG62" s="194">
        <f t="shared" si="25"/>
        <v>0</v>
      </c>
      <c r="AH62" s="194">
        <f t="shared" si="30"/>
        <v>29</v>
      </c>
      <c r="AI62" s="194">
        <f t="shared" si="22"/>
        <v>24</v>
      </c>
      <c r="AJ62" s="194">
        <f t="shared" si="22"/>
        <v>17.5</v>
      </c>
      <c r="AK62" s="194">
        <f t="shared" si="22"/>
        <v>18</v>
      </c>
      <c r="AL62" s="194">
        <f t="shared" si="22"/>
        <v>35</v>
      </c>
      <c r="AM62" s="194">
        <f t="shared" si="22"/>
        <v>-2</v>
      </c>
      <c r="AN62" s="66">
        <f>SUM(AG62:AM62)</f>
        <v>121.5</v>
      </c>
    </row>
    <row r="63" spans="1:43" x14ac:dyDescent="0.25">
      <c r="A63" t="s">
        <v>46</v>
      </c>
      <c r="B63" s="15"/>
      <c r="C63" s="3"/>
      <c r="D63" s="3"/>
      <c r="E63" s="3"/>
      <c r="F63" s="111">
        <f t="shared" si="23"/>
        <v>0</v>
      </c>
      <c r="G63" s="111">
        <f t="shared" si="19"/>
        <v>2</v>
      </c>
      <c r="H63" s="111">
        <f t="shared" si="19"/>
        <v>2</v>
      </c>
      <c r="I63" s="111">
        <f t="shared" si="19"/>
        <v>2</v>
      </c>
      <c r="J63" s="111">
        <f t="shared" si="19"/>
        <v>2</v>
      </c>
      <c r="K63" s="111">
        <f t="shared" si="19"/>
        <v>2</v>
      </c>
      <c r="L63" s="111">
        <f t="shared" si="19"/>
        <v>2</v>
      </c>
      <c r="M63" s="47"/>
      <c r="N63" s="194">
        <f t="shared" si="19"/>
        <v>0</v>
      </c>
      <c r="O63" s="194">
        <f t="shared" si="20"/>
        <v>0</v>
      </c>
      <c r="P63" s="194">
        <f t="shared" si="20"/>
        <v>0</v>
      </c>
      <c r="Q63" s="194">
        <f t="shared" si="20"/>
        <v>0</v>
      </c>
      <c r="R63" s="194">
        <f t="shared" si="20"/>
        <v>0</v>
      </c>
      <c r="S63" s="194">
        <f t="shared" si="20"/>
        <v>0</v>
      </c>
      <c r="T63" s="194">
        <f t="shared" si="20"/>
        <v>0</v>
      </c>
      <c r="U63" s="66">
        <f>SUM(N63:T63)</f>
        <v>0</v>
      </c>
      <c r="Y63" s="111">
        <f t="shared" si="24"/>
        <v>0</v>
      </c>
      <c r="Z63" s="111">
        <f t="shared" si="21"/>
        <v>2</v>
      </c>
      <c r="AA63" s="111">
        <f t="shared" si="21"/>
        <v>2</v>
      </c>
      <c r="AB63" s="111">
        <f t="shared" si="21"/>
        <v>2</v>
      </c>
      <c r="AC63" s="111">
        <f t="shared" si="21"/>
        <v>2</v>
      </c>
      <c r="AD63" s="111">
        <f t="shared" si="21"/>
        <v>2</v>
      </c>
      <c r="AE63" s="111">
        <f t="shared" si="21"/>
        <v>2</v>
      </c>
      <c r="AF63" s="47"/>
      <c r="AG63" s="194">
        <f t="shared" si="25"/>
        <v>0</v>
      </c>
      <c r="AH63" s="194">
        <f t="shared" si="22"/>
        <v>0</v>
      </c>
      <c r="AI63" s="194">
        <f t="shared" si="22"/>
        <v>0</v>
      </c>
      <c r="AJ63" s="194">
        <f t="shared" si="22"/>
        <v>0</v>
      </c>
      <c r="AK63" s="194">
        <f t="shared" si="22"/>
        <v>0</v>
      </c>
      <c r="AL63" s="194">
        <f t="shared" si="22"/>
        <v>0</v>
      </c>
      <c r="AM63" s="194">
        <f t="shared" si="22"/>
        <v>0</v>
      </c>
      <c r="AN63" s="66">
        <f>SUM(AG63:AM63)</f>
        <v>0</v>
      </c>
    </row>
    <row r="64" spans="1:43" x14ac:dyDescent="0.25">
      <c r="A64" t="s">
        <v>334</v>
      </c>
      <c r="B64" s="15"/>
      <c r="C64" s="3"/>
      <c r="D64" s="3"/>
      <c r="E64" s="3"/>
      <c r="F64" s="111">
        <f t="shared" si="23"/>
        <v>0</v>
      </c>
      <c r="G64" s="111">
        <f t="shared" si="19"/>
        <v>2</v>
      </c>
      <c r="H64" s="111">
        <f t="shared" si="19"/>
        <v>2</v>
      </c>
      <c r="I64" s="111">
        <f t="shared" si="19"/>
        <v>2</v>
      </c>
      <c r="J64" s="111">
        <f t="shared" si="19"/>
        <v>2</v>
      </c>
      <c r="K64" s="111">
        <f t="shared" si="19"/>
        <v>2</v>
      </c>
      <c r="L64" s="111">
        <f t="shared" si="19"/>
        <v>2</v>
      </c>
      <c r="M64" s="47"/>
      <c r="N64" s="194">
        <f t="shared" si="19"/>
        <v>0</v>
      </c>
      <c r="O64" s="194">
        <f t="shared" si="20"/>
        <v>0</v>
      </c>
      <c r="P64" s="194">
        <f t="shared" si="20"/>
        <v>0</v>
      </c>
      <c r="Q64" s="194">
        <f t="shared" si="20"/>
        <v>0</v>
      </c>
      <c r="R64" s="194">
        <f t="shared" si="20"/>
        <v>0</v>
      </c>
      <c r="S64" s="194">
        <f t="shared" si="20"/>
        <v>0</v>
      </c>
      <c r="T64" s="194">
        <f t="shared" si="20"/>
        <v>0</v>
      </c>
      <c r="U64" s="66">
        <f>SUM(N64:T64)</f>
        <v>0</v>
      </c>
      <c r="Y64" s="111">
        <f t="shared" si="24"/>
        <v>0</v>
      </c>
      <c r="Z64" s="111">
        <f t="shared" si="21"/>
        <v>2</v>
      </c>
      <c r="AA64" s="111">
        <f t="shared" si="21"/>
        <v>2</v>
      </c>
      <c r="AB64" s="111">
        <f t="shared" si="21"/>
        <v>2</v>
      </c>
      <c r="AC64" s="111">
        <f t="shared" si="21"/>
        <v>2</v>
      </c>
      <c r="AD64" s="111">
        <f t="shared" si="21"/>
        <v>2</v>
      </c>
      <c r="AE64" s="111">
        <f t="shared" si="21"/>
        <v>2</v>
      </c>
      <c r="AF64" s="47"/>
      <c r="AG64" s="194">
        <f t="shared" si="25"/>
        <v>0</v>
      </c>
      <c r="AH64" s="194">
        <f t="shared" si="22"/>
        <v>0</v>
      </c>
      <c r="AI64" s="194">
        <f t="shared" si="22"/>
        <v>0</v>
      </c>
      <c r="AJ64" s="194">
        <f t="shared" si="22"/>
        <v>0</v>
      </c>
      <c r="AK64" s="194">
        <f t="shared" si="22"/>
        <v>0</v>
      </c>
      <c r="AL64" s="194">
        <f t="shared" si="22"/>
        <v>0</v>
      </c>
      <c r="AM64" s="194">
        <f t="shared" si="22"/>
        <v>0</v>
      </c>
      <c r="AN64" s="66">
        <f>SUM(AG64:AM64)</f>
        <v>0</v>
      </c>
    </row>
    <row r="65" spans="1:43" x14ac:dyDescent="0.25">
      <c r="A65"/>
      <c r="B65"/>
      <c r="F65" s="194"/>
      <c r="G65" s="194"/>
      <c r="H65" s="194"/>
      <c r="I65" s="194"/>
      <c r="J65" s="194"/>
      <c r="K65" s="194"/>
      <c r="L65" s="194"/>
      <c r="M65" s="195">
        <f>SUM(M67:M81)</f>
        <v>151807.20000000001</v>
      </c>
      <c r="N65" s="194"/>
      <c r="O65" s="194"/>
      <c r="P65" s="194"/>
      <c r="Q65" s="194"/>
      <c r="R65" s="194"/>
      <c r="S65" s="194"/>
      <c r="T65" s="194"/>
      <c r="U65" s="194"/>
      <c r="Y65" s="194"/>
      <c r="Z65" s="194"/>
      <c r="AA65" s="194"/>
      <c r="AB65" s="194"/>
      <c r="AC65" s="194"/>
      <c r="AD65" s="194"/>
      <c r="AE65" s="194"/>
      <c r="AF65" s="195">
        <f>SUM(AF67:AF81)</f>
        <v>157600.34499999997</v>
      </c>
      <c r="AG65" s="194"/>
      <c r="AH65" s="194"/>
      <c r="AI65" s="194"/>
      <c r="AJ65" s="194"/>
      <c r="AK65" s="194"/>
      <c r="AL65" s="194"/>
      <c r="AM65" s="194"/>
      <c r="AN65" s="194"/>
    </row>
    <row r="66" spans="1:43" x14ac:dyDescent="0.25">
      <c r="A66" s="10" t="s">
        <v>170</v>
      </c>
      <c r="B66" s="10" t="s">
        <v>2</v>
      </c>
      <c r="C66" s="10" t="s">
        <v>84</v>
      </c>
      <c r="D66" s="10" t="s">
        <v>321</v>
      </c>
      <c r="E66" s="10" t="s">
        <v>322</v>
      </c>
      <c r="F66" s="10" t="s">
        <v>15</v>
      </c>
      <c r="G66" s="10" t="s">
        <v>16</v>
      </c>
      <c r="H66" s="10" t="s">
        <v>17</v>
      </c>
      <c r="I66" s="10" t="s">
        <v>18</v>
      </c>
      <c r="J66" s="10" t="s">
        <v>19</v>
      </c>
      <c r="K66" s="10" t="s">
        <v>20</v>
      </c>
      <c r="L66" s="10" t="s">
        <v>6</v>
      </c>
      <c r="M66" s="10" t="s">
        <v>68</v>
      </c>
      <c r="N66" s="10" t="s">
        <v>323</v>
      </c>
      <c r="O66" s="10" t="s">
        <v>324</v>
      </c>
      <c r="P66" s="10" t="s">
        <v>325</v>
      </c>
      <c r="Q66" s="10" t="s">
        <v>326</v>
      </c>
      <c r="R66" s="10" t="s">
        <v>327</v>
      </c>
      <c r="S66" s="10" t="s">
        <v>328</v>
      </c>
      <c r="T66" s="10" t="s">
        <v>329</v>
      </c>
      <c r="U66" s="10" t="s">
        <v>330</v>
      </c>
      <c r="W66" s="10" t="s">
        <v>321</v>
      </c>
      <c r="X66" s="10" t="s">
        <v>322</v>
      </c>
      <c r="Y66" s="10" t="s">
        <v>15</v>
      </c>
      <c r="Z66" s="10" t="s">
        <v>16</v>
      </c>
      <c r="AA66" s="10" t="s">
        <v>17</v>
      </c>
      <c r="AB66" s="10" t="s">
        <v>18</v>
      </c>
      <c r="AC66" s="10" t="s">
        <v>19</v>
      </c>
      <c r="AD66" s="10" t="s">
        <v>20</v>
      </c>
      <c r="AE66" s="10" t="s">
        <v>6</v>
      </c>
      <c r="AF66" s="10" t="s">
        <v>68</v>
      </c>
      <c r="AG66" s="10" t="s">
        <v>323</v>
      </c>
      <c r="AH66" s="10" t="s">
        <v>324</v>
      </c>
      <c r="AI66" s="10" t="s">
        <v>325</v>
      </c>
      <c r="AJ66" s="10" t="s">
        <v>326</v>
      </c>
      <c r="AK66" s="10" t="s">
        <v>327</v>
      </c>
      <c r="AL66" s="10" t="s">
        <v>328</v>
      </c>
      <c r="AM66" s="10" t="s">
        <v>329</v>
      </c>
      <c r="AN66" s="10" t="s">
        <v>330</v>
      </c>
    </row>
    <row r="67" spans="1:43" x14ac:dyDescent="0.25">
      <c r="A67" t="s">
        <v>29</v>
      </c>
      <c r="B67" s="15" t="s">
        <v>72</v>
      </c>
      <c r="C67" s="18"/>
      <c r="D67" s="18">
        <v>22</v>
      </c>
      <c r="E67" s="18">
        <v>0</v>
      </c>
      <c r="F67" s="111">
        <v>16</v>
      </c>
      <c r="G67" s="111">
        <v>10</v>
      </c>
      <c r="H67" s="111">
        <f t="shared" ref="H67:K82" si="33">AA49</f>
        <v>0</v>
      </c>
      <c r="I67" s="111">
        <f t="shared" si="33"/>
        <v>0</v>
      </c>
      <c r="J67" s="111">
        <f t="shared" si="33"/>
        <v>0</v>
      </c>
      <c r="K67" s="111">
        <f t="shared" si="33"/>
        <v>0</v>
      </c>
      <c r="L67" s="111">
        <v>7</v>
      </c>
      <c r="M67" s="47">
        <f>(24270+1165)*1.02</f>
        <v>25943.7</v>
      </c>
      <c r="N67" s="194">
        <v>52</v>
      </c>
      <c r="O67" s="194">
        <v>37</v>
      </c>
      <c r="P67" s="194">
        <f t="shared" ref="P67:S82" si="34">AI49</f>
        <v>0</v>
      </c>
      <c r="Q67" s="194">
        <f t="shared" si="34"/>
        <v>0</v>
      </c>
      <c r="R67" s="194">
        <f t="shared" si="34"/>
        <v>0</v>
      </c>
      <c r="S67" s="194">
        <f t="shared" si="34"/>
        <v>0</v>
      </c>
      <c r="T67" s="194">
        <v>5</v>
      </c>
      <c r="U67" s="66">
        <f>SUM(N67:T67)</f>
        <v>94</v>
      </c>
      <c r="W67">
        <f>D67+1</f>
        <v>23</v>
      </c>
      <c r="X67">
        <f>E67+$AQ$76</f>
        <v>63</v>
      </c>
      <c r="Y67" s="111">
        <f>F67</f>
        <v>16</v>
      </c>
      <c r="Z67" s="111">
        <f t="shared" ref="Z67:AD82" si="35">G67</f>
        <v>10</v>
      </c>
      <c r="AA67" s="111">
        <f t="shared" si="35"/>
        <v>0</v>
      </c>
      <c r="AB67" s="111">
        <f t="shared" si="35"/>
        <v>0</v>
      </c>
      <c r="AC67" s="111">
        <f t="shared" si="35"/>
        <v>0</v>
      </c>
      <c r="AD67" s="111">
        <f t="shared" si="35"/>
        <v>0</v>
      </c>
      <c r="AE67" s="111">
        <f>18+1/4</f>
        <v>18.25</v>
      </c>
      <c r="AF67" s="47">
        <f>(24270+1165)*1.055</f>
        <v>26833.924999999999</v>
      </c>
      <c r="AG67" s="194">
        <f>N67</f>
        <v>52</v>
      </c>
      <c r="AH67" s="194">
        <f t="shared" ref="AH67:AL82" si="36">O67</f>
        <v>37</v>
      </c>
      <c r="AI67" s="194">
        <f t="shared" si="36"/>
        <v>0</v>
      </c>
      <c r="AJ67" s="194">
        <f t="shared" si="36"/>
        <v>0</v>
      </c>
      <c r="AK67" s="194">
        <f t="shared" si="36"/>
        <v>0</v>
      </c>
      <c r="AL67" s="194">
        <f t="shared" si="36"/>
        <v>0</v>
      </c>
      <c r="AM67" s="194">
        <f>T67+$AQ$74</f>
        <v>30</v>
      </c>
      <c r="AN67" s="66">
        <f>SUM(AG67:AM67)</f>
        <v>119</v>
      </c>
    </row>
    <row r="68" spans="1:43" x14ac:dyDescent="0.25">
      <c r="A68" t="s">
        <v>32</v>
      </c>
      <c r="B68" s="15" t="s">
        <v>336</v>
      </c>
      <c r="C68" s="18" t="s">
        <v>0</v>
      </c>
      <c r="D68" s="18">
        <v>22</v>
      </c>
      <c r="E68" s="18">
        <v>50</v>
      </c>
      <c r="F68" s="111">
        <f>Y50</f>
        <v>0</v>
      </c>
      <c r="G68" s="111">
        <v>12</v>
      </c>
      <c r="H68" s="111">
        <v>7</v>
      </c>
      <c r="I68" s="111">
        <f t="shared" si="33"/>
        <v>2</v>
      </c>
      <c r="J68" s="111">
        <f t="shared" si="33"/>
        <v>2</v>
      </c>
      <c r="K68" s="111">
        <v>10</v>
      </c>
      <c r="L68" s="111">
        <f t="shared" ref="L68:P82" si="37">AE50</f>
        <v>2</v>
      </c>
      <c r="M68" s="47">
        <f>(7010+255+1315)*1.008</f>
        <v>8648.64</v>
      </c>
      <c r="N68" s="194">
        <f t="shared" si="37"/>
        <v>0</v>
      </c>
      <c r="O68" s="194">
        <v>56</v>
      </c>
      <c r="P68" s="194">
        <v>16</v>
      </c>
      <c r="Q68" s="194">
        <f t="shared" si="34"/>
        <v>0</v>
      </c>
      <c r="R68" s="194">
        <f t="shared" si="34"/>
        <v>0</v>
      </c>
      <c r="S68" s="194">
        <v>33</v>
      </c>
      <c r="T68" s="194">
        <f t="shared" ref="T68:T80" si="38">AM50</f>
        <v>0</v>
      </c>
      <c r="U68" s="66">
        <f>SUM(N68:T68)</f>
        <v>105</v>
      </c>
      <c r="W68">
        <f>D68+1+1</f>
        <v>24</v>
      </c>
      <c r="X68">
        <f>E68+$AQ$76-112</f>
        <v>1</v>
      </c>
      <c r="Y68" s="111">
        <f t="shared" ref="Y68:Y82" si="39">F68</f>
        <v>0</v>
      </c>
      <c r="Z68" s="111">
        <f t="shared" si="35"/>
        <v>12</v>
      </c>
      <c r="AA68" s="111">
        <f t="shared" si="35"/>
        <v>7</v>
      </c>
      <c r="AB68" s="111">
        <f t="shared" si="35"/>
        <v>2</v>
      </c>
      <c r="AC68" s="111">
        <f t="shared" si="35"/>
        <v>2</v>
      </c>
      <c r="AD68" s="111">
        <f t="shared" si="35"/>
        <v>10</v>
      </c>
      <c r="AE68" s="111">
        <v>17</v>
      </c>
      <c r="AF68" s="47">
        <f>(7010+255+1315)*1.047</f>
        <v>8983.26</v>
      </c>
      <c r="AG68" s="194">
        <f t="shared" ref="AG68:AG82" si="40">N68</f>
        <v>0</v>
      </c>
      <c r="AH68" s="194">
        <f t="shared" si="36"/>
        <v>56</v>
      </c>
      <c r="AI68" s="194">
        <f t="shared" si="36"/>
        <v>16</v>
      </c>
      <c r="AJ68" s="194">
        <f t="shared" si="36"/>
        <v>0</v>
      </c>
      <c r="AK68" s="194">
        <f t="shared" si="36"/>
        <v>0</v>
      </c>
      <c r="AL68" s="194">
        <f t="shared" si="36"/>
        <v>33</v>
      </c>
      <c r="AM68" s="194">
        <f t="shared" ref="AM68:AM82" si="41">T68+$AQ$74</f>
        <v>25</v>
      </c>
      <c r="AN68" s="66">
        <f>SUM(AG68:AM68)</f>
        <v>130</v>
      </c>
    </row>
    <row r="69" spans="1:43" x14ac:dyDescent="0.25">
      <c r="A69" t="s">
        <v>33</v>
      </c>
      <c r="B69" s="15" t="s">
        <v>336</v>
      </c>
      <c r="C69" s="18" t="s">
        <v>0</v>
      </c>
      <c r="D69" s="18">
        <v>22</v>
      </c>
      <c r="E69" s="18">
        <v>50</v>
      </c>
      <c r="F69" s="111">
        <f>Y51</f>
        <v>0</v>
      </c>
      <c r="G69" s="111">
        <v>12</v>
      </c>
      <c r="H69" s="111">
        <v>7</v>
      </c>
      <c r="I69" s="111">
        <f t="shared" si="33"/>
        <v>2</v>
      </c>
      <c r="J69" s="111">
        <f t="shared" si="33"/>
        <v>2</v>
      </c>
      <c r="K69" s="111">
        <v>10</v>
      </c>
      <c r="L69" s="111">
        <f t="shared" si="37"/>
        <v>2</v>
      </c>
      <c r="M69" s="47">
        <f>(7010+255+1315)*1.008</f>
        <v>8648.64</v>
      </c>
      <c r="N69" s="194">
        <f t="shared" si="37"/>
        <v>0</v>
      </c>
      <c r="O69" s="194">
        <v>56</v>
      </c>
      <c r="P69" s="194">
        <v>16</v>
      </c>
      <c r="Q69" s="194">
        <f t="shared" si="34"/>
        <v>0</v>
      </c>
      <c r="R69" s="194">
        <f t="shared" si="34"/>
        <v>0</v>
      </c>
      <c r="S69" s="194">
        <v>33</v>
      </c>
      <c r="T69" s="194">
        <f t="shared" si="38"/>
        <v>0</v>
      </c>
      <c r="U69" s="66">
        <f>SUM(N69:T69)</f>
        <v>105</v>
      </c>
      <c r="W69">
        <f>D69+1+1</f>
        <v>24</v>
      </c>
      <c r="X69">
        <f>E69+$AQ$76-112</f>
        <v>1</v>
      </c>
      <c r="Y69" s="111">
        <f t="shared" si="39"/>
        <v>0</v>
      </c>
      <c r="Z69" s="111">
        <f t="shared" si="35"/>
        <v>12</v>
      </c>
      <c r="AA69" s="111">
        <f t="shared" si="35"/>
        <v>7</v>
      </c>
      <c r="AB69" s="111">
        <f t="shared" si="35"/>
        <v>2</v>
      </c>
      <c r="AC69" s="111">
        <f t="shared" si="35"/>
        <v>2</v>
      </c>
      <c r="AD69" s="111">
        <f t="shared" si="35"/>
        <v>10</v>
      </c>
      <c r="AE69" s="111">
        <v>17</v>
      </c>
      <c r="AF69" s="47">
        <f>(7010+255+1315)*1.047</f>
        <v>8983.26</v>
      </c>
      <c r="AG69" s="194">
        <f t="shared" si="40"/>
        <v>0</v>
      </c>
      <c r="AH69" s="194">
        <f t="shared" si="36"/>
        <v>56</v>
      </c>
      <c r="AI69" s="194">
        <f t="shared" si="36"/>
        <v>16</v>
      </c>
      <c r="AJ69" s="194">
        <f t="shared" si="36"/>
        <v>0</v>
      </c>
      <c r="AK69" s="194">
        <f t="shared" si="36"/>
        <v>0</v>
      </c>
      <c r="AL69" s="194">
        <f t="shared" si="36"/>
        <v>33</v>
      </c>
      <c r="AM69" s="194">
        <f t="shared" si="41"/>
        <v>25</v>
      </c>
      <c r="AN69" s="66">
        <f>SUM(AG69:AM69)</f>
        <v>130</v>
      </c>
    </row>
    <row r="70" spans="1:43" x14ac:dyDescent="0.25">
      <c r="A70" t="s">
        <v>39</v>
      </c>
      <c r="B70" s="15" t="s">
        <v>336</v>
      </c>
      <c r="C70" s="18" t="s">
        <v>0</v>
      </c>
      <c r="D70" s="18">
        <v>22</v>
      </c>
      <c r="E70" s="18">
        <v>50</v>
      </c>
      <c r="F70" s="111">
        <f>Y52</f>
        <v>0</v>
      </c>
      <c r="G70" s="111">
        <v>12</v>
      </c>
      <c r="H70" s="111">
        <v>7</v>
      </c>
      <c r="I70" s="111">
        <f t="shared" si="33"/>
        <v>2</v>
      </c>
      <c r="J70" s="111">
        <f t="shared" si="33"/>
        <v>2</v>
      </c>
      <c r="K70" s="111">
        <v>10</v>
      </c>
      <c r="L70" s="111">
        <f t="shared" si="37"/>
        <v>2</v>
      </c>
      <c r="M70" s="47">
        <f>(7010+255+1315)*1.008</f>
        <v>8648.64</v>
      </c>
      <c r="N70" s="194">
        <f t="shared" si="37"/>
        <v>0</v>
      </c>
      <c r="O70" s="194">
        <v>56</v>
      </c>
      <c r="P70" s="194">
        <v>16</v>
      </c>
      <c r="Q70" s="194">
        <f t="shared" si="34"/>
        <v>0</v>
      </c>
      <c r="R70" s="194">
        <f t="shared" si="34"/>
        <v>0</v>
      </c>
      <c r="S70" s="194">
        <v>33</v>
      </c>
      <c r="T70" s="194">
        <f t="shared" si="38"/>
        <v>0</v>
      </c>
      <c r="U70" s="66">
        <f>SUM(N70:T70)</f>
        <v>105</v>
      </c>
      <c r="W70">
        <f>D70+1+1</f>
        <v>24</v>
      </c>
      <c r="X70">
        <f>E70+$AQ$76-112</f>
        <v>1</v>
      </c>
      <c r="Y70" s="111">
        <f t="shared" si="39"/>
        <v>0</v>
      </c>
      <c r="Z70" s="111">
        <f t="shared" si="35"/>
        <v>12</v>
      </c>
      <c r="AA70" s="111">
        <f t="shared" si="35"/>
        <v>7</v>
      </c>
      <c r="AB70" s="111">
        <f t="shared" si="35"/>
        <v>2</v>
      </c>
      <c r="AC70" s="111">
        <f t="shared" si="35"/>
        <v>2</v>
      </c>
      <c r="AD70" s="111">
        <f t="shared" si="35"/>
        <v>10</v>
      </c>
      <c r="AE70" s="111">
        <v>17</v>
      </c>
      <c r="AF70" s="47">
        <f>(7010+255+1315)*1.047</f>
        <v>8983.26</v>
      </c>
      <c r="AG70" s="194">
        <f t="shared" si="40"/>
        <v>0</v>
      </c>
      <c r="AH70" s="194">
        <f t="shared" si="36"/>
        <v>56</v>
      </c>
      <c r="AI70" s="194">
        <f t="shared" si="36"/>
        <v>16</v>
      </c>
      <c r="AJ70" s="194">
        <f t="shared" si="36"/>
        <v>0</v>
      </c>
      <c r="AK70" s="194">
        <f t="shared" si="36"/>
        <v>0</v>
      </c>
      <c r="AL70" s="194">
        <f t="shared" si="36"/>
        <v>33</v>
      </c>
      <c r="AM70" s="194">
        <f t="shared" si="41"/>
        <v>25</v>
      </c>
      <c r="AN70" s="66">
        <f>SUM(AG70:AM70)</f>
        <v>130</v>
      </c>
    </row>
    <row r="71" spans="1:43" x14ac:dyDescent="0.25">
      <c r="A71" t="s">
        <v>41</v>
      </c>
      <c r="B71" s="15" t="str">
        <f t="shared" ref="B71:C80" si="42">B53</f>
        <v>Defensa</v>
      </c>
      <c r="C71" s="18" t="str">
        <f t="shared" si="42"/>
        <v>POT</v>
      </c>
      <c r="D71" s="18">
        <f t="shared" ref="D71:H82" si="43">W53</f>
        <v>23</v>
      </c>
      <c r="E71" s="18">
        <f t="shared" si="43"/>
        <v>28</v>
      </c>
      <c r="F71" s="111">
        <f t="shared" si="43"/>
        <v>0</v>
      </c>
      <c r="G71" s="111">
        <f t="shared" si="43"/>
        <v>12</v>
      </c>
      <c r="H71" s="111">
        <f t="shared" si="43"/>
        <v>10</v>
      </c>
      <c r="I71" s="111">
        <f t="shared" si="33"/>
        <v>2</v>
      </c>
      <c r="J71" s="111">
        <f t="shared" si="33"/>
        <v>2</v>
      </c>
      <c r="K71" s="111">
        <f t="shared" si="33"/>
        <v>10</v>
      </c>
      <c r="L71" s="111">
        <f t="shared" si="37"/>
        <v>2</v>
      </c>
      <c r="M71" s="47">
        <f t="shared" si="37"/>
        <v>9858.24</v>
      </c>
      <c r="N71" s="194">
        <f t="shared" si="37"/>
        <v>0</v>
      </c>
      <c r="O71" s="194">
        <f t="shared" si="37"/>
        <v>56</v>
      </c>
      <c r="P71" s="194">
        <f t="shared" si="37"/>
        <v>33</v>
      </c>
      <c r="Q71" s="194">
        <f t="shared" si="34"/>
        <v>0</v>
      </c>
      <c r="R71" s="194">
        <f t="shared" si="34"/>
        <v>0</v>
      </c>
      <c r="S71" s="194">
        <f t="shared" si="34"/>
        <v>33</v>
      </c>
      <c r="T71" s="194">
        <f t="shared" si="38"/>
        <v>0</v>
      </c>
      <c r="U71" s="66">
        <f t="shared" ref="U71:U78" si="44">SUM(N71:T71)</f>
        <v>122</v>
      </c>
      <c r="W71">
        <f t="shared" ref="W71:W77" si="45">D71+1</f>
        <v>24</v>
      </c>
      <c r="X71">
        <f t="shared" ref="X71:X77" si="46">E71+$AQ$76</f>
        <v>91</v>
      </c>
      <c r="Y71" s="111">
        <f t="shared" si="39"/>
        <v>0</v>
      </c>
      <c r="Z71" s="111">
        <f t="shared" si="35"/>
        <v>12</v>
      </c>
      <c r="AA71" s="111">
        <f t="shared" si="35"/>
        <v>10</v>
      </c>
      <c r="AB71" s="111">
        <f t="shared" si="35"/>
        <v>2</v>
      </c>
      <c r="AC71" s="111">
        <f t="shared" si="35"/>
        <v>2</v>
      </c>
      <c r="AD71" s="111">
        <f t="shared" si="35"/>
        <v>10</v>
      </c>
      <c r="AE71" s="111">
        <v>17</v>
      </c>
      <c r="AF71" s="47">
        <f>(7010+1455+1315)*1.047</f>
        <v>10239.66</v>
      </c>
      <c r="AG71" s="194">
        <f t="shared" si="40"/>
        <v>0</v>
      </c>
      <c r="AH71" s="194">
        <f t="shared" si="36"/>
        <v>56</v>
      </c>
      <c r="AI71" s="194">
        <f t="shared" si="36"/>
        <v>33</v>
      </c>
      <c r="AJ71" s="194">
        <f t="shared" si="36"/>
        <v>0</v>
      </c>
      <c r="AK71" s="194">
        <f t="shared" si="36"/>
        <v>0</v>
      </c>
      <c r="AL71" s="194">
        <f t="shared" si="36"/>
        <v>33</v>
      </c>
      <c r="AM71" s="194">
        <f t="shared" si="41"/>
        <v>25</v>
      </c>
      <c r="AN71" s="66">
        <f t="shared" ref="AN71:AN78" si="47">SUM(AG71:AM71)</f>
        <v>147</v>
      </c>
    </row>
    <row r="72" spans="1:43" x14ac:dyDescent="0.25">
      <c r="A72" t="s">
        <v>38</v>
      </c>
      <c r="B72" s="15" t="str">
        <f t="shared" si="42"/>
        <v>Defensa</v>
      </c>
      <c r="C72" s="18" t="str">
        <f t="shared" si="42"/>
        <v>POT</v>
      </c>
      <c r="D72" s="18">
        <f t="shared" si="43"/>
        <v>23</v>
      </c>
      <c r="E72" s="18">
        <f t="shared" si="43"/>
        <v>28</v>
      </c>
      <c r="F72" s="111">
        <f t="shared" si="43"/>
        <v>0</v>
      </c>
      <c r="G72" s="111">
        <f t="shared" si="43"/>
        <v>12</v>
      </c>
      <c r="H72" s="111">
        <f t="shared" si="43"/>
        <v>10</v>
      </c>
      <c r="I72" s="111">
        <f t="shared" si="33"/>
        <v>2</v>
      </c>
      <c r="J72" s="111">
        <f t="shared" si="33"/>
        <v>2</v>
      </c>
      <c r="K72" s="111">
        <f t="shared" si="33"/>
        <v>10</v>
      </c>
      <c r="L72" s="111">
        <f t="shared" si="37"/>
        <v>2</v>
      </c>
      <c r="M72" s="47">
        <f t="shared" si="37"/>
        <v>9858.24</v>
      </c>
      <c r="N72" s="194">
        <f t="shared" si="37"/>
        <v>0</v>
      </c>
      <c r="O72" s="194">
        <f t="shared" si="37"/>
        <v>56</v>
      </c>
      <c r="P72" s="194">
        <f t="shared" si="37"/>
        <v>33</v>
      </c>
      <c r="Q72" s="194">
        <f t="shared" si="34"/>
        <v>0</v>
      </c>
      <c r="R72" s="194">
        <f t="shared" si="34"/>
        <v>0</v>
      </c>
      <c r="S72" s="194">
        <f t="shared" si="34"/>
        <v>33</v>
      </c>
      <c r="T72" s="194">
        <f t="shared" si="38"/>
        <v>0</v>
      </c>
      <c r="U72" s="66">
        <f t="shared" si="44"/>
        <v>122</v>
      </c>
      <c r="W72">
        <f t="shared" si="45"/>
        <v>24</v>
      </c>
      <c r="X72">
        <f t="shared" si="46"/>
        <v>91</v>
      </c>
      <c r="Y72" s="111">
        <f t="shared" si="39"/>
        <v>0</v>
      </c>
      <c r="Z72" s="111">
        <f t="shared" si="35"/>
        <v>12</v>
      </c>
      <c r="AA72" s="111">
        <f t="shared" si="35"/>
        <v>10</v>
      </c>
      <c r="AB72" s="111">
        <f t="shared" si="35"/>
        <v>2</v>
      </c>
      <c r="AC72" s="111">
        <f t="shared" si="35"/>
        <v>2</v>
      </c>
      <c r="AD72" s="111">
        <f t="shared" si="35"/>
        <v>10</v>
      </c>
      <c r="AE72" s="111">
        <v>17</v>
      </c>
      <c r="AF72" s="47">
        <f>(7010+1455+1315)*1.047</f>
        <v>10239.66</v>
      </c>
      <c r="AG72" s="194">
        <f t="shared" si="40"/>
        <v>0</v>
      </c>
      <c r="AH72" s="194">
        <f t="shared" si="36"/>
        <v>56</v>
      </c>
      <c r="AI72" s="194">
        <f t="shared" si="36"/>
        <v>33</v>
      </c>
      <c r="AJ72" s="194">
        <f t="shared" si="36"/>
        <v>0</v>
      </c>
      <c r="AK72" s="194">
        <f t="shared" si="36"/>
        <v>0</v>
      </c>
      <c r="AL72" s="194">
        <f t="shared" si="36"/>
        <v>33</v>
      </c>
      <c r="AM72" s="194">
        <f t="shared" si="41"/>
        <v>25</v>
      </c>
      <c r="AN72" s="66">
        <f t="shared" si="47"/>
        <v>147</v>
      </c>
    </row>
    <row r="73" spans="1:43" x14ac:dyDescent="0.25">
      <c r="A73" t="s">
        <v>35</v>
      </c>
      <c r="B73" s="15" t="str">
        <f t="shared" si="42"/>
        <v>Defensa</v>
      </c>
      <c r="C73" s="18" t="str">
        <f t="shared" si="42"/>
        <v>IMP</v>
      </c>
      <c r="D73" s="18">
        <f t="shared" si="43"/>
        <v>23</v>
      </c>
      <c r="E73" s="18">
        <f t="shared" si="43"/>
        <v>28</v>
      </c>
      <c r="F73" s="111">
        <f t="shared" si="43"/>
        <v>0</v>
      </c>
      <c r="G73" s="111">
        <f t="shared" si="43"/>
        <v>12</v>
      </c>
      <c r="H73" s="111">
        <f t="shared" si="43"/>
        <v>10</v>
      </c>
      <c r="I73" s="111">
        <f t="shared" si="33"/>
        <v>2</v>
      </c>
      <c r="J73" s="111">
        <f t="shared" si="33"/>
        <v>2</v>
      </c>
      <c r="K73" s="111">
        <f t="shared" si="33"/>
        <v>10</v>
      </c>
      <c r="L73" s="111">
        <f t="shared" si="37"/>
        <v>2</v>
      </c>
      <c r="M73" s="47">
        <f t="shared" si="37"/>
        <v>9858.24</v>
      </c>
      <c r="N73" s="194">
        <f t="shared" si="37"/>
        <v>0</v>
      </c>
      <c r="O73" s="194">
        <f t="shared" si="37"/>
        <v>56</v>
      </c>
      <c r="P73" s="194">
        <f t="shared" si="37"/>
        <v>33</v>
      </c>
      <c r="Q73" s="194">
        <f t="shared" si="34"/>
        <v>0</v>
      </c>
      <c r="R73" s="194">
        <f t="shared" si="34"/>
        <v>0</v>
      </c>
      <c r="S73" s="194">
        <f t="shared" si="34"/>
        <v>33</v>
      </c>
      <c r="T73" s="194">
        <f t="shared" si="38"/>
        <v>0</v>
      </c>
      <c r="U73" s="66">
        <f t="shared" si="44"/>
        <v>122</v>
      </c>
      <c r="W73">
        <f t="shared" si="45"/>
        <v>24</v>
      </c>
      <c r="X73">
        <f t="shared" si="46"/>
        <v>91</v>
      </c>
      <c r="Y73" s="111">
        <f t="shared" si="39"/>
        <v>0</v>
      </c>
      <c r="Z73" s="111">
        <f t="shared" si="35"/>
        <v>12</v>
      </c>
      <c r="AA73" s="111">
        <f t="shared" si="35"/>
        <v>10</v>
      </c>
      <c r="AB73" s="111">
        <f t="shared" si="35"/>
        <v>2</v>
      </c>
      <c r="AC73" s="111">
        <f t="shared" si="35"/>
        <v>2</v>
      </c>
      <c r="AD73" s="111">
        <f t="shared" si="35"/>
        <v>10</v>
      </c>
      <c r="AE73" s="111">
        <v>17</v>
      </c>
      <c r="AF73" s="47">
        <f>(7010+1455+1315)*1.047</f>
        <v>10239.66</v>
      </c>
      <c r="AG73" s="194">
        <f t="shared" si="40"/>
        <v>0</v>
      </c>
      <c r="AH73" s="194">
        <f t="shared" si="36"/>
        <v>56</v>
      </c>
      <c r="AI73" s="194">
        <f t="shared" si="36"/>
        <v>33</v>
      </c>
      <c r="AJ73" s="194">
        <f t="shared" si="36"/>
        <v>0</v>
      </c>
      <c r="AK73" s="194">
        <f t="shared" si="36"/>
        <v>0</v>
      </c>
      <c r="AL73" s="194">
        <f t="shared" si="36"/>
        <v>33</v>
      </c>
      <c r="AM73" s="194">
        <f t="shared" si="41"/>
        <v>25</v>
      </c>
      <c r="AN73" s="66">
        <f t="shared" si="47"/>
        <v>147</v>
      </c>
    </row>
    <row r="74" spans="1:43" x14ac:dyDescent="0.25">
      <c r="A74" t="s">
        <v>31</v>
      </c>
      <c r="B74" s="15" t="str">
        <f t="shared" si="42"/>
        <v>Defensa</v>
      </c>
      <c r="C74" s="18" t="str">
        <f t="shared" si="42"/>
        <v>IMP</v>
      </c>
      <c r="D74" s="18">
        <f t="shared" si="43"/>
        <v>23</v>
      </c>
      <c r="E74" s="18">
        <f t="shared" si="43"/>
        <v>28</v>
      </c>
      <c r="F74" s="111">
        <f t="shared" si="43"/>
        <v>0</v>
      </c>
      <c r="G74" s="111">
        <f t="shared" si="43"/>
        <v>12</v>
      </c>
      <c r="H74" s="111">
        <f t="shared" si="43"/>
        <v>10</v>
      </c>
      <c r="I74" s="111">
        <f t="shared" si="33"/>
        <v>2</v>
      </c>
      <c r="J74" s="111">
        <f t="shared" si="33"/>
        <v>2</v>
      </c>
      <c r="K74" s="111">
        <f t="shared" si="33"/>
        <v>10</v>
      </c>
      <c r="L74" s="111">
        <f t="shared" si="37"/>
        <v>2</v>
      </c>
      <c r="M74" s="47">
        <f t="shared" si="37"/>
        <v>9858.24</v>
      </c>
      <c r="N74" s="194">
        <f t="shared" si="37"/>
        <v>0</v>
      </c>
      <c r="O74" s="194">
        <f t="shared" si="37"/>
        <v>56</v>
      </c>
      <c r="P74" s="194">
        <f t="shared" si="37"/>
        <v>33</v>
      </c>
      <c r="Q74" s="194">
        <f t="shared" si="34"/>
        <v>0</v>
      </c>
      <c r="R74" s="194">
        <f t="shared" si="34"/>
        <v>0</v>
      </c>
      <c r="S74" s="194">
        <f t="shared" si="34"/>
        <v>33</v>
      </c>
      <c r="T74" s="194">
        <f t="shared" si="38"/>
        <v>0</v>
      </c>
      <c r="U74" s="66">
        <f t="shared" si="44"/>
        <v>122</v>
      </c>
      <c r="W74">
        <f t="shared" si="45"/>
        <v>24</v>
      </c>
      <c r="X74">
        <f t="shared" si="46"/>
        <v>91</v>
      </c>
      <c r="Y74" s="111">
        <f t="shared" si="39"/>
        <v>0</v>
      </c>
      <c r="Z74" s="111">
        <f t="shared" si="35"/>
        <v>12</v>
      </c>
      <c r="AA74" s="111">
        <f t="shared" si="35"/>
        <v>10</v>
      </c>
      <c r="AB74" s="111">
        <f t="shared" si="35"/>
        <v>2</v>
      </c>
      <c r="AC74" s="111">
        <f t="shared" si="35"/>
        <v>2</v>
      </c>
      <c r="AD74" s="111">
        <f t="shared" si="35"/>
        <v>10</v>
      </c>
      <c r="AE74" s="111">
        <v>17</v>
      </c>
      <c r="AF74" s="47">
        <f>(7010+1455+1315)*1.047</f>
        <v>10239.66</v>
      </c>
      <c r="AG74" s="194">
        <f t="shared" si="40"/>
        <v>0</v>
      </c>
      <c r="AH74" s="194">
        <f t="shared" si="36"/>
        <v>56</v>
      </c>
      <c r="AI74" s="194">
        <f t="shared" si="36"/>
        <v>33</v>
      </c>
      <c r="AJ74" s="194">
        <f t="shared" si="36"/>
        <v>0</v>
      </c>
      <c r="AK74" s="194">
        <f t="shared" si="36"/>
        <v>0</v>
      </c>
      <c r="AL74" s="194">
        <f t="shared" si="36"/>
        <v>33</v>
      </c>
      <c r="AM74" s="194">
        <f t="shared" si="41"/>
        <v>25</v>
      </c>
      <c r="AN74" s="66">
        <f t="shared" si="47"/>
        <v>147</v>
      </c>
      <c r="AP74" s="198" t="s">
        <v>47</v>
      </c>
      <c r="AQ74" s="198">
        <v>25</v>
      </c>
    </row>
    <row r="75" spans="1:43" x14ac:dyDescent="0.25">
      <c r="A75" t="s">
        <v>43</v>
      </c>
      <c r="B75" s="15" t="str">
        <f t="shared" si="42"/>
        <v>Inner</v>
      </c>
      <c r="C75" s="18" t="str">
        <f t="shared" si="42"/>
        <v>CAB</v>
      </c>
      <c r="D75" s="18">
        <f t="shared" si="43"/>
        <v>23</v>
      </c>
      <c r="E75" s="18">
        <f t="shared" si="43"/>
        <v>38</v>
      </c>
      <c r="F75" s="111">
        <f t="shared" si="43"/>
        <v>0</v>
      </c>
      <c r="G75" s="111">
        <f t="shared" si="43"/>
        <v>10.777777777777779</v>
      </c>
      <c r="H75" s="111">
        <f t="shared" si="43"/>
        <v>12</v>
      </c>
      <c r="I75" s="111">
        <f t="shared" si="33"/>
        <v>2</v>
      </c>
      <c r="J75" s="111">
        <f t="shared" si="33"/>
        <v>2</v>
      </c>
      <c r="K75" s="111">
        <f t="shared" si="33"/>
        <v>10</v>
      </c>
      <c r="L75" s="111">
        <f t="shared" si="37"/>
        <v>2</v>
      </c>
      <c r="M75" s="47">
        <f t="shared" si="37"/>
        <v>11980.08</v>
      </c>
      <c r="N75" s="194">
        <f t="shared" si="37"/>
        <v>0</v>
      </c>
      <c r="O75" s="194">
        <f t="shared" si="37"/>
        <v>44</v>
      </c>
      <c r="P75" s="194">
        <f t="shared" si="37"/>
        <v>48</v>
      </c>
      <c r="Q75" s="194">
        <f t="shared" si="34"/>
        <v>0</v>
      </c>
      <c r="R75" s="194">
        <f t="shared" si="34"/>
        <v>0</v>
      </c>
      <c r="S75" s="194">
        <f t="shared" si="34"/>
        <v>33</v>
      </c>
      <c r="T75" s="194">
        <f t="shared" si="38"/>
        <v>0</v>
      </c>
      <c r="U75" s="66">
        <f t="shared" si="44"/>
        <v>125</v>
      </c>
      <c r="W75">
        <f t="shared" si="45"/>
        <v>24</v>
      </c>
      <c r="X75">
        <f t="shared" si="46"/>
        <v>101</v>
      </c>
      <c r="Y75" s="111">
        <f t="shared" si="39"/>
        <v>0</v>
      </c>
      <c r="Z75" s="111">
        <f t="shared" si="35"/>
        <v>10.777777777777779</v>
      </c>
      <c r="AA75" s="111">
        <f t="shared" si="35"/>
        <v>12</v>
      </c>
      <c r="AB75" s="111">
        <f t="shared" si="35"/>
        <v>2</v>
      </c>
      <c r="AC75" s="111">
        <f t="shared" si="35"/>
        <v>2</v>
      </c>
      <c r="AD75" s="111">
        <f t="shared" si="35"/>
        <v>10</v>
      </c>
      <c r="AE75" s="111">
        <v>17</v>
      </c>
      <c r="AF75" s="47">
        <f>(8670+1900+1315)*1.047</f>
        <v>12443.594999999999</v>
      </c>
      <c r="AG75" s="194">
        <f t="shared" si="40"/>
        <v>0</v>
      </c>
      <c r="AH75" s="194">
        <f t="shared" si="36"/>
        <v>44</v>
      </c>
      <c r="AI75" s="194">
        <f t="shared" si="36"/>
        <v>48</v>
      </c>
      <c r="AJ75" s="194">
        <f t="shared" si="36"/>
        <v>0</v>
      </c>
      <c r="AK75" s="194">
        <f t="shared" si="36"/>
        <v>0</v>
      </c>
      <c r="AL75" s="194">
        <f t="shared" si="36"/>
        <v>33</v>
      </c>
      <c r="AM75" s="194">
        <f t="shared" si="41"/>
        <v>25</v>
      </c>
      <c r="AN75" s="66">
        <f t="shared" si="47"/>
        <v>150</v>
      </c>
      <c r="AQ75">
        <f>AQ74*7</f>
        <v>175</v>
      </c>
    </row>
    <row r="76" spans="1:43" x14ac:dyDescent="0.25">
      <c r="A76" t="s">
        <v>37</v>
      </c>
      <c r="B76" s="15" t="str">
        <f t="shared" si="42"/>
        <v>Inner</v>
      </c>
      <c r="C76" s="18" t="str">
        <f t="shared" si="42"/>
        <v>CAB</v>
      </c>
      <c r="D76" s="18">
        <f t="shared" si="43"/>
        <v>23</v>
      </c>
      <c r="E76" s="18">
        <f t="shared" si="43"/>
        <v>38</v>
      </c>
      <c r="F76" s="111">
        <f t="shared" si="43"/>
        <v>0</v>
      </c>
      <c r="G76" s="111">
        <f t="shared" si="43"/>
        <v>10.777777777777779</v>
      </c>
      <c r="H76" s="111">
        <f t="shared" si="43"/>
        <v>12</v>
      </c>
      <c r="I76" s="111">
        <f t="shared" si="33"/>
        <v>2</v>
      </c>
      <c r="J76" s="111">
        <f t="shared" si="33"/>
        <v>2</v>
      </c>
      <c r="K76" s="111">
        <f t="shared" si="33"/>
        <v>10</v>
      </c>
      <c r="L76" s="111">
        <f t="shared" si="37"/>
        <v>2</v>
      </c>
      <c r="M76" s="47">
        <f t="shared" si="37"/>
        <v>11980.08</v>
      </c>
      <c r="N76" s="194">
        <f t="shared" si="37"/>
        <v>0</v>
      </c>
      <c r="O76" s="194">
        <f t="shared" si="37"/>
        <v>44</v>
      </c>
      <c r="P76" s="194">
        <f t="shared" si="37"/>
        <v>48</v>
      </c>
      <c r="Q76" s="194">
        <f t="shared" si="34"/>
        <v>0</v>
      </c>
      <c r="R76" s="194">
        <f t="shared" si="34"/>
        <v>0</v>
      </c>
      <c r="S76" s="194">
        <f t="shared" si="34"/>
        <v>33</v>
      </c>
      <c r="T76" s="194">
        <f t="shared" si="38"/>
        <v>0</v>
      </c>
      <c r="U76" s="66">
        <f t="shared" si="44"/>
        <v>125</v>
      </c>
      <c r="W76">
        <f t="shared" si="45"/>
        <v>24</v>
      </c>
      <c r="X76">
        <f t="shared" si="46"/>
        <v>101</v>
      </c>
      <c r="Y76" s="111">
        <f t="shared" si="39"/>
        <v>0</v>
      </c>
      <c r="Z76" s="111">
        <f t="shared" si="35"/>
        <v>10.777777777777779</v>
      </c>
      <c r="AA76" s="111">
        <f t="shared" si="35"/>
        <v>12</v>
      </c>
      <c r="AB76" s="111">
        <f t="shared" si="35"/>
        <v>2</v>
      </c>
      <c r="AC76" s="111">
        <f t="shared" si="35"/>
        <v>2</v>
      </c>
      <c r="AD76" s="111">
        <f t="shared" si="35"/>
        <v>10</v>
      </c>
      <c r="AE76" s="111">
        <v>17</v>
      </c>
      <c r="AF76" s="47">
        <f>(8670+1900+1315)*1.047</f>
        <v>12443.594999999999</v>
      </c>
      <c r="AG76" s="194">
        <f t="shared" si="40"/>
        <v>0</v>
      </c>
      <c r="AH76" s="194">
        <f t="shared" si="36"/>
        <v>44</v>
      </c>
      <c r="AI76" s="194">
        <f t="shared" si="36"/>
        <v>48</v>
      </c>
      <c r="AJ76" s="194">
        <f t="shared" si="36"/>
        <v>0</v>
      </c>
      <c r="AK76" s="194">
        <f t="shared" si="36"/>
        <v>0</v>
      </c>
      <c r="AL76" s="194">
        <f t="shared" si="36"/>
        <v>33</v>
      </c>
      <c r="AM76" s="194">
        <f t="shared" si="41"/>
        <v>25</v>
      </c>
      <c r="AN76" s="66">
        <f t="shared" si="47"/>
        <v>150</v>
      </c>
      <c r="AQ76">
        <f>AQ75-112</f>
        <v>63</v>
      </c>
    </row>
    <row r="77" spans="1:43" x14ac:dyDescent="0.25">
      <c r="A77" t="s">
        <v>36</v>
      </c>
      <c r="B77" s="15" t="str">
        <f t="shared" si="42"/>
        <v>Inner</v>
      </c>
      <c r="C77" s="18" t="str">
        <f t="shared" si="42"/>
        <v>CAB</v>
      </c>
      <c r="D77" s="18">
        <f t="shared" si="43"/>
        <v>23</v>
      </c>
      <c r="E77" s="18">
        <f t="shared" si="43"/>
        <v>38</v>
      </c>
      <c r="F77" s="111">
        <f t="shared" si="43"/>
        <v>0</v>
      </c>
      <c r="G77" s="111">
        <f t="shared" si="43"/>
        <v>10.777777777777779</v>
      </c>
      <c r="H77" s="111">
        <f t="shared" si="43"/>
        <v>12</v>
      </c>
      <c r="I77" s="111">
        <f t="shared" si="33"/>
        <v>2</v>
      </c>
      <c r="J77" s="111">
        <f t="shared" si="33"/>
        <v>2</v>
      </c>
      <c r="K77" s="111">
        <f t="shared" si="33"/>
        <v>10</v>
      </c>
      <c r="L77" s="111">
        <f t="shared" si="37"/>
        <v>2</v>
      </c>
      <c r="M77" s="47">
        <f t="shared" si="37"/>
        <v>11980.08</v>
      </c>
      <c r="N77" s="194">
        <f t="shared" si="37"/>
        <v>0</v>
      </c>
      <c r="O77" s="194">
        <f t="shared" si="37"/>
        <v>44</v>
      </c>
      <c r="P77" s="194">
        <f t="shared" si="37"/>
        <v>48</v>
      </c>
      <c r="Q77" s="194">
        <f t="shared" si="34"/>
        <v>0</v>
      </c>
      <c r="R77" s="194">
        <f t="shared" si="34"/>
        <v>0</v>
      </c>
      <c r="S77" s="194">
        <f t="shared" si="34"/>
        <v>33</v>
      </c>
      <c r="T77" s="194">
        <f t="shared" si="38"/>
        <v>0</v>
      </c>
      <c r="U77" s="66">
        <f t="shared" si="44"/>
        <v>125</v>
      </c>
      <c r="W77">
        <f t="shared" si="45"/>
        <v>24</v>
      </c>
      <c r="X77">
        <f t="shared" si="46"/>
        <v>101</v>
      </c>
      <c r="Y77" s="111">
        <f t="shared" si="39"/>
        <v>0</v>
      </c>
      <c r="Z77" s="111">
        <f t="shared" si="35"/>
        <v>10.777777777777779</v>
      </c>
      <c r="AA77" s="111">
        <f t="shared" si="35"/>
        <v>12</v>
      </c>
      <c r="AB77" s="111">
        <f t="shared" si="35"/>
        <v>2</v>
      </c>
      <c r="AC77" s="111">
        <f t="shared" si="35"/>
        <v>2</v>
      </c>
      <c r="AD77" s="111">
        <f t="shared" si="35"/>
        <v>10</v>
      </c>
      <c r="AE77" s="111">
        <v>17</v>
      </c>
      <c r="AF77" s="47">
        <f>(8670+1900+1315)*1.047</f>
        <v>12443.594999999999</v>
      </c>
      <c r="AG77" s="194">
        <f t="shared" si="40"/>
        <v>0</v>
      </c>
      <c r="AH77" s="194">
        <f t="shared" si="36"/>
        <v>44</v>
      </c>
      <c r="AI77" s="194">
        <f t="shared" si="36"/>
        <v>48</v>
      </c>
      <c r="AJ77" s="194">
        <f t="shared" si="36"/>
        <v>0</v>
      </c>
      <c r="AK77" s="194">
        <f t="shared" si="36"/>
        <v>0</v>
      </c>
      <c r="AL77" s="194">
        <f t="shared" si="36"/>
        <v>33</v>
      </c>
      <c r="AM77" s="194">
        <f t="shared" si="41"/>
        <v>25</v>
      </c>
      <c r="AN77" s="66">
        <f t="shared" si="47"/>
        <v>150</v>
      </c>
    </row>
    <row r="78" spans="1:43" x14ac:dyDescent="0.25">
      <c r="A78" t="s">
        <v>40</v>
      </c>
      <c r="B78" s="15" t="str">
        <f t="shared" si="42"/>
        <v>E. Cubas</v>
      </c>
      <c r="C78" s="18" t="str">
        <f t="shared" si="42"/>
        <v>RAP</v>
      </c>
      <c r="D78" s="18">
        <f t="shared" si="43"/>
        <v>23</v>
      </c>
      <c r="E78" s="18">
        <f t="shared" si="43"/>
        <v>53.5</v>
      </c>
      <c r="F78" s="111">
        <f t="shared" si="43"/>
        <v>0</v>
      </c>
      <c r="G78" s="111">
        <f t="shared" si="43"/>
        <v>8.3333333333333339</v>
      </c>
      <c r="H78" s="111">
        <f t="shared" si="43"/>
        <v>9</v>
      </c>
      <c r="I78" s="111">
        <f t="shared" si="33"/>
        <v>9.5</v>
      </c>
      <c r="J78" s="111">
        <f t="shared" si="33"/>
        <v>8.6</v>
      </c>
      <c r="K78" s="111">
        <f t="shared" si="33"/>
        <v>10.285714285714286</v>
      </c>
      <c r="L78" s="111">
        <f t="shared" si="37"/>
        <v>2</v>
      </c>
      <c r="M78" s="47">
        <f t="shared" si="37"/>
        <v>4999.68</v>
      </c>
      <c r="N78" s="194">
        <f t="shared" si="37"/>
        <v>0</v>
      </c>
      <c r="O78" s="194">
        <f t="shared" si="37"/>
        <v>26</v>
      </c>
      <c r="P78" s="194">
        <f t="shared" si="37"/>
        <v>26</v>
      </c>
      <c r="Q78" s="194">
        <f t="shared" si="34"/>
        <v>20.5</v>
      </c>
      <c r="R78" s="194">
        <f t="shared" si="34"/>
        <v>21</v>
      </c>
      <c r="S78" s="194">
        <f t="shared" si="34"/>
        <v>35</v>
      </c>
      <c r="T78" s="194">
        <f t="shared" si="38"/>
        <v>0</v>
      </c>
      <c r="U78" s="66">
        <f t="shared" si="44"/>
        <v>128.5</v>
      </c>
      <c r="W78">
        <v>25</v>
      </c>
      <c r="X78">
        <v>5</v>
      </c>
      <c r="Y78" s="111">
        <f t="shared" si="39"/>
        <v>0</v>
      </c>
      <c r="Z78" s="111">
        <f t="shared" si="35"/>
        <v>8.3333333333333339</v>
      </c>
      <c r="AA78" s="111">
        <f t="shared" si="35"/>
        <v>9</v>
      </c>
      <c r="AB78" s="111">
        <f t="shared" si="35"/>
        <v>9.5</v>
      </c>
      <c r="AC78" s="111">
        <f t="shared" si="35"/>
        <v>8.6</v>
      </c>
      <c r="AD78" s="111">
        <f t="shared" si="35"/>
        <v>10.285714285714286</v>
      </c>
      <c r="AE78" s="111">
        <v>17</v>
      </c>
      <c r="AF78" s="47">
        <f>(2900+140+620+785+515)*1.047</f>
        <v>5193.12</v>
      </c>
      <c r="AG78" s="194">
        <f t="shared" si="40"/>
        <v>0</v>
      </c>
      <c r="AH78" s="194">
        <f t="shared" si="36"/>
        <v>26</v>
      </c>
      <c r="AI78" s="194">
        <f t="shared" si="36"/>
        <v>26</v>
      </c>
      <c r="AJ78" s="194">
        <f t="shared" si="36"/>
        <v>20.5</v>
      </c>
      <c r="AK78" s="194">
        <f t="shared" si="36"/>
        <v>21</v>
      </c>
      <c r="AL78" s="194">
        <f t="shared" si="36"/>
        <v>35</v>
      </c>
      <c r="AM78" s="194">
        <f t="shared" si="41"/>
        <v>25</v>
      </c>
      <c r="AN78" s="66">
        <f t="shared" si="47"/>
        <v>153.5</v>
      </c>
    </row>
    <row r="79" spans="1:43" x14ac:dyDescent="0.25">
      <c r="A79" t="s">
        <v>34</v>
      </c>
      <c r="B79" s="15" t="str">
        <f t="shared" si="42"/>
        <v>V. Gomis</v>
      </c>
      <c r="C79" s="18" t="str">
        <f t="shared" si="42"/>
        <v>IMP</v>
      </c>
      <c r="D79" s="18">
        <f t="shared" si="43"/>
        <v>23</v>
      </c>
      <c r="E79" s="18">
        <f t="shared" si="43"/>
        <v>57.5</v>
      </c>
      <c r="F79" s="111">
        <f t="shared" si="43"/>
        <v>0</v>
      </c>
      <c r="G79" s="111">
        <f t="shared" si="43"/>
        <v>10.333333333333334</v>
      </c>
      <c r="H79" s="111">
        <f t="shared" si="43"/>
        <v>7.5</v>
      </c>
      <c r="I79" s="111">
        <f t="shared" si="33"/>
        <v>8</v>
      </c>
      <c r="J79" s="111">
        <f t="shared" si="33"/>
        <v>8.6</v>
      </c>
      <c r="K79" s="111">
        <f t="shared" si="33"/>
        <v>10</v>
      </c>
      <c r="L79" s="111">
        <f t="shared" si="37"/>
        <v>0</v>
      </c>
      <c r="M79" s="47">
        <f t="shared" si="37"/>
        <v>4660</v>
      </c>
      <c r="N79" s="194">
        <f t="shared" si="37"/>
        <v>0</v>
      </c>
      <c r="O79" s="194">
        <f t="shared" si="37"/>
        <v>40</v>
      </c>
      <c r="P79" s="194">
        <f t="shared" si="37"/>
        <v>18</v>
      </c>
      <c r="Q79" s="194">
        <f t="shared" si="34"/>
        <v>15</v>
      </c>
      <c r="R79" s="194">
        <f t="shared" si="34"/>
        <v>21</v>
      </c>
      <c r="S79" s="194">
        <f t="shared" si="34"/>
        <v>33</v>
      </c>
      <c r="T79" s="194">
        <f t="shared" si="38"/>
        <v>-2</v>
      </c>
      <c r="U79" s="66">
        <f>SUM(N79:T79)</f>
        <v>125</v>
      </c>
      <c r="W79">
        <v>25</v>
      </c>
      <c r="X79">
        <v>9</v>
      </c>
      <c r="Y79" s="111">
        <f t="shared" si="39"/>
        <v>0</v>
      </c>
      <c r="Z79" s="111">
        <f t="shared" si="35"/>
        <v>10.333333333333334</v>
      </c>
      <c r="AA79" s="111">
        <f t="shared" si="35"/>
        <v>7.5</v>
      </c>
      <c r="AB79" s="111">
        <f t="shared" si="35"/>
        <v>8</v>
      </c>
      <c r="AC79" s="111">
        <f t="shared" si="35"/>
        <v>8.6</v>
      </c>
      <c r="AD79" s="111">
        <f t="shared" si="35"/>
        <v>10</v>
      </c>
      <c r="AE79" s="111">
        <f>16+2/4</f>
        <v>16.5</v>
      </c>
      <c r="AF79" s="47">
        <f>(2600+1315+140+275+330)*1.047</f>
        <v>4879.0199999999995</v>
      </c>
      <c r="AG79" s="194">
        <f t="shared" si="40"/>
        <v>0</v>
      </c>
      <c r="AH79" s="194">
        <f t="shared" si="36"/>
        <v>40</v>
      </c>
      <c r="AI79" s="194">
        <f t="shared" si="36"/>
        <v>18</v>
      </c>
      <c r="AJ79" s="194">
        <f t="shared" si="36"/>
        <v>15</v>
      </c>
      <c r="AK79" s="194">
        <f t="shared" si="36"/>
        <v>21</v>
      </c>
      <c r="AL79" s="194">
        <f t="shared" si="36"/>
        <v>33</v>
      </c>
      <c r="AM79" s="194">
        <f t="shared" si="41"/>
        <v>23</v>
      </c>
      <c r="AN79" s="66">
        <f>SUM(AG79:AM79)</f>
        <v>150</v>
      </c>
    </row>
    <row r="80" spans="1:43" x14ac:dyDescent="0.25">
      <c r="A80" t="s">
        <v>42</v>
      </c>
      <c r="B80" s="15" t="str">
        <f t="shared" si="42"/>
        <v>J.G. Peñuela</v>
      </c>
      <c r="C80" s="18" t="str">
        <f t="shared" si="42"/>
        <v>IMP</v>
      </c>
      <c r="D80" s="18">
        <f t="shared" si="43"/>
        <v>23</v>
      </c>
      <c r="E80" s="18">
        <f t="shared" si="43"/>
        <v>53.5</v>
      </c>
      <c r="F80" s="111">
        <f t="shared" si="43"/>
        <v>0</v>
      </c>
      <c r="G80" s="111">
        <f t="shared" si="43"/>
        <v>8.8333333333333339</v>
      </c>
      <c r="H80" s="111">
        <f t="shared" si="43"/>
        <v>8.6</v>
      </c>
      <c r="I80" s="111">
        <f t="shared" si="33"/>
        <v>8.8333333333333339</v>
      </c>
      <c r="J80" s="111">
        <f t="shared" si="33"/>
        <v>8</v>
      </c>
      <c r="K80" s="111">
        <f t="shared" si="33"/>
        <v>10.285714285714286</v>
      </c>
      <c r="L80" s="111">
        <f t="shared" si="37"/>
        <v>0</v>
      </c>
      <c r="M80" s="47">
        <f t="shared" si="37"/>
        <v>4700</v>
      </c>
      <c r="N80" s="194">
        <f t="shared" si="37"/>
        <v>0</v>
      </c>
      <c r="O80" s="194">
        <f t="shared" si="37"/>
        <v>29</v>
      </c>
      <c r="P80" s="194">
        <f t="shared" si="37"/>
        <v>24</v>
      </c>
      <c r="Q80" s="194">
        <f t="shared" si="34"/>
        <v>17.5</v>
      </c>
      <c r="R80" s="194">
        <f t="shared" si="34"/>
        <v>18</v>
      </c>
      <c r="S80" s="194">
        <f t="shared" si="34"/>
        <v>35</v>
      </c>
      <c r="T80" s="194">
        <f t="shared" si="38"/>
        <v>-2</v>
      </c>
      <c r="U80" s="66">
        <f>SUM(N80:T80)</f>
        <v>121.5</v>
      </c>
      <c r="W80">
        <v>25</v>
      </c>
      <c r="X80">
        <v>5</v>
      </c>
      <c r="Y80" s="111">
        <f t="shared" si="39"/>
        <v>0</v>
      </c>
      <c r="Z80" s="111">
        <f t="shared" si="35"/>
        <v>8.8333333333333339</v>
      </c>
      <c r="AA80" s="111">
        <f t="shared" si="35"/>
        <v>8.6</v>
      </c>
      <c r="AB80" s="111">
        <f t="shared" si="35"/>
        <v>8.8333333333333339</v>
      </c>
      <c r="AC80" s="111">
        <f t="shared" si="35"/>
        <v>8</v>
      </c>
      <c r="AD80" s="111">
        <f t="shared" si="35"/>
        <v>10.285714285714286</v>
      </c>
      <c r="AE80" s="111">
        <f>AE79</f>
        <v>16.5</v>
      </c>
      <c r="AF80" s="47">
        <f>(2900+135+430+615+620)*1.047</f>
        <v>4920.8999999999996</v>
      </c>
      <c r="AG80" s="194">
        <f t="shared" si="40"/>
        <v>0</v>
      </c>
      <c r="AH80" s="194">
        <f t="shared" si="36"/>
        <v>29</v>
      </c>
      <c r="AI80" s="194">
        <f t="shared" si="36"/>
        <v>24</v>
      </c>
      <c r="AJ80" s="194">
        <f t="shared" si="36"/>
        <v>17.5</v>
      </c>
      <c r="AK80" s="194">
        <f t="shared" si="36"/>
        <v>18</v>
      </c>
      <c r="AL80" s="194">
        <f t="shared" si="36"/>
        <v>35</v>
      </c>
      <c r="AM80" s="194">
        <f t="shared" si="41"/>
        <v>23</v>
      </c>
      <c r="AN80" s="66">
        <f>SUM(AG80:AM80)</f>
        <v>146.5</v>
      </c>
    </row>
    <row r="81" spans="1:40" x14ac:dyDescent="0.25">
      <c r="A81" t="s">
        <v>46</v>
      </c>
      <c r="B81" s="15" t="s">
        <v>337</v>
      </c>
      <c r="C81" s="18" t="s">
        <v>0</v>
      </c>
      <c r="D81" s="18">
        <v>22</v>
      </c>
      <c r="E81" s="18">
        <v>50</v>
      </c>
      <c r="F81" s="111">
        <f t="shared" si="43"/>
        <v>0</v>
      </c>
      <c r="G81" s="111">
        <f t="shared" si="43"/>
        <v>2</v>
      </c>
      <c r="H81" s="111">
        <v>12</v>
      </c>
      <c r="I81" s="111">
        <f t="shared" si="33"/>
        <v>2</v>
      </c>
      <c r="J81" s="111">
        <f t="shared" si="33"/>
        <v>2</v>
      </c>
      <c r="K81" s="111">
        <v>10</v>
      </c>
      <c r="L81" s="111">
        <v>7</v>
      </c>
      <c r="M81" s="47">
        <f>(8670+1315)*1.02</f>
        <v>10184.700000000001</v>
      </c>
      <c r="N81" s="194">
        <f t="shared" si="37"/>
        <v>0</v>
      </c>
      <c r="O81" s="194">
        <f t="shared" si="37"/>
        <v>0</v>
      </c>
      <c r="P81" s="194">
        <v>48</v>
      </c>
      <c r="Q81" s="194">
        <f t="shared" si="34"/>
        <v>0</v>
      </c>
      <c r="R81" s="194">
        <f t="shared" si="34"/>
        <v>0</v>
      </c>
      <c r="S81" s="194">
        <v>33</v>
      </c>
      <c r="T81" s="194">
        <v>5</v>
      </c>
      <c r="U81" s="66">
        <f>SUM(N81:T81)</f>
        <v>86</v>
      </c>
      <c r="W81">
        <v>24</v>
      </c>
      <c r="X81">
        <v>1</v>
      </c>
      <c r="Y81" s="111">
        <f t="shared" si="39"/>
        <v>0</v>
      </c>
      <c r="Z81" s="111">
        <f t="shared" si="35"/>
        <v>2</v>
      </c>
      <c r="AA81" s="111">
        <f t="shared" si="35"/>
        <v>12</v>
      </c>
      <c r="AB81" s="111">
        <f t="shared" si="35"/>
        <v>2</v>
      </c>
      <c r="AC81" s="111">
        <f t="shared" si="35"/>
        <v>2</v>
      </c>
      <c r="AD81" s="111">
        <f t="shared" si="35"/>
        <v>10</v>
      </c>
      <c r="AE81" s="111">
        <f>AE67</f>
        <v>18.25</v>
      </c>
      <c r="AF81" s="47">
        <f>(8670+1315)*1.055</f>
        <v>10534.174999999999</v>
      </c>
      <c r="AG81" s="194">
        <f t="shared" si="40"/>
        <v>0</v>
      </c>
      <c r="AH81" s="194">
        <f t="shared" si="36"/>
        <v>0</v>
      </c>
      <c r="AI81" s="194">
        <f t="shared" si="36"/>
        <v>48</v>
      </c>
      <c r="AJ81" s="194">
        <f t="shared" si="36"/>
        <v>0</v>
      </c>
      <c r="AK81" s="194">
        <f t="shared" si="36"/>
        <v>0</v>
      </c>
      <c r="AL81" s="194">
        <f t="shared" si="36"/>
        <v>33</v>
      </c>
      <c r="AM81" s="194">
        <f t="shared" si="41"/>
        <v>30</v>
      </c>
      <c r="AN81" s="66">
        <f>SUM(AG81:AM81)</f>
        <v>111</v>
      </c>
    </row>
    <row r="82" spans="1:40" x14ac:dyDescent="0.25">
      <c r="A82" t="s">
        <v>334</v>
      </c>
      <c r="B82" s="15" t="s">
        <v>337</v>
      </c>
      <c r="C82" s="18" t="s">
        <v>45</v>
      </c>
      <c r="D82" s="18">
        <v>22</v>
      </c>
      <c r="E82" s="18">
        <v>50</v>
      </c>
      <c r="F82" s="111">
        <f t="shared" si="43"/>
        <v>0</v>
      </c>
      <c r="G82" s="111">
        <f t="shared" si="43"/>
        <v>2</v>
      </c>
      <c r="H82" s="111">
        <v>12</v>
      </c>
      <c r="I82" s="111">
        <f t="shared" si="33"/>
        <v>2</v>
      </c>
      <c r="J82" s="111">
        <f t="shared" si="33"/>
        <v>2</v>
      </c>
      <c r="K82" s="111">
        <v>10</v>
      </c>
      <c r="L82" s="111">
        <v>7</v>
      </c>
      <c r="M82" s="47">
        <f>(8670+1315)*1.02</f>
        <v>10184.700000000001</v>
      </c>
      <c r="N82" s="194">
        <f t="shared" si="37"/>
        <v>0</v>
      </c>
      <c r="O82" s="194">
        <f t="shared" si="37"/>
        <v>0</v>
      </c>
      <c r="P82" s="194">
        <v>48</v>
      </c>
      <c r="Q82" s="194">
        <f t="shared" si="34"/>
        <v>0</v>
      </c>
      <c r="R82" s="194">
        <f t="shared" si="34"/>
        <v>0</v>
      </c>
      <c r="S82" s="194">
        <v>33</v>
      </c>
      <c r="T82" s="194">
        <v>5</v>
      </c>
      <c r="U82" s="66">
        <f>SUM(N82:T82)</f>
        <v>86</v>
      </c>
      <c r="W82">
        <v>24</v>
      </c>
      <c r="X82">
        <v>1</v>
      </c>
      <c r="Y82" s="111">
        <f t="shared" si="39"/>
        <v>0</v>
      </c>
      <c r="Z82" s="111">
        <f t="shared" si="35"/>
        <v>2</v>
      </c>
      <c r="AA82" s="111">
        <f t="shared" si="35"/>
        <v>12</v>
      </c>
      <c r="AB82" s="111">
        <f t="shared" si="35"/>
        <v>2</v>
      </c>
      <c r="AC82" s="111">
        <f t="shared" si="35"/>
        <v>2</v>
      </c>
      <c r="AD82" s="111">
        <f t="shared" si="35"/>
        <v>10</v>
      </c>
      <c r="AE82" s="111">
        <f>AE81</f>
        <v>18.25</v>
      </c>
      <c r="AF82" s="47">
        <f>(8670+1315)*1.055</f>
        <v>10534.174999999999</v>
      </c>
      <c r="AG82" s="194">
        <f t="shared" si="40"/>
        <v>0</v>
      </c>
      <c r="AH82" s="194">
        <f t="shared" si="36"/>
        <v>0</v>
      </c>
      <c r="AI82" s="194">
        <f t="shared" si="36"/>
        <v>48</v>
      </c>
      <c r="AJ82" s="194">
        <f t="shared" si="36"/>
        <v>0</v>
      </c>
      <c r="AK82" s="194">
        <f t="shared" si="36"/>
        <v>0</v>
      </c>
      <c r="AL82" s="194">
        <f t="shared" si="36"/>
        <v>33</v>
      </c>
      <c r="AM82" s="194">
        <f t="shared" si="41"/>
        <v>30</v>
      </c>
      <c r="AN82" s="66">
        <f>SUM(AG82:AM82)</f>
        <v>111</v>
      </c>
    </row>
    <row r="83" spans="1:40" x14ac:dyDescent="0.25">
      <c r="A83"/>
      <c r="B83"/>
      <c r="M83" s="197"/>
    </row>
    <row r="84" spans="1:40" x14ac:dyDescent="0.25">
      <c r="A84"/>
      <c r="B84"/>
      <c r="M84" s="197"/>
    </row>
    <row r="85" spans="1:40" x14ac:dyDescent="0.25">
      <c r="A85"/>
      <c r="B85"/>
      <c r="M85" s="197"/>
    </row>
    <row r="86" spans="1:40" x14ac:dyDescent="0.25">
      <c r="A86"/>
      <c r="B86"/>
      <c r="M86" s="197"/>
    </row>
    <row r="87" spans="1:40" x14ac:dyDescent="0.25">
      <c r="A87"/>
      <c r="B87"/>
      <c r="M87" s="197"/>
    </row>
    <row r="88" spans="1:40" x14ac:dyDescent="0.25">
      <c r="A88"/>
      <c r="B88"/>
      <c r="M88" s="197"/>
    </row>
    <row r="89" spans="1:40" x14ac:dyDescent="0.25">
      <c r="A89"/>
      <c r="B89"/>
      <c r="M89" s="197"/>
    </row>
    <row r="90" spans="1:40" x14ac:dyDescent="0.25">
      <c r="A90"/>
      <c r="B90"/>
      <c r="M90" s="197"/>
    </row>
    <row r="91" spans="1:40" x14ac:dyDescent="0.25">
      <c r="A91"/>
      <c r="B91"/>
      <c r="M91" s="197"/>
    </row>
    <row r="92" spans="1:40" x14ac:dyDescent="0.25">
      <c r="A92"/>
      <c r="B92"/>
      <c r="M92" s="197"/>
    </row>
    <row r="93" spans="1:40" x14ac:dyDescent="0.25">
      <c r="A93"/>
      <c r="B93"/>
      <c r="M93" s="197"/>
    </row>
    <row r="94" spans="1:40" x14ac:dyDescent="0.25">
      <c r="A94"/>
      <c r="B94"/>
      <c r="M94" s="197"/>
    </row>
    <row r="95" spans="1:40" x14ac:dyDescent="0.25">
      <c r="A95"/>
      <c r="B95"/>
      <c r="M95" s="197"/>
    </row>
    <row r="96" spans="1:40" x14ac:dyDescent="0.25">
      <c r="A96"/>
      <c r="B96"/>
      <c r="R96" s="197"/>
    </row>
    <row r="97" spans="1:18" x14ac:dyDescent="0.25">
      <c r="A97"/>
      <c r="B97"/>
      <c r="R97" s="197"/>
    </row>
    <row r="98" spans="1:18" x14ac:dyDescent="0.25">
      <c r="A98"/>
      <c r="B98"/>
      <c r="R98" s="197"/>
    </row>
    <row r="99" spans="1:18" x14ac:dyDescent="0.25">
      <c r="A99"/>
      <c r="B99"/>
      <c r="R99" s="197"/>
    </row>
    <row r="100" spans="1:18" x14ac:dyDescent="0.25">
      <c r="A100"/>
      <c r="B100"/>
      <c r="R100" s="197"/>
    </row>
    <row r="101" spans="1:18" x14ac:dyDescent="0.25">
      <c r="A101"/>
      <c r="B101"/>
      <c r="R101" s="197"/>
    </row>
    <row r="102" spans="1:18" x14ac:dyDescent="0.25">
      <c r="A102"/>
      <c r="B102"/>
      <c r="R102" s="197"/>
    </row>
    <row r="103" spans="1:18" x14ac:dyDescent="0.25">
      <c r="A103"/>
      <c r="B103"/>
      <c r="R103" s="197"/>
    </row>
    <row r="104" spans="1:18" x14ac:dyDescent="0.25">
      <c r="A104"/>
      <c r="B104"/>
      <c r="R104" s="197"/>
    </row>
    <row r="105" spans="1:18" x14ac:dyDescent="0.25">
      <c r="A105"/>
      <c r="B105"/>
      <c r="R105" s="197"/>
    </row>
    <row r="106" spans="1:18" x14ac:dyDescent="0.25">
      <c r="A106"/>
      <c r="B106"/>
      <c r="R106" s="197"/>
    </row>
    <row r="107" spans="1:18" x14ac:dyDescent="0.25">
      <c r="A107"/>
      <c r="B107"/>
      <c r="R107" s="197"/>
    </row>
    <row r="108" spans="1:18" x14ac:dyDescent="0.25">
      <c r="A108"/>
      <c r="B108"/>
      <c r="R108" s="197"/>
    </row>
    <row r="109" spans="1:18" x14ac:dyDescent="0.25">
      <c r="A109"/>
      <c r="B109"/>
      <c r="R109" s="197"/>
    </row>
    <row r="110" spans="1:18" x14ac:dyDescent="0.25">
      <c r="A110"/>
      <c r="B110"/>
      <c r="R110" s="197"/>
    </row>
    <row r="111" spans="1:18" x14ac:dyDescent="0.25">
      <c r="A111"/>
      <c r="B111"/>
      <c r="R111" s="197"/>
    </row>
    <row r="112" spans="1:18" x14ac:dyDescent="0.25">
      <c r="A112"/>
      <c r="B112"/>
      <c r="R112" s="197"/>
    </row>
    <row r="113" spans="1:18" x14ac:dyDescent="0.25">
      <c r="A113"/>
      <c r="B113"/>
      <c r="R113" s="197"/>
    </row>
    <row r="114" spans="1:18" x14ac:dyDescent="0.25">
      <c r="A114"/>
      <c r="B114"/>
      <c r="R114" s="197"/>
    </row>
    <row r="115" spans="1:18" x14ac:dyDescent="0.25">
      <c r="A115"/>
      <c r="B115"/>
      <c r="R115" s="197"/>
    </row>
    <row r="116" spans="1:18" x14ac:dyDescent="0.25">
      <c r="A116"/>
      <c r="B116"/>
      <c r="R116" s="197"/>
    </row>
    <row r="117" spans="1:18" x14ac:dyDescent="0.25">
      <c r="A117"/>
      <c r="B117"/>
      <c r="R117" s="197"/>
    </row>
    <row r="118" spans="1:18" x14ac:dyDescent="0.25">
      <c r="A118"/>
      <c r="B118"/>
      <c r="R118" s="197"/>
    </row>
    <row r="119" spans="1:18" x14ac:dyDescent="0.25">
      <c r="A119"/>
      <c r="B119"/>
      <c r="R119" s="197"/>
    </row>
    <row r="120" spans="1:18" x14ac:dyDescent="0.25">
      <c r="A120"/>
      <c r="B120"/>
      <c r="R120" s="197"/>
    </row>
    <row r="121" spans="1:18" x14ac:dyDescent="0.25">
      <c r="A121"/>
      <c r="B121"/>
      <c r="R121" s="197"/>
    </row>
    <row r="122" spans="1:18" x14ac:dyDescent="0.25">
      <c r="A122"/>
      <c r="B122"/>
      <c r="R122" s="197"/>
    </row>
    <row r="123" spans="1:18" x14ac:dyDescent="0.25">
      <c r="A123"/>
      <c r="B123"/>
      <c r="R123" s="197"/>
    </row>
    <row r="124" spans="1:18" x14ac:dyDescent="0.25">
      <c r="A124"/>
      <c r="B124"/>
      <c r="R124" s="197"/>
    </row>
    <row r="125" spans="1:18" x14ac:dyDescent="0.25">
      <c r="A125"/>
      <c r="B125"/>
      <c r="R125" s="197"/>
    </row>
    <row r="126" spans="1:18" x14ac:dyDescent="0.25">
      <c r="A126"/>
      <c r="B126"/>
      <c r="R126" s="197"/>
    </row>
    <row r="127" spans="1:18" x14ac:dyDescent="0.25">
      <c r="A127"/>
      <c r="B127"/>
      <c r="R127" s="197"/>
    </row>
    <row r="128" spans="1:18" x14ac:dyDescent="0.25">
      <c r="A128"/>
      <c r="B128"/>
      <c r="R128" s="197"/>
    </row>
    <row r="129" spans="1:18" x14ac:dyDescent="0.25">
      <c r="A129"/>
      <c r="B129"/>
      <c r="R129" s="197"/>
    </row>
    <row r="130" spans="1:18" x14ac:dyDescent="0.25">
      <c r="A130"/>
      <c r="B130"/>
    </row>
    <row r="131" spans="1:18" x14ac:dyDescent="0.25">
      <c r="A131"/>
      <c r="B131"/>
    </row>
    <row r="132" spans="1:18" x14ac:dyDescent="0.25">
      <c r="A132"/>
      <c r="B132"/>
    </row>
    <row r="133" spans="1:18" x14ac:dyDescent="0.25">
      <c r="A133"/>
      <c r="B133"/>
    </row>
    <row r="134" spans="1:18" x14ac:dyDescent="0.25">
      <c r="A134"/>
      <c r="B134"/>
    </row>
    <row r="135" spans="1:18" x14ac:dyDescent="0.25">
      <c r="A135"/>
      <c r="B135"/>
    </row>
    <row r="136" spans="1:18" x14ac:dyDescent="0.25">
      <c r="A136"/>
      <c r="B136"/>
    </row>
    <row r="137" spans="1:18" x14ac:dyDescent="0.25">
      <c r="A137"/>
      <c r="B137"/>
    </row>
    <row r="138" spans="1:18" x14ac:dyDescent="0.25">
      <c r="A138"/>
      <c r="B138"/>
    </row>
    <row r="139" spans="1:18" x14ac:dyDescent="0.25">
      <c r="A139"/>
      <c r="B139"/>
    </row>
    <row r="140" spans="1:18" x14ac:dyDescent="0.25">
      <c r="A140"/>
      <c r="B140"/>
    </row>
    <row r="141" spans="1:18" x14ac:dyDescent="0.25">
      <c r="A141"/>
      <c r="B141"/>
    </row>
    <row r="142" spans="1:18" x14ac:dyDescent="0.25">
      <c r="A142"/>
      <c r="B142"/>
    </row>
    <row r="143" spans="1:18" x14ac:dyDescent="0.25">
      <c r="A143"/>
      <c r="B143"/>
    </row>
    <row r="144" spans="1:18"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sheetData>
  <conditionalFormatting sqref="N13:T28">
    <cfRule type="colorScale" priority="24">
      <colorScale>
        <cfvo type="min"/>
        <cfvo type="max"/>
        <color rgb="FFFCFCFF"/>
        <color rgb="FF63BE7B"/>
      </colorScale>
    </cfRule>
  </conditionalFormatting>
  <conditionalFormatting sqref="F13:L28">
    <cfRule type="colorScale" priority="23">
      <colorScale>
        <cfvo type="min"/>
        <cfvo type="max"/>
        <color rgb="FFFFEF9C"/>
        <color rgb="FF63BE7B"/>
      </colorScale>
    </cfRule>
  </conditionalFormatting>
  <conditionalFormatting sqref="M13:M28">
    <cfRule type="dataBar" priority="22">
      <dataBar>
        <cfvo type="min"/>
        <cfvo type="max"/>
        <color rgb="FFFF555A"/>
      </dataBar>
      <extLst>
        <ext xmlns:x14="http://schemas.microsoft.com/office/spreadsheetml/2009/9/main" uri="{B025F937-C7B1-47D3-B67F-A62EFF666E3E}">
          <x14:id>{553619CE-F1EB-4E4C-8E0A-447AA3B9983C}</x14:id>
        </ext>
      </extLst>
    </cfRule>
  </conditionalFormatting>
  <conditionalFormatting sqref="AG13:AM28">
    <cfRule type="colorScale" priority="21">
      <colorScale>
        <cfvo type="min"/>
        <cfvo type="max"/>
        <color rgb="FFFCFCFF"/>
        <color rgb="FF63BE7B"/>
      </colorScale>
    </cfRule>
  </conditionalFormatting>
  <conditionalFormatting sqref="Y13:AE28">
    <cfRule type="colorScale" priority="20">
      <colorScale>
        <cfvo type="min"/>
        <cfvo type="max"/>
        <color rgb="FFFFEF9C"/>
        <color rgb="FF63BE7B"/>
      </colorScale>
    </cfRule>
  </conditionalFormatting>
  <conditionalFormatting sqref="AF13:AF28">
    <cfRule type="dataBar" priority="19">
      <dataBar>
        <cfvo type="min"/>
        <cfvo type="max"/>
        <color rgb="FFFF555A"/>
      </dataBar>
      <extLst>
        <ext xmlns:x14="http://schemas.microsoft.com/office/spreadsheetml/2009/9/main" uri="{B025F937-C7B1-47D3-B67F-A62EFF666E3E}">
          <x14:id>{C31F4AED-90BA-4286-B382-D77714AAA373}</x14:id>
        </ext>
      </extLst>
    </cfRule>
  </conditionalFormatting>
  <conditionalFormatting sqref="N31:T46">
    <cfRule type="colorScale" priority="18">
      <colorScale>
        <cfvo type="min"/>
        <cfvo type="max"/>
        <color rgb="FFFCFCFF"/>
        <color rgb="FF63BE7B"/>
      </colorScale>
    </cfRule>
  </conditionalFormatting>
  <conditionalFormatting sqref="F31:L46">
    <cfRule type="colorScale" priority="17">
      <colorScale>
        <cfvo type="min"/>
        <cfvo type="max"/>
        <color rgb="FFFFEF9C"/>
        <color rgb="FF63BE7B"/>
      </colorScale>
    </cfRule>
  </conditionalFormatting>
  <conditionalFormatting sqref="M31:M46">
    <cfRule type="dataBar" priority="16">
      <dataBar>
        <cfvo type="min"/>
        <cfvo type="max"/>
        <color rgb="FFFF555A"/>
      </dataBar>
      <extLst>
        <ext xmlns:x14="http://schemas.microsoft.com/office/spreadsheetml/2009/9/main" uri="{B025F937-C7B1-47D3-B67F-A62EFF666E3E}">
          <x14:id>{47819643-BB27-4360-B41F-A4CC2CC7E46B}</x14:id>
        </ext>
      </extLst>
    </cfRule>
  </conditionalFormatting>
  <conditionalFormatting sqref="AG31:AM46">
    <cfRule type="colorScale" priority="15">
      <colorScale>
        <cfvo type="min"/>
        <cfvo type="max"/>
        <color rgb="FFFCFCFF"/>
        <color rgb="FF63BE7B"/>
      </colorScale>
    </cfRule>
  </conditionalFormatting>
  <conditionalFormatting sqref="Y31:AE46">
    <cfRule type="colorScale" priority="14">
      <colorScale>
        <cfvo type="min"/>
        <cfvo type="max"/>
        <color rgb="FFFFEF9C"/>
        <color rgb="FF63BE7B"/>
      </colorScale>
    </cfRule>
  </conditionalFormatting>
  <conditionalFormatting sqref="AF31:AF46">
    <cfRule type="dataBar" priority="13">
      <dataBar>
        <cfvo type="min"/>
        <cfvo type="max"/>
        <color rgb="FFFF555A"/>
      </dataBar>
      <extLst>
        <ext xmlns:x14="http://schemas.microsoft.com/office/spreadsheetml/2009/9/main" uri="{B025F937-C7B1-47D3-B67F-A62EFF666E3E}">
          <x14:id>{21409C87-6FE2-4D88-8463-B55BB669A5B9}</x14:id>
        </ext>
      </extLst>
    </cfRule>
  </conditionalFormatting>
  <conditionalFormatting sqref="N49:T64">
    <cfRule type="colorScale" priority="12">
      <colorScale>
        <cfvo type="min"/>
        <cfvo type="max"/>
        <color rgb="FFFCFCFF"/>
        <color rgb="FF63BE7B"/>
      </colorScale>
    </cfRule>
  </conditionalFormatting>
  <conditionalFormatting sqref="F49:L64">
    <cfRule type="colorScale" priority="11">
      <colorScale>
        <cfvo type="min"/>
        <cfvo type="max"/>
        <color rgb="FFFFEF9C"/>
        <color rgb="FF63BE7B"/>
      </colorScale>
    </cfRule>
  </conditionalFormatting>
  <conditionalFormatting sqref="M49:M64">
    <cfRule type="dataBar" priority="10">
      <dataBar>
        <cfvo type="min"/>
        <cfvo type="max"/>
        <color rgb="FFFF555A"/>
      </dataBar>
      <extLst>
        <ext xmlns:x14="http://schemas.microsoft.com/office/spreadsheetml/2009/9/main" uri="{B025F937-C7B1-47D3-B67F-A62EFF666E3E}">
          <x14:id>{6203264E-5C55-4DDB-B0DF-EA05F99B0E0C}</x14:id>
        </ext>
      </extLst>
    </cfRule>
  </conditionalFormatting>
  <conditionalFormatting sqref="AG49:AM64">
    <cfRule type="colorScale" priority="9">
      <colorScale>
        <cfvo type="min"/>
        <cfvo type="max"/>
        <color rgb="FFFCFCFF"/>
        <color rgb="FF63BE7B"/>
      </colorScale>
    </cfRule>
  </conditionalFormatting>
  <conditionalFormatting sqref="Y49:AE64">
    <cfRule type="colorScale" priority="8">
      <colorScale>
        <cfvo type="min"/>
        <cfvo type="max"/>
        <color rgb="FFFFEF9C"/>
        <color rgb="FF63BE7B"/>
      </colorScale>
    </cfRule>
  </conditionalFormatting>
  <conditionalFormatting sqref="AF49:AF64">
    <cfRule type="dataBar" priority="7">
      <dataBar>
        <cfvo type="min"/>
        <cfvo type="max"/>
        <color rgb="FFFF555A"/>
      </dataBar>
      <extLst>
        <ext xmlns:x14="http://schemas.microsoft.com/office/spreadsheetml/2009/9/main" uri="{B025F937-C7B1-47D3-B67F-A62EFF666E3E}">
          <x14:id>{ADBC76BC-7892-4919-8171-B3EC7B9A6F3C}</x14:id>
        </ext>
      </extLst>
    </cfRule>
  </conditionalFormatting>
  <conditionalFormatting sqref="N67:T82">
    <cfRule type="colorScale" priority="6">
      <colorScale>
        <cfvo type="min"/>
        <cfvo type="max"/>
        <color rgb="FFFCFCFF"/>
        <color rgb="FF63BE7B"/>
      </colorScale>
    </cfRule>
  </conditionalFormatting>
  <conditionalFormatting sqref="F67:L82">
    <cfRule type="colorScale" priority="5">
      <colorScale>
        <cfvo type="min"/>
        <cfvo type="max"/>
        <color rgb="FFFFEF9C"/>
        <color rgb="FF63BE7B"/>
      </colorScale>
    </cfRule>
  </conditionalFormatting>
  <conditionalFormatting sqref="M67:M82">
    <cfRule type="dataBar" priority="4">
      <dataBar>
        <cfvo type="min"/>
        <cfvo type="max"/>
        <color rgb="FFFF555A"/>
      </dataBar>
      <extLst>
        <ext xmlns:x14="http://schemas.microsoft.com/office/spreadsheetml/2009/9/main" uri="{B025F937-C7B1-47D3-B67F-A62EFF666E3E}">
          <x14:id>{AE2E7FC9-A860-47B0-8950-6E9A76C6CD78}</x14:id>
        </ext>
      </extLst>
    </cfRule>
  </conditionalFormatting>
  <conditionalFormatting sqref="AG67:AM82">
    <cfRule type="colorScale" priority="3">
      <colorScale>
        <cfvo type="min"/>
        <cfvo type="max"/>
        <color rgb="FFFCFCFF"/>
        <color rgb="FF63BE7B"/>
      </colorScale>
    </cfRule>
  </conditionalFormatting>
  <conditionalFormatting sqref="Y67:AE82">
    <cfRule type="colorScale" priority="2">
      <colorScale>
        <cfvo type="min"/>
        <cfvo type="max"/>
        <color rgb="FFFFEF9C"/>
        <color rgb="FF63BE7B"/>
      </colorScale>
    </cfRule>
  </conditionalFormatting>
  <conditionalFormatting sqref="AF67:AF82">
    <cfRule type="dataBar" priority="1">
      <dataBar>
        <cfvo type="min"/>
        <cfvo type="max"/>
        <color rgb="FFFF555A"/>
      </dataBar>
      <extLst>
        <ext xmlns:x14="http://schemas.microsoft.com/office/spreadsheetml/2009/9/main" uri="{B025F937-C7B1-47D3-B67F-A62EFF666E3E}">
          <x14:id>{551A3B09-455A-4090-B2D6-0DD268607CFF}</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53619CE-F1EB-4E4C-8E0A-447AA3B9983C}">
            <x14:dataBar minLength="0" maxLength="100" border="1" negativeBarBorderColorSameAsPositive="0">
              <x14:cfvo type="autoMin"/>
              <x14:cfvo type="autoMax"/>
              <x14:borderColor rgb="FFFF555A"/>
              <x14:negativeFillColor rgb="FFFF0000"/>
              <x14:negativeBorderColor rgb="FFFF0000"/>
              <x14:axisColor rgb="FF000000"/>
            </x14:dataBar>
          </x14:cfRule>
          <xm:sqref>M13:M28</xm:sqref>
        </x14:conditionalFormatting>
        <x14:conditionalFormatting xmlns:xm="http://schemas.microsoft.com/office/excel/2006/main">
          <x14:cfRule type="dataBar" id="{C31F4AED-90BA-4286-B382-D77714AAA373}">
            <x14:dataBar minLength="0" maxLength="100" border="1" negativeBarBorderColorSameAsPositive="0">
              <x14:cfvo type="autoMin"/>
              <x14:cfvo type="autoMax"/>
              <x14:borderColor rgb="FFFF555A"/>
              <x14:negativeFillColor rgb="FFFF0000"/>
              <x14:negativeBorderColor rgb="FFFF0000"/>
              <x14:axisColor rgb="FF000000"/>
            </x14:dataBar>
          </x14:cfRule>
          <xm:sqref>AF13:AF28</xm:sqref>
        </x14:conditionalFormatting>
        <x14:conditionalFormatting xmlns:xm="http://schemas.microsoft.com/office/excel/2006/main">
          <x14:cfRule type="dataBar" id="{47819643-BB27-4360-B41F-A4CC2CC7E46B}">
            <x14:dataBar minLength="0" maxLength="100" border="1" negativeBarBorderColorSameAsPositive="0">
              <x14:cfvo type="autoMin"/>
              <x14:cfvo type="autoMax"/>
              <x14:borderColor rgb="FFFF555A"/>
              <x14:negativeFillColor rgb="FFFF0000"/>
              <x14:negativeBorderColor rgb="FFFF0000"/>
              <x14:axisColor rgb="FF000000"/>
            </x14:dataBar>
          </x14:cfRule>
          <xm:sqref>M31:M46</xm:sqref>
        </x14:conditionalFormatting>
        <x14:conditionalFormatting xmlns:xm="http://schemas.microsoft.com/office/excel/2006/main">
          <x14:cfRule type="dataBar" id="{21409C87-6FE2-4D88-8463-B55BB669A5B9}">
            <x14:dataBar minLength="0" maxLength="100" border="1" negativeBarBorderColorSameAsPositive="0">
              <x14:cfvo type="autoMin"/>
              <x14:cfvo type="autoMax"/>
              <x14:borderColor rgb="FFFF555A"/>
              <x14:negativeFillColor rgb="FFFF0000"/>
              <x14:negativeBorderColor rgb="FFFF0000"/>
              <x14:axisColor rgb="FF000000"/>
            </x14:dataBar>
          </x14:cfRule>
          <xm:sqref>AF31:AF46</xm:sqref>
        </x14:conditionalFormatting>
        <x14:conditionalFormatting xmlns:xm="http://schemas.microsoft.com/office/excel/2006/main">
          <x14:cfRule type="dataBar" id="{6203264E-5C55-4DDB-B0DF-EA05F99B0E0C}">
            <x14:dataBar minLength="0" maxLength="100" border="1" negativeBarBorderColorSameAsPositive="0">
              <x14:cfvo type="autoMin"/>
              <x14:cfvo type="autoMax"/>
              <x14:borderColor rgb="FFFF555A"/>
              <x14:negativeFillColor rgb="FFFF0000"/>
              <x14:negativeBorderColor rgb="FFFF0000"/>
              <x14:axisColor rgb="FF000000"/>
            </x14:dataBar>
          </x14:cfRule>
          <xm:sqref>M49:M64</xm:sqref>
        </x14:conditionalFormatting>
        <x14:conditionalFormatting xmlns:xm="http://schemas.microsoft.com/office/excel/2006/main">
          <x14:cfRule type="dataBar" id="{ADBC76BC-7892-4919-8171-B3EC7B9A6F3C}">
            <x14:dataBar minLength="0" maxLength="100" border="1" negativeBarBorderColorSameAsPositive="0">
              <x14:cfvo type="autoMin"/>
              <x14:cfvo type="autoMax"/>
              <x14:borderColor rgb="FFFF555A"/>
              <x14:negativeFillColor rgb="FFFF0000"/>
              <x14:negativeBorderColor rgb="FFFF0000"/>
              <x14:axisColor rgb="FF000000"/>
            </x14:dataBar>
          </x14:cfRule>
          <xm:sqref>AF49:AF64</xm:sqref>
        </x14:conditionalFormatting>
        <x14:conditionalFormatting xmlns:xm="http://schemas.microsoft.com/office/excel/2006/main">
          <x14:cfRule type="dataBar" id="{AE2E7FC9-A860-47B0-8950-6E9A76C6CD78}">
            <x14:dataBar minLength="0" maxLength="100" border="1" negativeBarBorderColorSameAsPositive="0">
              <x14:cfvo type="autoMin"/>
              <x14:cfvo type="autoMax"/>
              <x14:borderColor rgb="FFFF555A"/>
              <x14:negativeFillColor rgb="FFFF0000"/>
              <x14:negativeBorderColor rgb="FFFF0000"/>
              <x14:axisColor rgb="FF000000"/>
            </x14:dataBar>
          </x14:cfRule>
          <xm:sqref>M67:M82</xm:sqref>
        </x14:conditionalFormatting>
        <x14:conditionalFormatting xmlns:xm="http://schemas.microsoft.com/office/excel/2006/main">
          <x14:cfRule type="dataBar" id="{551A3B09-455A-4090-B2D6-0DD268607CFF}">
            <x14:dataBar minLength="0" maxLength="100" border="1" negativeBarBorderColorSameAsPositive="0">
              <x14:cfvo type="autoMin"/>
              <x14:cfvo type="autoMax"/>
              <x14:borderColor rgb="FFFF555A"/>
              <x14:negativeFillColor rgb="FFFF0000"/>
              <x14:negativeBorderColor rgb="FFFF0000"/>
              <x14:axisColor rgb="FF000000"/>
            </x14:dataBar>
          </x14:cfRule>
          <xm:sqref>AF67:AF82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AS106"/>
  <sheetViews>
    <sheetView workbookViewId="0">
      <selection activeCell="AD22" sqref="AD22"/>
    </sheetView>
  </sheetViews>
  <sheetFormatPr baseColWidth="10" defaultColWidth="11.42578125" defaultRowHeight="15" x14ac:dyDescent="0.25"/>
  <cols>
    <col min="1" max="1" width="5.140625" bestFit="1" customWidth="1"/>
    <col min="2" max="2" width="6.140625" bestFit="1" customWidth="1"/>
    <col min="3" max="3" width="4.5703125" bestFit="1" customWidth="1"/>
    <col min="4" max="4" width="13.5703125" bestFit="1" customWidth="1"/>
    <col min="5" max="5" width="4.5703125" bestFit="1" customWidth="1"/>
    <col min="6" max="6" width="5" bestFit="1" customWidth="1"/>
    <col min="7" max="13" width="4.5703125" bestFit="1" customWidth="1"/>
    <col min="14" max="14" width="7.28515625" bestFit="1" customWidth="1"/>
    <col min="15" max="15" width="5.5703125" bestFit="1" customWidth="1"/>
    <col min="16" max="16" width="5.7109375" bestFit="1" customWidth="1"/>
    <col min="17" max="17" width="5.28515625" bestFit="1" customWidth="1"/>
    <col min="18" max="18" width="5.5703125" bestFit="1" customWidth="1"/>
    <col min="19" max="19" width="5.42578125" bestFit="1" customWidth="1"/>
    <col min="20" max="21" width="5.7109375" bestFit="1" customWidth="1"/>
    <col min="22" max="22" width="9.140625" bestFit="1" customWidth="1"/>
    <col min="24" max="24" width="5.140625" bestFit="1" customWidth="1"/>
    <col min="25" max="25" width="4.5703125" bestFit="1" customWidth="1"/>
    <col min="26" max="26" width="5.7109375" bestFit="1" customWidth="1"/>
    <col min="27" max="33" width="4.5703125" bestFit="1" customWidth="1"/>
    <col min="34" max="34" width="7.28515625" bestFit="1" customWidth="1"/>
    <col min="35" max="35" width="5.5703125" bestFit="1" customWidth="1"/>
    <col min="36" max="36" width="5.7109375" bestFit="1" customWidth="1"/>
    <col min="37" max="37" width="5.28515625" bestFit="1" customWidth="1"/>
    <col min="38" max="38" width="5.5703125" bestFit="1" customWidth="1"/>
    <col min="39" max="39" width="5.42578125" bestFit="1" customWidth="1"/>
    <col min="40" max="41" width="5.7109375" bestFit="1" customWidth="1"/>
    <col min="42" max="42" width="9.140625" bestFit="1" customWidth="1"/>
    <col min="43" max="43" width="5.140625" bestFit="1" customWidth="1"/>
    <col min="44" max="44" width="6" bestFit="1" customWidth="1"/>
    <col min="45" max="45" width="8" bestFit="1" customWidth="1"/>
  </cols>
  <sheetData>
    <row r="1" spans="1:45" x14ac:dyDescent="0.25">
      <c r="B1" t="s">
        <v>373</v>
      </c>
      <c r="AQ1" s="110"/>
    </row>
    <row r="2" spans="1:45" x14ac:dyDescent="0.25">
      <c r="B2" t="s">
        <v>374</v>
      </c>
      <c r="AQ2" s="110"/>
      <c r="AR2" s="52" t="s">
        <v>375</v>
      </c>
      <c r="AS2" s="52" t="s">
        <v>376</v>
      </c>
    </row>
    <row r="3" spans="1:45" x14ac:dyDescent="0.25">
      <c r="B3" t="s">
        <v>377</v>
      </c>
      <c r="AQ3" s="110"/>
      <c r="AR3">
        <f>AR18+AR33+AR52</f>
        <v>102.5</v>
      </c>
      <c r="AS3">
        <f>AR3/16</f>
        <v>6.40625</v>
      </c>
    </row>
    <row r="4" spans="1:45" x14ac:dyDescent="0.25">
      <c r="B4" t="s">
        <v>378</v>
      </c>
      <c r="AQ4" s="110"/>
    </row>
    <row r="5" spans="1:45" x14ac:dyDescent="0.25">
      <c r="B5" t="s">
        <v>379</v>
      </c>
      <c r="AQ5" s="110"/>
    </row>
    <row r="6" spans="1:45" x14ac:dyDescent="0.25">
      <c r="B6" t="s">
        <v>380</v>
      </c>
      <c r="AQ6" s="110"/>
    </row>
    <row r="7" spans="1:45" x14ac:dyDescent="0.25">
      <c r="B7" t="s">
        <v>381</v>
      </c>
      <c r="AQ7" s="110"/>
    </row>
    <row r="8" spans="1:45" x14ac:dyDescent="0.25">
      <c r="AQ8" s="110"/>
    </row>
    <row r="9" spans="1:45" x14ac:dyDescent="0.25">
      <c r="N9" s="197">
        <f>SUM(N11:N25)</f>
        <v>1964.2160000000001</v>
      </c>
      <c r="AH9" s="197">
        <f>SUM(AH11:AH25)</f>
        <v>25277.456000000002</v>
      </c>
      <c r="AQ9" s="110"/>
    </row>
    <row r="10" spans="1:45" x14ac:dyDescent="0.25">
      <c r="A10" s="10" t="s">
        <v>170</v>
      </c>
      <c r="B10" s="10" t="s">
        <v>2</v>
      </c>
      <c r="C10" s="10" t="s">
        <v>84</v>
      </c>
      <c r="D10" s="10" t="s">
        <v>171</v>
      </c>
      <c r="E10" s="10" t="s">
        <v>321</v>
      </c>
      <c r="F10" s="10" t="s">
        <v>322</v>
      </c>
      <c r="G10" s="10" t="s">
        <v>15</v>
      </c>
      <c r="H10" s="10" t="s">
        <v>16</v>
      </c>
      <c r="I10" s="10" t="s">
        <v>17</v>
      </c>
      <c r="J10" s="10" t="s">
        <v>18</v>
      </c>
      <c r="K10" s="10" t="s">
        <v>19</v>
      </c>
      <c r="L10" s="10" t="s">
        <v>20</v>
      </c>
      <c r="M10" s="10" t="s">
        <v>6</v>
      </c>
      <c r="N10" s="10" t="s">
        <v>68</v>
      </c>
      <c r="O10" s="10" t="s">
        <v>323</v>
      </c>
      <c r="P10" s="10" t="s">
        <v>324</v>
      </c>
      <c r="Q10" s="10" t="s">
        <v>325</v>
      </c>
      <c r="R10" s="10" t="s">
        <v>326</v>
      </c>
      <c r="S10" s="10" t="s">
        <v>327</v>
      </c>
      <c r="T10" s="10" t="s">
        <v>328</v>
      </c>
      <c r="U10" s="10" t="s">
        <v>329</v>
      </c>
      <c r="V10" s="10" t="s">
        <v>330</v>
      </c>
      <c r="X10" s="10" t="s">
        <v>170</v>
      </c>
      <c r="Y10" s="10" t="s">
        <v>321</v>
      </c>
      <c r="Z10" s="10" t="s">
        <v>322</v>
      </c>
      <c r="AA10" s="10" t="s">
        <v>15</v>
      </c>
      <c r="AB10" s="10" t="s">
        <v>16</v>
      </c>
      <c r="AC10" s="10" t="s">
        <v>17</v>
      </c>
      <c r="AD10" s="10" t="s">
        <v>18</v>
      </c>
      <c r="AE10" s="10" t="s">
        <v>19</v>
      </c>
      <c r="AF10" s="10" t="s">
        <v>20</v>
      </c>
      <c r="AG10" s="10" t="s">
        <v>6</v>
      </c>
      <c r="AH10" s="10" t="s">
        <v>68</v>
      </c>
      <c r="AI10" s="10" t="s">
        <v>323</v>
      </c>
      <c r="AJ10" s="10" t="s">
        <v>324</v>
      </c>
      <c r="AK10" s="10" t="s">
        <v>325</v>
      </c>
      <c r="AL10" s="10" t="s">
        <v>326</v>
      </c>
      <c r="AM10" s="10" t="s">
        <v>327</v>
      </c>
      <c r="AN10" s="10" t="s">
        <v>328</v>
      </c>
      <c r="AO10" s="10" t="s">
        <v>329</v>
      </c>
      <c r="AP10" s="10" t="s">
        <v>330</v>
      </c>
      <c r="AQ10" s="110"/>
    </row>
    <row r="11" spans="1:45" x14ac:dyDescent="0.25">
      <c r="A11" t="s">
        <v>29</v>
      </c>
      <c r="B11" s="15" t="s">
        <v>28</v>
      </c>
      <c r="C11" s="18"/>
      <c r="D11" s="18"/>
      <c r="E11" s="18"/>
      <c r="F11" s="18"/>
      <c r="G11" s="218">
        <v>2</v>
      </c>
      <c r="H11" s="131">
        <v>2</v>
      </c>
      <c r="I11" s="218">
        <v>0</v>
      </c>
      <c r="J11" s="131">
        <v>0</v>
      </c>
      <c r="K11" s="218">
        <v>0</v>
      </c>
      <c r="L11" s="131">
        <v>0</v>
      </c>
      <c r="M11" s="218">
        <v>2</v>
      </c>
      <c r="N11" s="47"/>
      <c r="O11" s="217">
        <v>0</v>
      </c>
      <c r="P11" s="217">
        <v>0</v>
      </c>
      <c r="Q11" s="217">
        <v>0</v>
      </c>
      <c r="R11" s="196">
        <v>0</v>
      </c>
      <c r="S11" s="196">
        <v>0</v>
      </c>
      <c r="T11" s="196">
        <v>0</v>
      </c>
      <c r="U11" s="196">
        <v>0</v>
      </c>
      <c r="V11" s="66">
        <f>SUM(O11:U11)</f>
        <v>0</v>
      </c>
      <c r="X11" t="s">
        <v>29</v>
      </c>
      <c r="Y11" s="18"/>
      <c r="Z11" s="18"/>
      <c r="AA11" s="111">
        <f>G11</f>
        <v>2</v>
      </c>
      <c r="AB11" s="111">
        <f t="shared" ref="AB11:AH26" si="0">H11</f>
        <v>2</v>
      </c>
      <c r="AC11" s="111">
        <f t="shared" si="0"/>
        <v>0</v>
      </c>
      <c r="AD11" s="111">
        <f t="shared" si="0"/>
        <v>0</v>
      </c>
      <c r="AE11" s="111">
        <f t="shared" si="0"/>
        <v>0</v>
      </c>
      <c r="AF11" s="111">
        <f t="shared" si="0"/>
        <v>0</v>
      </c>
      <c r="AG11" s="111">
        <f t="shared" si="0"/>
        <v>2</v>
      </c>
      <c r="AH11" s="47">
        <f>N11</f>
        <v>0</v>
      </c>
      <c r="AI11" s="217">
        <f>O11</f>
        <v>0</v>
      </c>
      <c r="AJ11" s="217">
        <f t="shared" ref="AJ11:AO26" si="1">P11</f>
        <v>0</v>
      </c>
      <c r="AK11" s="217">
        <f t="shared" si="1"/>
        <v>0</v>
      </c>
      <c r="AL11" s="217">
        <f t="shared" si="1"/>
        <v>0</v>
      </c>
      <c r="AM11" s="217">
        <f t="shared" si="1"/>
        <v>0</v>
      </c>
      <c r="AN11" s="217">
        <f t="shared" si="1"/>
        <v>0</v>
      </c>
      <c r="AO11" s="217">
        <f t="shared" si="1"/>
        <v>0</v>
      </c>
      <c r="AP11" s="66">
        <f>SUM(AI11:AO11)</f>
        <v>0</v>
      </c>
      <c r="AQ11" s="110"/>
    </row>
    <row r="12" spans="1:45" x14ac:dyDescent="0.25">
      <c r="A12" t="s">
        <v>32</v>
      </c>
      <c r="B12" s="15" t="s">
        <v>30</v>
      </c>
      <c r="C12" s="3" t="s">
        <v>70</v>
      </c>
      <c r="D12" s="3" t="s">
        <v>382</v>
      </c>
      <c r="E12" s="3">
        <v>17</v>
      </c>
      <c r="F12" s="3">
        <v>50</v>
      </c>
      <c r="G12" s="218">
        <v>0</v>
      </c>
      <c r="H12" s="131">
        <v>6</v>
      </c>
      <c r="I12" s="218">
        <v>5</v>
      </c>
      <c r="J12" s="131">
        <v>6</v>
      </c>
      <c r="K12" s="218">
        <v>5</v>
      </c>
      <c r="L12" s="131">
        <v>4</v>
      </c>
      <c r="M12" s="218">
        <v>0</v>
      </c>
      <c r="N12" s="47">
        <v>370</v>
      </c>
      <c r="O12" s="217">
        <v>0</v>
      </c>
      <c r="P12" s="217">
        <v>14</v>
      </c>
      <c r="Q12" s="217">
        <v>9</v>
      </c>
      <c r="R12" s="196">
        <v>3.5</v>
      </c>
      <c r="S12" s="196">
        <v>7</v>
      </c>
      <c r="T12" s="196">
        <v>5</v>
      </c>
      <c r="U12" s="196">
        <v>0</v>
      </c>
      <c r="V12" s="66">
        <f t="shared" ref="V12:V21" si="2">SUM(O12:U12)</f>
        <v>38.5</v>
      </c>
      <c r="X12" t="s">
        <v>32</v>
      </c>
      <c r="Y12" s="3">
        <v>20</v>
      </c>
      <c r="Z12" s="3">
        <f>F12+(7*$AR$18)-112-112-112</f>
        <v>46.5</v>
      </c>
      <c r="AA12" s="111">
        <f t="shared" ref="AA12:AA26" si="3">G12</f>
        <v>0</v>
      </c>
      <c r="AB12" s="111">
        <f t="shared" si="0"/>
        <v>6</v>
      </c>
      <c r="AC12" s="111">
        <f t="shared" si="0"/>
        <v>5</v>
      </c>
      <c r="AD12" s="111">
        <f>12+2/7</f>
        <v>12.285714285714286</v>
      </c>
      <c r="AE12" s="111">
        <f t="shared" si="0"/>
        <v>5</v>
      </c>
      <c r="AF12" s="111">
        <v>8</v>
      </c>
      <c r="AG12" s="111">
        <f t="shared" si="0"/>
        <v>0</v>
      </c>
      <c r="AH12" s="47">
        <f>(5000+165+135+135+405)*1</f>
        <v>5840</v>
      </c>
      <c r="AI12" s="217">
        <f t="shared" ref="AI12:AI26" si="4">O12</f>
        <v>0</v>
      </c>
      <c r="AJ12" s="217">
        <f t="shared" si="1"/>
        <v>14</v>
      </c>
      <c r="AK12" s="217">
        <f t="shared" si="1"/>
        <v>9</v>
      </c>
      <c r="AL12" s="217">
        <f>R12+AR17</f>
        <v>35</v>
      </c>
      <c r="AM12" s="217">
        <f t="shared" si="1"/>
        <v>7</v>
      </c>
      <c r="AN12" s="217">
        <f>T12+AR16</f>
        <v>21</v>
      </c>
      <c r="AO12" s="217">
        <f t="shared" si="1"/>
        <v>0</v>
      </c>
      <c r="AP12" s="66">
        <f>SUM(AI12:AO12)</f>
        <v>86</v>
      </c>
      <c r="AQ12" s="110"/>
    </row>
    <row r="13" spans="1:45" x14ac:dyDescent="0.25">
      <c r="A13" t="s">
        <v>33</v>
      </c>
      <c r="B13" s="15" t="s">
        <v>30</v>
      </c>
      <c r="C13" s="3"/>
      <c r="D13" s="3"/>
      <c r="E13" s="3"/>
      <c r="F13" s="3"/>
      <c r="G13" s="218">
        <v>0</v>
      </c>
      <c r="H13" s="131">
        <v>2</v>
      </c>
      <c r="I13" s="218">
        <v>2</v>
      </c>
      <c r="J13" s="131">
        <v>2</v>
      </c>
      <c r="K13" s="218">
        <v>2</v>
      </c>
      <c r="L13" s="131">
        <v>2</v>
      </c>
      <c r="M13" s="218">
        <v>2</v>
      </c>
      <c r="N13" s="47"/>
      <c r="O13" s="217">
        <v>0</v>
      </c>
      <c r="P13" s="217">
        <v>0</v>
      </c>
      <c r="Q13" s="217">
        <v>0</v>
      </c>
      <c r="R13" s="196">
        <v>0</v>
      </c>
      <c r="S13" s="196">
        <v>0</v>
      </c>
      <c r="T13" s="196">
        <v>0</v>
      </c>
      <c r="U13" s="196">
        <v>0</v>
      </c>
      <c r="V13" s="66">
        <f>SUM(O13:U13)</f>
        <v>0</v>
      </c>
      <c r="X13" t="s">
        <v>33</v>
      </c>
      <c r="Y13" s="3"/>
      <c r="Z13" s="3"/>
      <c r="AA13" s="111">
        <f t="shared" si="3"/>
        <v>0</v>
      </c>
      <c r="AB13" s="111">
        <f t="shared" si="0"/>
        <v>2</v>
      </c>
      <c r="AC13" s="111">
        <f t="shared" si="0"/>
        <v>2</v>
      </c>
      <c r="AD13" s="111">
        <f t="shared" si="0"/>
        <v>2</v>
      </c>
      <c r="AE13" s="111">
        <f t="shared" si="0"/>
        <v>2</v>
      </c>
      <c r="AF13" s="111">
        <f t="shared" si="0"/>
        <v>2</v>
      </c>
      <c r="AG13" s="111">
        <f t="shared" si="0"/>
        <v>2</v>
      </c>
      <c r="AH13" s="47">
        <f t="shared" si="0"/>
        <v>0</v>
      </c>
      <c r="AI13" s="217">
        <f t="shared" si="4"/>
        <v>0</v>
      </c>
      <c r="AJ13" s="217">
        <f t="shared" si="1"/>
        <v>0</v>
      </c>
      <c r="AK13" s="217">
        <f t="shared" si="1"/>
        <v>0</v>
      </c>
      <c r="AL13" s="217">
        <f t="shared" si="1"/>
        <v>0</v>
      </c>
      <c r="AM13" s="217">
        <f t="shared" si="1"/>
        <v>0</v>
      </c>
      <c r="AN13" s="217">
        <f t="shared" si="1"/>
        <v>0</v>
      </c>
      <c r="AO13" s="217">
        <f t="shared" si="1"/>
        <v>0</v>
      </c>
      <c r="AP13" s="66">
        <f>SUM(AI13:AO13)</f>
        <v>0</v>
      </c>
      <c r="AQ13" s="110"/>
    </row>
    <row r="14" spans="1:45" x14ac:dyDescent="0.25">
      <c r="A14" t="s">
        <v>39</v>
      </c>
      <c r="B14" s="15" t="s">
        <v>30</v>
      </c>
      <c r="C14" s="3"/>
      <c r="D14" s="3"/>
      <c r="E14" s="3"/>
      <c r="F14" s="3"/>
      <c r="G14" s="218">
        <v>0</v>
      </c>
      <c r="H14" s="131">
        <v>2</v>
      </c>
      <c r="I14" s="218">
        <v>2</v>
      </c>
      <c r="J14" s="131">
        <v>2</v>
      </c>
      <c r="K14" s="218">
        <v>2</v>
      </c>
      <c r="L14" s="131">
        <v>2</v>
      </c>
      <c r="M14" s="218">
        <v>2</v>
      </c>
      <c r="N14" s="47"/>
      <c r="O14" s="217">
        <v>0</v>
      </c>
      <c r="P14" s="217">
        <v>0</v>
      </c>
      <c r="Q14" s="217">
        <v>0</v>
      </c>
      <c r="R14" s="196">
        <v>0</v>
      </c>
      <c r="S14" s="196">
        <v>0</v>
      </c>
      <c r="T14" s="196">
        <v>0</v>
      </c>
      <c r="U14" s="196">
        <v>0</v>
      </c>
      <c r="V14" s="66">
        <f>SUM(O14:U14)</f>
        <v>0</v>
      </c>
      <c r="X14" t="s">
        <v>39</v>
      </c>
      <c r="Y14" s="3"/>
      <c r="Z14" s="3"/>
      <c r="AA14" s="111">
        <f t="shared" si="3"/>
        <v>0</v>
      </c>
      <c r="AB14" s="111">
        <f t="shared" si="0"/>
        <v>2</v>
      </c>
      <c r="AC14" s="111">
        <f t="shared" si="0"/>
        <v>2</v>
      </c>
      <c r="AD14" s="111">
        <f t="shared" si="0"/>
        <v>2</v>
      </c>
      <c r="AE14" s="111">
        <f t="shared" si="0"/>
        <v>2</v>
      </c>
      <c r="AF14" s="111">
        <f t="shared" si="0"/>
        <v>2</v>
      </c>
      <c r="AG14" s="111">
        <f t="shared" si="0"/>
        <v>2</v>
      </c>
      <c r="AH14" s="47">
        <f t="shared" si="0"/>
        <v>0</v>
      </c>
      <c r="AI14" s="217">
        <f t="shared" si="4"/>
        <v>0</v>
      </c>
      <c r="AJ14" s="217">
        <f t="shared" si="1"/>
        <v>0</v>
      </c>
      <c r="AK14" s="217">
        <f t="shared" si="1"/>
        <v>0</v>
      </c>
      <c r="AL14" s="217">
        <f t="shared" si="1"/>
        <v>0</v>
      </c>
      <c r="AM14" s="217">
        <f t="shared" si="1"/>
        <v>0</v>
      </c>
      <c r="AN14" s="217">
        <f t="shared" si="1"/>
        <v>0</v>
      </c>
      <c r="AO14" s="217">
        <f t="shared" si="1"/>
        <v>0</v>
      </c>
      <c r="AP14" s="66">
        <f>SUM(AI14:AO14)</f>
        <v>0</v>
      </c>
      <c r="AQ14" s="110"/>
    </row>
    <row r="15" spans="1:45" x14ac:dyDescent="0.25">
      <c r="A15" t="s">
        <v>41</v>
      </c>
      <c r="B15" s="15" t="s">
        <v>30</v>
      </c>
      <c r="C15" s="3"/>
      <c r="D15" s="3"/>
      <c r="E15" s="3"/>
      <c r="F15" s="3"/>
      <c r="G15" s="218">
        <v>0</v>
      </c>
      <c r="H15" s="131">
        <v>2</v>
      </c>
      <c r="I15" s="218">
        <v>2</v>
      </c>
      <c r="J15" s="131">
        <v>2</v>
      </c>
      <c r="K15" s="218">
        <v>2</v>
      </c>
      <c r="L15" s="131">
        <v>2</v>
      </c>
      <c r="M15" s="218">
        <v>2</v>
      </c>
      <c r="N15" s="47"/>
      <c r="O15" s="217">
        <v>0</v>
      </c>
      <c r="P15" s="217">
        <v>0</v>
      </c>
      <c r="Q15" s="217">
        <v>0</v>
      </c>
      <c r="R15" s="196">
        <v>0</v>
      </c>
      <c r="S15" s="196">
        <v>0</v>
      </c>
      <c r="T15" s="196">
        <v>0</v>
      </c>
      <c r="U15" s="196">
        <v>0</v>
      </c>
      <c r="V15" s="66">
        <f t="shared" si="2"/>
        <v>0</v>
      </c>
      <c r="X15" t="s">
        <v>41</v>
      </c>
      <c r="Y15" s="3"/>
      <c r="Z15" s="3"/>
      <c r="AA15" s="111">
        <f t="shared" si="3"/>
        <v>0</v>
      </c>
      <c r="AB15" s="111">
        <f t="shared" si="0"/>
        <v>2</v>
      </c>
      <c r="AC15" s="111">
        <f t="shared" si="0"/>
        <v>2</v>
      </c>
      <c r="AD15" s="111">
        <f t="shared" si="0"/>
        <v>2</v>
      </c>
      <c r="AE15" s="111">
        <f t="shared" si="0"/>
        <v>2</v>
      </c>
      <c r="AF15" s="111">
        <f t="shared" si="0"/>
        <v>2</v>
      </c>
      <c r="AG15" s="111">
        <f t="shared" si="0"/>
        <v>2</v>
      </c>
      <c r="AH15" s="47">
        <f t="shared" si="0"/>
        <v>0</v>
      </c>
      <c r="AI15" s="217">
        <f t="shared" si="4"/>
        <v>0</v>
      </c>
      <c r="AJ15" s="217">
        <f t="shared" si="1"/>
        <v>0</v>
      </c>
      <c r="AK15" s="217">
        <f t="shared" si="1"/>
        <v>0</v>
      </c>
      <c r="AL15" s="217">
        <f t="shared" si="1"/>
        <v>0</v>
      </c>
      <c r="AM15" s="217">
        <f t="shared" si="1"/>
        <v>0</v>
      </c>
      <c r="AN15" s="217">
        <f t="shared" si="1"/>
        <v>0</v>
      </c>
      <c r="AO15" s="217">
        <f t="shared" si="1"/>
        <v>0</v>
      </c>
      <c r="AP15" s="66">
        <f t="shared" ref="AP15:AP21" si="5">SUM(AI15:AO15)</f>
        <v>0</v>
      </c>
      <c r="AQ15" s="110"/>
      <c r="AR15" s="52" t="s">
        <v>375</v>
      </c>
      <c r="AS15" s="52" t="s">
        <v>376</v>
      </c>
    </row>
    <row r="16" spans="1:45" x14ac:dyDescent="0.25">
      <c r="A16" t="s">
        <v>38</v>
      </c>
      <c r="B16" s="15" t="s">
        <v>30</v>
      </c>
      <c r="C16" s="3"/>
      <c r="D16" s="3"/>
      <c r="E16" s="3"/>
      <c r="F16" s="3"/>
      <c r="G16" s="218">
        <v>0</v>
      </c>
      <c r="H16" s="131">
        <v>2</v>
      </c>
      <c r="I16" s="218">
        <v>2</v>
      </c>
      <c r="J16" s="131">
        <v>2</v>
      </c>
      <c r="K16" s="218">
        <v>2</v>
      </c>
      <c r="L16" s="131">
        <v>2</v>
      </c>
      <c r="M16" s="218">
        <v>2</v>
      </c>
      <c r="N16" s="47"/>
      <c r="O16" s="217">
        <v>0</v>
      </c>
      <c r="P16" s="217">
        <v>0</v>
      </c>
      <c r="Q16" s="217">
        <v>0</v>
      </c>
      <c r="R16" s="196">
        <v>0</v>
      </c>
      <c r="S16" s="196">
        <v>0</v>
      </c>
      <c r="T16" s="196">
        <v>0</v>
      </c>
      <c r="U16" s="196">
        <v>0</v>
      </c>
      <c r="V16" s="66">
        <f t="shared" si="2"/>
        <v>0</v>
      </c>
      <c r="X16" t="s">
        <v>38</v>
      </c>
      <c r="Y16" s="3"/>
      <c r="Z16" s="3"/>
      <c r="AA16" s="111">
        <f t="shared" si="3"/>
        <v>0</v>
      </c>
      <c r="AB16" s="111">
        <f t="shared" si="0"/>
        <v>2</v>
      </c>
      <c r="AC16" s="111">
        <f t="shared" si="0"/>
        <v>2</v>
      </c>
      <c r="AD16" s="111">
        <f t="shared" si="0"/>
        <v>2</v>
      </c>
      <c r="AE16" s="111">
        <f t="shared" si="0"/>
        <v>2</v>
      </c>
      <c r="AF16" s="111">
        <f t="shared" si="0"/>
        <v>2</v>
      </c>
      <c r="AG16" s="111">
        <f t="shared" si="0"/>
        <v>2</v>
      </c>
      <c r="AH16" s="47">
        <f t="shared" si="0"/>
        <v>0</v>
      </c>
      <c r="AI16" s="217">
        <f t="shared" si="4"/>
        <v>0</v>
      </c>
      <c r="AJ16" s="217">
        <f t="shared" si="1"/>
        <v>0</v>
      </c>
      <c r="AK16" s="217">
        <f t="shared" si="1"/>
        <v>0</v>
      </c>
      <c r="AL16" s="217">
        <f t="shared" si="1"/>
        <v>0</v>
      </c>
      <c r="AM16" s="217">
        <f t="shared" si="1"/>
        <v>0</v>
      </c>
      <c r="AN16" s="217">
        <f t="shared" si="1"/>
        <v>0</v>
      </c>
      <c r="AO16" s="217">
        <f t="shared" si="1"/>
        <v>0</v>
      </c>
      <c r="AP16" s="66">
        <f t="shared" si="5"/>
        <v>0</v>
      </c>
      <c r="AQ16" s="219" t="s">
        <v>90</v>
      </c>
      <c r="AR16">
        <v>16</v>
      </c>
      <c r="AS16" s="37">
        <f>AR16/16</f>
        <v>1</v>
      </c>
    </row>
    <row r="17" spans="1:45" x14ac:dyDescent="0.25">
      <c r="A17" t="s">
        <v>35</v>
      </c>
      <c r="B17" s="15" t="s">
        <v>30</v>
      </c>
      <c r="C17" s="3"/>
      <c r="D17" s="3"/>
      <c r="E17" s="3"/>
      <c r="F17" s="3"/>
      <c r="G17" s="218">
        <v>0</v>
      </c>
      <c r="H17" s="131">
        <v>2</v>
      </c>
      <c r="I17" s="218">
        <v>2</v>
      </c>
      <c r="J17" s="131">
        <v>2</v>
      </c>
      <c r="K17" s="218">
        <v>2</v>
      </c>
      <c r="L17" s="131">
        <v>2</v>
      </c>
      <c r="M17" s="218">
        <v>2</v>
      </c>
      <c r="N17" s="47"/>
      <c r="O17" s="217">
        <v>0</v>
      </c>
      <c r="P17" s="217">
        <v>0</v>
      </c>
      <c r="Q17" s="217">
        <v>0</v>
      </c>
      <c r="R17" s="196">
        <v>0</v>
      </c>
      <c r="S17" s="196">
        <v>0</v>
      </c>
      <c r="T17" s="196">
        <v>0</v>
      </c>
      <c r="U17" s="196">
        <v>0</v>
      </c>
      <c r="V17" s="66">
        <f t="shared" si="2"/>
        <v>0</v>
      </c>
      <c r="X17" t="s">
        <v>35</v>
      </c>
      <c r="Y17" s="3"/>
      <c r="Z17" s="3"/>
      <c r="AA17" s="111">
        <f t="shared" si="3"/>
        <v>0</v>
      </c>
      <c r="AB17" s="111">
        <f t="shared" si="0"/>
        <v>2</v>
      </c>
      <c r="AC17" s="111">
        <f t="shared" si="0"/>
        <v>2</v>
      </c>
      <c r="AD17" s="111">
        <f t="shared" si="0"/>
        <v>2</v>
      </c>
      <c r="AE17" s="111">
        <f t="shared" si="0"/>
        <v>2</v>
      </c>
      <c r="AF17" s="111">
        <f t="shared" si="0"/>
        <v>2</v>
      </c>
      <c r="AG17" s="111">
        <f t="shared" si="0"/>
        <v>2</v>
      </c>
      <c r="AH17" s="47">
        <f t="shared" si="0"/>
        <v>0</v>
      </c>
      <c r="AI17" s="217">
        <f t="shared" si="4"/>
        <v>0</v>
      </c>
      <c r="AJ17" s="217">
        <f t="shared" si="1"/>
        <v>0</v>
      </c>
      <c r="AK17" s="217">
        <f t="shared" si="1"/>
        <v>0</v>
      </c>
      <c r="AL17" s="217">
        <f t="shared" si="1"/>
        <v>0</v>
      </c>
      <c r="AM17" s="217">
        <f t="shared" si="1"/>
        <v>0</v>
      </c>
      <c r="AN17" s="217">
        <f t="shared" si="1"/>
        <v>0</v>
      </c>
      <c r="AO17" s="217">
        <f t="shared" si="1"/>
        <v>0</v>
      </c>
      <c r="AP17" s="66">
        <f t="shared" si="5"/>
        <v>0</v>
      </c>
      <c r="AQ17" s="219" t="s">
        <v>194</v>
      </c>
      <c r="AR17">
        <v>31.5</v>
      </c>
      <c r="AS17" s="37">
        <f>AR17/16</f>
        <v>1.96875</v>
      </c>
    </row>
    <row r="18" spans="1:45" x14ac:dyDescent="0.25">
      <c r="A18" t="s">
        <v>31</v>
      </c>
      <c r="B18" s="15" t="s">
        <v>30</v>
      </c>
      <c r="C18" s="3"/>
      <c r="D18" s="3"/>
      <c r="E18" s="3"/>
      <c r="F18" s="3"/>
      <c r="G18" s="218">
        <v>0</v>
      </c>
      <c r="H18" s="131">
        <v>2</v>
      </c>
      <c r="I18" s="218">
        <v>2</v>
      </c>
      <c r="J18" s="131">
        <v>2</v>
      </c>
      <c r="K18" s="218">
        <v>2</v>
      </c>
      <c r="L18" s="131">
        <v>2</v>
      </c>
      <c r="M18" s="218">
        <v>2</v>
      </c>
      <c r="N18" s="47"/>
      <c r="O18" s="217">
        <v>0</v>
      </c>
      <c r="P18" s="217">
        <v>0</v>
      </c>
      <c r="Q18" s="217">
        <v>0</v>
      </c>
      <c r="R18" s="196">
        <v>0</v>
      </c>
      <c r="S18" s="196">
        <v>0</v>
      </c>
      <c r="T18" s="196">
        <v>0</v>
      </c>
      <c r="U18" s="196">
        <v>0</v>
      </c>
      <c r="V18" s="66">
        <f t="shared" si="2"/>
        <v>0</v>
      </c>
      <c r="X18" t="s">
        <v>31</v>
      </c>
      <c r="Y18" s="3"/>
      <c r="Z18" s="3"/>
      <c r="AA18" s="111">
        <f t="shared" si="3"/>
        <v>0</v>
      </c>
      <c r="AB18" s="111">
        <f t="shared" si="0"/>
        <v>2</v>
      </c>
      <c r="AC18" s="111">
        <f t="shared" si="0"/>
        <v>2</v>
      </c>
      <c r="AD18" s="111">
        <f t="shared" si="0"/>
        <v>2</v>
      </c>
      <c r="AE18" s="111">
        <f t="shared" si="0"/>
        <v>2</v>
      </c>
      <c r="AF18" s="111">
        <f t="shared" si="0"/>
        <v>2</v>
      </c>
      <c r="AG18" s="111">
        <f t="shared" si="0"/>
        <v>2</v>
      </c>
      <c r="AH18" s="47">
        <f t="shared" si="0"/>
        <v>0</v>
      </c>
      <c r="AI18" s="217">
        <f t="shared" si="4"/>
        <v>0</v>
      </c>
      <c r="AJ18" s="217">
        <f t="shared" si="1"/>
        <v>0</v>
      </c>
      <c r="AK18" s="217">
        <f t="shared" si="1"/>
        <v>0</v>
      </c>
      <c r="AL18" s="217">
        <f t="shared" si="1"/>
        <v>0</v>
      </c>
      <c r="AM18" s="217">
        <f t="shared" si="1"/>
        <v>0</v>
      </c>
      <c r="AN18" s="217">
        <f t="shared" si="1"/>
        <v>0</v>
      </c>
      <c r="AO18" s="217">
        <f t="shared" si="1"/>
        <v>0</v>
      </c>
      <c r="AP18" s="66">
        <f t="shared" si="5"/>
        <v>0</v>
      </c>
      <c r="AQ18" s="110"/>
      <c r="AR18" s="52">
        <f>AR17+AR16</f>
        <v>47.5</v>
      </c>
      <c r="AS18" s="52">
        <f>AS17+AS16</f>
        <v>2.96875</v>
      </c>
    </row>
    <row r="19" spans="1:45" x14ac:dyDescent="0.25">
      <c r="A19" t="s">
        <v>43</v>
      </c>
      <c r="B19" s="15" t="s">
        <v>383</v>
      </c>
      <c r="C19" s="3"/>
      <c r="D19" s="3"/>
      <c r="E19" s="3"/>
      <c r="F19" s="3"/>
      <c r="G19" s="218">
        <v>0</v>
      </c>
      <c r="H19" s="131">
        <v>2</v>
      </c>
      <c r="I19" s="218">
        <v>2</v>
      </c>
      <c r="J19" s="131">
        <v>2</v>
      </c>
      <c r="K19" s="218">
        <v>2</v>
      </c>
      <c r="L19" s="131">
        <v>2</v>
      </c>
      <c r="M19" s="218">
        <v>2</v>
      </c>
      <c r="N19" s="47"/>
      <c r="O19" s="217">
        <v>0</v>
      </c>
      <c r="P19" s="217">
        <v>0</v>
      </c>
      <c r="Q19" s="217">
        <v>0</v>
      </c>
      <c r="R19" s="196">
        <v>0</v>
      </c>
      <c r="S19" s="196">
        <v>0</v>
      </c>
      <c r="T19" s="196">
        <v>0</v>
      </c>
      <c r="U19" s="196">
        <v>0</v>
      </c>
      <c r="V19" s="66">
        <f t="shared" si="2"/>
        <v>0</v>
      </c>
      <c r="X19" t="s">
        <v>43</v>
      </c>
      <c r="Y19" s="3"/>
      <c r="Z19" s="3"/>
      <c r="AA19" s="111">
        <f t="shared" si="3"/>
        <v>0</v>
      </c>
      <c r="AB19" s="111">
        <f t="shared" si="0"/>
        <v>2</v>
      </c>
      <c r="AC19" s="111">
        <f t="shared" si="0"/>
        <v>2</v>
      </c>
      <c r="AD19" s="111">
        <f t="shared" si="0"/>
        <v>2</v>
      </c>
      <c r="AE19" s="111">
        <f t="shared" si="0"/>
        <v>2</v>
      </c>
      <c r="AF19" s="111">
        <f t="shared" si="0"/>
        <v>2</v>
      </c>
      <c r="AG19" s="111">
        <f t="shared" si="0"/>
        <v>2</v>
      </c>
      <c r="AH19" s="47">
        <f t="shared" si="0"/>
        <v>0</v>
      </c>
      <c r="AI19" s="217">
        <f t="shared" si="4"/>
        <v>0</v>
      </c>
      <c r="AJ19" s="217">
        <f t="shared" si="1"/>
        <v>0</v>
      </c>
      <c r="AK19" s="217">
        <f t="shared" si="1"/>
        <v>0</v>
      </c>
      <c r="AL19" s="217">
        <f t="shared" si="1"/>
        <v>0</v>
      </c>
      <c r="AM19" s="217">
        <f t="shared" si="1"/>
        <v>0</v>
      </c>
      <c r="AN19" s="217">
        <f t="shared" si="1"/>
        <v>0</v>
      </c>
      <c r="AO19" s="217">
        <f t="shared" si="1"/>
        <v>0</v>
      </c>
      <c r="AP19" s="66">
        <f t="shared" si="5"/>
        <v>0</v>
      </c>
      <c r="AQ19" s="110"/>
    </row>
    <row r="20" spans="1:45" x14ac:dyDescent="0.25">
      <c r="A20" t="s">
        <v>43</v>
      </c>
      <c r="B20" s="15" t="s">
        <v>383</v>
      </c>
      <c r="C20" s="3"/>
      <c r="D20" s="3"/>
      <c r="E20" s="3"/>
      <c r="F20" s="3"/>
      <c r="G20" s="218">
        <v>0</v>
      </c>
      <c r="H20" s="131">
        <v>2</v>
      </c>
      <c r="I20" s="218">
        <v>2</v>
      </c>
      <c r="J20" s="131">
        <v>2</v>
      </c>
      <c r="K20" s="218">
        <v>2</v>
      </c>
      <c r="L20" s="131">
        <v>2</v>
      </c>
      <c r="M20" s="218">
        <v>2</v>
      </c>
      <c r="N20" s="47"/>
      <c r="O20" s="217">
        <v>0</v>
      </c>
      <c r="P20" s="217">
        <v>0</v>
      </c>
      <c r="Q20" s="217">
        <v>0</v>
      </c>
      <c r="R20" s="196">
        <v>0</v>
      </c>
      <c r="S20" s="196">
        <v>0</v>
      </c>
      <c r="T20" s="196">
        <v>0</v>
      </c>
      <c r="U20" s="196">
        <v>0</v>
      </c>
      <c r="V20" s="66">
        <f t="shared" si="2"/>
        <v>0</v>
      </c>
      <c r="X20" t="s">
        <v>43</v>
      </c>
      <c r="Y20" s="3"/>
      <c r="Z20" s="3"/>
      <c r="AA20" s="111">
        <f t="shared" si="3"/>
        <v>0</v>
      </c>
      <c r="AB20" s="111">
        <f t="shared" si="0"/>
        <v>2</v>
      </c>
      <c r="AC20" s="111">
        <f t="shared" si="0"/>
        <v>2</v>
      </c>
      <c r="AD20" s="111">
        <f t="shared" si="0"/>
        <v>2</v>
      </c>
      <c r="AE20" s="111">
        <f t="shared" si="0"/>
        <v>2</v>
      </c>
      <c r="AF20" s="111">
        <f t="shared" si="0"/>
        <v>2</v>
      </c>
      <c r="AG20" s="111">
        <f t="shared" si="0"/>
        <v>2</v>
      </c>
      <c r="AH20" s="47">
        <f t="shared" si="0"/>
        <v>0</v>
      </c>
      <c r="AI20" s="217">
        <f t="shared" si="4"/>
        <v>0</v>
      </c>
      <c r="AJ20" s="217">
        <f t="shared" si="1"/>
        <v>0</v>
      </c>
      <c r="AK20" s="217">
        <f t="shared" si="1"/>
        <v>0</v>
      </c>
      <c r="AL20" s="217">
        <f t="shared" si="1"/>
        <v>0</v>
      </c>
      <c r="AM20" s="217">
        <f t="shared" si="1"/>
        <v>0</v>
      </c>
      <c r="AN20" s="217">
        <f t="shared" si="1"/>
        <v>0</v>
      </c>
      <c r="AO20" s="217">
        <f t="shared" si="1"/>
        <v>0</v>
      </c>
      <c r="AP20" s="66">
        <f t="shared" si="5"/>
        <v>0</v>
      </c>
      <c r="AQ20" s="110"/>
    </row>
    <row r="21" spans="1:45" x14ac:dyDescent="0.25">
      <c r="A21" t="s">
        <v>36</v>
      </c>
      <c r="B21" s="15" t="s">
        <v>71</v>
      </c>
      <c r="C21" s="3" t="s">
        <v>45</v>
      </c>
      <c r="D21" s="3" t="s">
        <v>331</v>
      </c>
      <c r="E21" s="3">
        <v>17</v>
      </c>
      <c r="F21" s="3">
        <v>37</v>
      </c>
      <c r="G21" s="218">
        <v>0</v>
      </c>
      <c r="H21" s="131">
        <v>2</v>
      </c>
      <c r="I21" s="218">
        <v>5.7</v>
      </c>
      <c r="J21" s="131">
        <v>5.5</v>
      </c>
      <c r="K21" s="218">
        <v>5.25</v>
      </c>
      <c r="L21" s="131">
        <v>3</v>
      </c>
      <c r="M21" s="218">
        <v>5</v>
      </c>
      <c r="N21" s="47">
        <f>(310+135+140)*1.016</f>
        <v>594.36</v>
      </c>
      <c r="O21" s="217">
        <v>0</v>
      </c>
      <c r="P21" s="217">
        <v>0</v>
      </c>
      <c r="Q21" s="217">
        <v>13</v>
      </c>
      <c r="R21" s="196">
        <v>10.5</v>
      </c>
      <c r="S21" s="196">
        <v>8</v>
      </c>
      <c r="T21" s="196">
        <v>2</v>
      </c>
      <c r="U21" s="196">
        <v>3</v>
      </c>
      <c r="V21" s="66">
        <f t="shared" si="2"/>
        <v>36.5</v>
      </c>
      <c r="X21" t="s">
        <v>36</v>
      </c>
      <c r="Y21" s="3">
        <v>20</v>
      </c>
      <c r="Z21" s="3">
        <f>F21+(7*$AR$18)-112-112-112</f>
        <v>33.5</v>
      </c>
      <c r="AA21" s="111">
        <f t="shared" si="3"/>
        <v>0</v>
      </c>
      <c r="AB21" s="111">
        <f t="shared" si="0"/>
        <v>2</v>
      </c>
      <c r="AC21" s="111">
        <f t="shared" si="0"/>
        <v>5.7</v>
      </c>
      <c r="AD21" s="111">
        <f>13+2/7</f>
        <v>13.285714285714286</v>
      </c>
      <c r="AE21" s="111">
        <f t="shared" si="0"/>
        <v>5.25</v>
      </c>
      <c r="AF21" s="111">
        <f>7+2/5</f>
        <v>7.4</v>
      </c>
      <c r="AG21" s="111">
        <f t="shared" si="0"/>
        <v>5</v>
      </c>
      <c r="AH21" s="47">
        <f>(155+8000+140+300)*1.016</f>
        <v>8732.52</v>
      </c>
      <c r="AI21" s="217">
        <f t="shared" si="4"/>
        <v>0</v>
      </c>
      <c r="AJ21" s="217">
        <f t="shared" si="1"/>
        <v>0</v>
      </c>
      <c r="AK21" s="217">
        <f t="shared" si="1"/>
        <v>13</v>
      </c>
      <c r="AL21" s="217">
        <f>R21+AR17</f>
        <v>42</v>
      </c>
      <c r="AM21" s="217">
        <f t="shared" si="1"/>
        <v>8</v>
      </c>
      <c r="AN21" s="217">
        <f>T21+AR16</f>
        <v>18</v>
      </c>
      <c r="AO21" s="217">
        <f t="shared" si="1"/>
        <v>3</v>
      </c>
      <c r="AP21" s="66">
        <f t="shared" si="5"/>
        <v>84</v>
      </c>
      <c r="AQ21" s="110"/>
    </row>
    <row r="22" spans="1:45" x14ac:dyDescent="0.25">
      <c r="A22" t="s">
        <v>40</v>
      </c>
      <c r="B22" s="15" t="s">
        <v>71</v>
      </c>
      <c r="C22" s="3" t="s">
        <v>296</v>
      </c>
      <c r="D22" s="3" t="s">
        <v>332</v>
      </c>
      <c r="E22" s="3">
        <v>17</v>
      </c>
      <c r="F22" s="3">
        <v>41</v>
      </c>
      <c r="G22" s="218">
        <v>0</v>
      </c>
      <c r="H22" s="131">
        <v>6</v>
      </c>
      <c r="I22" s="218">
        <v>3</v>
      </c>
      <c r="J22" s="131">
        <v>3</v>
      </c>
      <c r="K22" s="218">
        <v>5.2</v>
      </c>
      <c r="L22" s="131">
        <v>2</v>
      </c>
      <c r="M22" s="218">
        <v>3</v>
      </c>
      <c r="N22" s="47">
        <f>(330+138)*1.012</f>
        <v>473.61599999999999</v>
      </c>
      <c r="O22" s="217">
        <v>0</v>
      </c>
      <c r="P22" s="217">
        <v>14</v>
      </c>
      <c r="Q22" s="217">
        <v>3</v>
      </c>
      <c r="R22" s="196">
        <v>1.5</v>
      </c>
      <c r="S22" s="196">
        <v>8</v>
      </c>
      <c r="T22" s="196">
        <v>0</v>
      </c>
      <c r="U22" s="196">
        <v>1</v>
      </c>
      <c r="V22" s="66">
        <f>SUM(O22:U22)</f>
        <v>27.5</v>
      </c>
      <c r="X22" t="s">
        <v>40</v>
      </c>
      <c r="Y22" s="3">
        <v>20</v>
      </c>
      <c r="Z22" s="3">
        <f>F22+(7*$AR$18)-112-112-112</f>
        <v>37.5</v>
      </c>
      <c r="AA22" s="111">
        <f t="shared" si="3"/>
        <v>0</v>
      </c>
      <c r="AB22" s="111">
        <f t="shared" si="0"/>
        <v>6</v>
      </c>
      <c r="AC22" s="111">
        <f t="shared" si="0"/>
        <v>3</v>
      </c>
      <c r="AD22" s="111">
        <v>12</v>
      </c>
      <c r="AE22" s="111">
        <f t="shared" si="0"/>
        <v>5.2</v>
      </c>
      <c r="AF22" s="111">
        <v>7</v>
      </c>
      <c r="AG22" s="111">
        <f t="shared" si="0"/>
        <v>3</v>
      </c>
      <c r="AH22" s="47">
        <f>(165+138+4470+245)*1.012</f>
        <v>5078.2160000000003</v>
      </c>
      <c r="AI22" s="217">
        <f t="shared" si="4"/>
        <v>0</v>
      </c>
      <c r="AJ22" s="217">
        <f t="shared" si="1"/>
        <v>14</v>
      </c>
      <c r="AK22" s="217">
        <f t="shared" si="1"/>
        <v>3</v>
      </c>
      <c r="AL22" s="217">
        <f>R22+AR17</f>
        <v>33</v>
      </c>
      <c r="AM22" s="217">
        <f t="shared" si="1"/>
        <v>8</v>
      </c>
      <c r="AN22" s="217">
        <f>T22+AR16</f>
        <v>16</v>
      </c>
      <c r="AO22" s="217">
        <f t="shared" si="1"/>
        <v>1</v>
      </c>
      <c r="AP22" s="66">
        <f>SUM(AI22:AO22)</f>
        <v>75</v>
      </c>
      <c r="AQ22" s="110"/>
    </row>
    <row r="23" spans="1:45" x14ac:dyDescent="0.25">
      <c r="A23" t="s">
        <v>34</v>
      </c>
      <c r="B23" s="15" t="s">
        <v>71</v>
      </c>
      <c r="C23" s="3" t="s">
        <v>296</v>
      </c>
      <c r="D23" s="3" t="s">
        <v>333</v>
      </c>
      <c r="E23" s="3">
        <v>17</v>
      </c>
      <c r="F23" s="3">
        <v>37</v>
      </c>
      <c r="G23" s="218">
        <v>0</v>
      </c>
      <c r="H23" s="131">
        <v>3</v>
      </c>
      <c r="I23" s="218">
        <v>5</v>
      </c>
      <c r="J23" s="131">
        <v>4</v>
      </c>
      <c r="K23" s="218">
        <v>4</v>
      </c>
      <c r="L23" s="131">
        <v>3</v>
      </c>
      <c r="M23" s="218">
        <v>3</v>
      </c>
      <c r="N23" s="47">
        <f>(270+125+125)*1.012</f>
        <v>526.24</v>
      </c>
      <c r="O23" s="217">
        <v>0</v>
      </c>
      <c r="P23" s="217">
        <v>3</v>
      </c>
      <c r="Q23" s="217">
        <v>9</v>
      </c>
      <c r="R23" s="196">
        <v>3.5</v>
      </c>
      <c r="S23" s="196">
        <v>4</v>
      </c>
      <c r="T23" s="196">
        <v>2</v>
      </c>
      <c r="U23" s="196">
        <v>1</v>
      </c>
      <c r="V23" s="66">
        <f>SUM(O23:U23)</f>
        <v>22.5</v>
      </c>
      <c r="X23" t="s">
        <v>34</v>
      </c>
      <c r="Y23" s="3">
        <v>20</v>
      </c>
      <c r="Z23" s="3">
        <f>F23+(7*$AR$18)-112-112-112</f>
        <v>33.5</v>
      </c>
      <c r="AA23" s="111">
        <f t="shared" si="3"/>
        <v>0</v>
      </c>
      <c r="AB23" s="111">
        <f t="shared" si="0"/>
        <v>3</v>
      </c>
      <c r="AC23" s="111">
        <f t="shared" si="0"/>
        <v>5</v>
      </c>
      <c r="AD23" s="111">
        <f>12+2/7</f>
        <v>12.285714285714286</v>
      </c>
      <c r="AE23" s="111">
        <f t="shared" si="0"/>
        <v>4</v>
      </c>
      <c r="AF23" s="111">
        <f>7+2/5</f>
        <v>7.4</v>
      </c>
      <c r="AG23" s="111">
        <f t="shared" si="0"/>
        <v>3</v>
      </c>
      <c r="AH23" s="47">
        <f>(135+5000+125+300)*1.012</f>
        <v>5626.72</v>
      </c>
      <c r="AI23" s="217">
        <f t="shared" si="4"/>
        <v>0</v>
      </c>
      <c r="AJ23" s="217">
        <f t="shared" si="1"/>
        <v>3</v>
      </c>
      <c r="AK23" s="217">
        <f t="shared" si="1"/>
        <v>9</v>
      </c>
      <c r="AL23" s="217">
        <f>R23+AR17</f>
        <v>35</v>
      </c>
      <c r="AM23" s="217">
        <f t="shared" si="1"/>
        <v>4</v>
      </c>
      <c r="AN23" s="217">
        <f>T23+AR16</f>
        <v>18</v>
      </c>
      <c r="AO23" s="217">
        <f t="shared" si="1"/>
        <v>1</v>
      </c>
      <c r="AP23" s="66">
        <f>SUM(AI23:AO23)</f>
        <v>70</v>
      </c>
      <c r="AQ23" s="110"/>
    </row>
    <row r="24" spans="1:45" x14ac:dyDescent="0.25">
      <c r="A24" t="s">
        <v>42</v>
      </c>
      <c r="B24" s="15" t="s">
        <v>44</v>
      </c>
      <c r="C24" s="3"/>
      <c r="D24" s="3"/>
      <c r="E24" s="3"/>
      <c r="F24" s="3"/>
      <c r="G24" s="218">
        <v>0</v>
      </c>
      <c r="H24" s="131">
        <v>2</v>
      </c>
      <c r="I24" s="218">
        <v>2</v>
      </c>
      <c r="J24" s="131">
        <v>2</v>
      </c>
      <c r="K24" s="218">
        <v>2</v>
      </c>
      <c r="L24" s="131">
        <v>2</v>
      </c>
      <c r="M24" s="218">
        <v>2</v>
      </c>
      <c r="N24" s="47"/>
      <c r="O24" s="217">
        <v>0</v>
      </c>
      <c r="P24" s="217">
        <v>0</v>
      </c>
      <c r="Q24" s="217">
        <v>0</v>
      </c>
      <c r="R24" s="196">
        <v>0</v>
      </c>
      <c r="S24" s="196">
        <v>0</v>
      </c>
      <c r="T24" s="196">
        <v>0</v>
      </c>
      <c r="U24" s="196">
        <v>0</v>
      </c>
      <c r="V24" s="66">
        <f>SUM(O24:U24)</f>
        <v>0</v>
      </c>
      <c r="X24" t="s">
        <v>42</v>
      </c>
      <c r="Y24" s="3"/>
      <c r="Z24" s="3"/>
      <c r="AA24" s="111">
        <f t="shared" si="3"/>
        <v>0</v>
      </c>
      <c r="AB24" s="111">
        <f t="shared" si="0"/>
        <v>2</v>
      </c>
      <c r="AC24" s="111">
        <f t="shared" si="0"/>
        <v>2</v>
      </c>
      <c r="AD24" s="111">
        <f t="shared" si="0"/>
        <v>2</v>
      </c>
      <c r="AE24" s="111">
        <f t="shared" si="0"/>
        <v>2</v>
      </c>
      <c r="AF24" s="111">
        <f t="shared" si="0"/>
        <v>2</v>
      </c>
      <c r="AG24" s="111">
        <f t="shared" si="0"/>
        <v>2</v>
      </c>
      <c r="AH24" s="47">
        <f t="shared" si="0"/>
        <v>0</v>
      </c>
      <c r="AI24" s="217">
        <f t="shared" si="4"/>
        <v>0</v>
      </c>
      <c r="AJ24" s="217">
        <f t="shared" si="1"/>
        <v>0</v>
      </c>
      <c r="AK24" s="217">
        <f t="shared" si="1"/>
        <v>0</v>
      </c>
      <c r="AL24" s="217">
        <f t="shared" si="1"/>
        <v>0</v>
      </c>
      <c r="AM24" s="217">
        <f t="shared" si="1"/>
        <v>0</v>
      </c>
      <c r="AN24" s="217">
        <f t="shared" si="1"/>
        <v>0</v>
      </c>
      <c r="AO24" s="217">
        <f t="shared" si="1"/>
        <v>0</v>
      </c>
      <c r="AP24" s="66">
        <f>SUM(AI24:AO24)</f>
        <v>0</v>
      </c>
      <c r="AQ24" s="110"/>
    </row>
    <row r="25" spans="1:45" x14ac:dyDescent="0.25">
      <c r="A25" t="s">
        <v>46</v>
      </c>
      <c r="B25" s="15" t="s">
        <v>44</v>
      </c>
      <c r="C25" s="3"/>
      <c r="D25" s="3"/>
      <c r="E25" s="3"/>
      <c r="F25" s="3"/>
      <c r="G25" s="218">
        <v>0</v>
      </c>
      <c r="H25" s="131">
        <v>2</v>
      </c>
      <c r="I25" s="218">
        <v>2</v>
      </c>
      <c r="J25" s="131">
        <v>2</v>
      </c>
      <c r="K25" s="218">
        <v>2</v>
      </c>
      <c r="L25" s="131">
        <v>2</v>
      </c>
      <c r="M25" s="218">
        <v>2</v>
      </c>
      <c r="N25" s="47"/>
      <c r="O25" s="217">
        <v>0</v>
      </c>
      <c r="P25" s="217">
        <v>0</v>
      </c>
      <c r="Q25" s="217">
        <v>0</v>
      </c>
      <c r="R25" s="196">
        <v>0</v>
      </c>
      <c r="S25" s="196">
        <v>0</v>
      </c>
      <c r="T25" s="196">
        <v>0</v>
      </c>
      <c r="U25" s="196">
        <v>0</v>
      </c>
      <c r="V25" s="66">
        <f>SUM(O25:U25)</f>
        <v>0</v>
      </c>
      <c r="X25" t="s">
        <v>46</v>
      </c>
      <c r="Y25" s="3"/>
      <c r="Z25" s="3"/>
      <c r="AA25" s="111">
        <f t="shared" si="3"/>
        <v>0</v>
      </c>
      <c r="AB25" s="111">
        <f t="shared" si="0"/>
        <v>2</v>
      </c>
      <c r="AC25" s="111">
        <f t="shared" si="0"/>
        <v>2</v>
      </c>
      <c r="AD25" s="111">
        <f t="shared" si="0"/>
        <v>2</v>
      </c>
      <c r="AE25" s="111">
        <f t="shared" si="0"/>
        <v>2</v>
      </c>
      <c r="AF25" s="111">
        <f t="shared" si="0"/>
        <v>2</v>
      </c>
      <c r="AG25" s="111">
        <f t="shared" si="0"/>
        <v>2</v>
      </c>
      <c r="AH25" s="47">
        <f t="shared" si="0"/>
        <v>0</v>
      </c>
      <c r="AI25" s="217">
        <f t="shared" si="4"/>
        <v>0</v>
      </c>
      <c r="AJ25" s="217">
        <f t="shared" si="1"/>
        <v>0</v>
      </c>
      <c r="AK25" s="217">
        <f t="shared" si="1"/>
        <v>0</v>
      </c>
      <c r="AL25" s="217">
        <f t="shared" si="1"/>
        <v>0</v>
      </c>
      <c r="AM25" s="217">
        <f t="shared" si="1"/>
        <v>0</v>
      </c>
      <c r="AN25" s="217">
        <f t="shared" si="1"/>
        <v>0</v>
      </c>
      <c r="AO25" s="217">
        <f t="shared" si="1"/>
        <v>0</v>
      </c>
      <c r="AP25" s="66">
        <f>SUM(AI25:AO25)</f>
        <v>0</v>
      </c>
      <c r="AQ25" s="110"/>
    </row>
    <row r="26" spans="1:45" x14ac:dyDescent="0.25">
      <c r="A26" t="s">
        <v>334</v>
      </c>
      <c r="B26" s="15" t="s">
        <v>44</v>
      </c>
      <c r="C26" s="3"/>
      <c r="D26" s="3"/>
      <c r="E26" s="3"/>
      <c r="F26" s="3"/>
      <c r="G26" s="218">
        <v>0</v>
      </c>
      <c r="H26" s="131">
        <v>2</v>
      </c>
      <c r="I26" s="218">
        <v>2</v>
      </c>
      <c r="J26" s="131">
        <v>2</v>
      </c>
      <c r="K26" s="218">
        <v>2</v>
      </c>
      <c r="L26" s="131">
        <v>2</v>
      </c>
      <c r="M26" s="218">
        <v>2</v>
      </c>
      <c r="N26" s="47"/>
      <c r="O26" s="217">
        <v>0</v>
      </c>
      <c r="P26" s="217">
        <v>0</v>
      </c>
      <c r="Q26" s="217">
        <v>0</v>
      </c>
      <c r="R26" s="196">
        <v>0</v>
      </c>
      <c r="S26" s="196">
        <v>0</v>
      </c>
      <c r="T26" s="196">
        <v>0</v>
      </c>
      <c r="U26" s="196">
        <v>0</v>
      </c>
      <c r="V26" s="66">
        <f>SUM(O26:U26)</f>
        <v>0</v>
      </c>
      <c r="X26" t="s">
        <v>334</v>
      </c>
      <c r="Y26" s="3"/>
      <c r="Z26" s="3"/>
      <c r="AA26" s="111">
        <f t="shared" si="3"/>
        <v>0</v>
      </c>
      <c r="AB26" s="111">
        <f t="shared" si="0"/>
        <v>2</v>
      </c>
      <c r="AC26" s="111">
        <f t="shared" si="0"/>
        <v>2</v>
      </c>
      <c r="AD26" s="111">
        <f t="shared" si="0"/>
        <v>2</v>
      </c>
      <c r="AE26" s="111">
        <f t="shared" si="0"/>
        <v>2</v>
      </c>
      <c r="AF26" s="111">
        <f t="shared" si="0"/>
        <v>2</v>
      </c>
      <c r="AG26" s="111">
        <f t="shared" si="0"/>
        <v>2</v>
      </c>
      <c r="AH26" s="47">
        <f t="shared" si="0"/>
        <v>0</v>
      </c>
      <c r="AI26" s="217">
        <f t="shared" si="4"/>
        <v>0</v>
      </c>
      <c r="AJ26" s="217">
        <f t="shared" si="1"/>
        <v>0</v>
      </c>
      <c r="AK26" s="217">
        <f t="shared" si="1"/>
        <v>0</v>
      </c>
      <c r="AL26" s="217">
        <f t="shared" si="1"/>
        <v>0</v>
      </c>
      <c r="AM26" s="217">
        <f t="shared" si="1"/>
        <v>0</v>
      </c>
      <c r="AN26" s="217">
        <f t="shared" si="1"/>
        <v>0</v>
      </c>
      <c r="AO26" s="217">
        <f t="shared" si="1"/>
        <v>0</v>
      </c>
      <c r="AP26" s="66">
        <f>SUM(AI26:AO26)</f>
        <v>0</v>
      </c>
      <c r="AQ26" s="110"/>
    </row>
    <row r="27" spans="1:45" x14ac:dyDescent="0.25">
      <c r="N27" s="197">
        <f>SUM(N29:N43)</f>
        <v>74210.815999999992</v>
      </c>
      <c r="AH27" s="197">
        <f>SUM(AH29:AH43)</f>
        <v>125777.25600000001</v>
      </c>
      <c r="AQ27" s="110"/>
    </row>
    <row r="28" spans="1:45" x14ac:dyDescent="0.25">
      <c r="A28" s="10" t="s">
        <v>170</v>
      </c>
      <c r="B28" s="10" t="s">
        <v>2</v>
      </c>
      <c r="C28" s="10" t="s">
        <v>84</v>
      </c>
      <c r="D28" s="10" t="str">
        <f>D10</f>
        <v>Nombre</v>
      </c>
      <c r="E28" s="10" t="str">
        <f>E10</f>
        <v>Año</v>
      </c>
      <c r="F28" s="10" t="str">
        <f>F10</f>
        <v>Dia</v>
      </c>
      <c r="G28" s="10" t="s">
        <v>15</v>
      </c>
      <c r="H28" s="10" t="s">
        <v>16</v>
      </c>
      <c r="I28" s="10" t="s">
        <v>17</v>
      </c>
      <c r="J28" s="10" t="s">
        <v>18</v>
      </c>
      <c r="K28" s="10" t="s">
        <v>19</v>
      </c>
      <c r="L28" s="10" t="s">
        <v>20</v>
      </c>
      <c r="M28" s="10" t="s">
        <v>6</v>
      </c>
      <c r="N28" s="10" t="s">
        <v>68</v>
      </c>
      <c r="O28" s="10" t="s">
        <v>323</v>
      </c>
      <c r="P28" s="10" t="s">
        <v>324</v>
      </c>
      <c r="Q28" s="10" t="s">
        <v>325</v>
      </c>
      <c r="R28" s="10" t="s">
        <v>326</v>
      </c>
      <c r="S28" s="10" t="s">
        <v>327</v>
      </c>
      <c r="T28" s="10" t="s">
        <v>328</v>
      </c>
      <c r="U28" s="10" t="s">
        <v>329</v>
      </c>
      <c r="V28" s="10" t="s">
        <v>330</v>
      </c>
      <c r="X28" s="10" t="s">
        <v>170</v>
      </c>
      <c r="Y28" s="10" t="str">
        <f>Y10</f>
        <v>Año</v>
      </c>
      <c r="Z28" s="10" t="str">
        <f>Z10</f>
        <v>Dia</v>
      </c>
      <c r="AA28" s="10" t="s">
        <v>15</v>
      </c>
      <c r="AB28" s="10" t="s">
        <v>16</v>
      </c>
      <c r="AC28" s="10" t="s">
        <v>17</v>
      </c>
      <c r="AD28" s="10" t="s">
        <v>18</v>
      </c>
      <c r="AE28" s="10" t="s">
        <v>19</v>
      </c>
      <c r="AF28" s="10" t="s">
        <v>20</v>
      </c>
      <c r="AG28" s="10" t="s">
        <v>6</v>
      </c>
      <c r="AH28" s="10" t="s">
        <v>68</v>
      </c>
      <c r="AI28" s="10" t="s">
        <v>323</v>
      </c>
      <c r="AJ28" s="10" t="s">
        <v>324</v>
      </c>
      <c r="AK28" s="10" t="s">
        <v>325</v>
      </c>
      <c r="AL28" s="10" t="s">
        <v>326</v>
      </c>
      <c r="AM28" s="10" t="s">
        <v>327</v>
      </c>
      <c r="AN28" s="10" t="s">
        <v>328</v>
      </c>
      <c r="AO28" s="10" t="s">
        <v>329</v>
      </c>
      <c r="AP28" s="10" t="s">
        <v>330</v>
      </c>
      <c r="AQ28" s="110"/>
    </row>
    <row r="29" spans="1:45" x14ac:dyDescent="0.25">
      <c r="A29" t="s">
        <v>29</v>
      </c>
      <c r="B29" s="15" t="str">
        <f>B11</f>
        <v>POR</v>
      </c>
      <c r="C29" s="18"/>
      <c r="D29" s="18" t="s">
        <v>72</v>
      </c>
      <c r="E29" s="18">
        <v>20</v>
      </c>
      <c r="F29" s="18">
        <v>50</v>
      </c>
      <c r="G29" s="111">
        <v>17</v>
      </c>
      <c r="H29" s="111">
        <f t="shared" ref="H29:O44" si="6">AB11</f>
        <v>2</v>
      </c>
      <c r="I29" s="111">
        <f t="shared" si="6"/>
        <v>0</v>
      </c>
      <c r="J29" s="111">
        <f t="shared" si="6"/>
        <v>0</v>
      </c>
      <c r="K29" s="111">
        <f t="shared" si="6"/>
        <v>0</v>
      </c>
      <c r="L29" s="111">
        <f t="shared" si="6"/>
        <v>0</v>
      </c>
      <c r="M29" s="111">
        <f t="shared" si="6"/>
        <v>2</v>
      </c>
      <c r="N29" s="47">
        <f>(31720)*1.008</f>
        <v>31973.760000000002</v>
      </c>
      <c r="O29" s="217">
        <v>62</v>
      </c>
      <c r="P29" s="217">
        <f t="shared" ref="P29:U44" si="7">AJ11</f>
        <v>0</v>
      </c>
      <c r="Q29" s="217">
        <f t="shared" si="7"/>
        <v>0</v>
      </c>
      <c r="R29" s="217">
        <f t="shared" si="7"/>
        <v>0</v>
      </c>
      <c r="S29" s="217">
        <f t="shared" si="7"/>
        <v>0</v>
      </c>
      <c r="T29" s="217">
        <f t="shared" si="7"/>
        <v>0</v>
      </c>
      <c r="U29" s="217">
        <f t="shared" si="7"/>
        <v>0</v>
      </c>
      <c r="V29" s="66">
        <f>SUM(O29:U29)</f>
        <v>62</v>
      </c>
      <c r="X29" t="s">
        <v>29</v>
      </c>
      <c r="Y29" s="18">
        <v>22</v>
      </c>
      <c r="Z29" s="18">
        <f>F29+(AR33*7)-112-112</f>
        <v>36</v>
      </c>
      <c r="AA29" s="111">
        <f>G29</f>
        <v>17</v>
      </c>
      <c r="AB29" s="111">
        <v>9</v>
      </c>
      <c r="AC29" s="111">
        <f t="shared" ref="AC29:AG44" si="8">I29</f>
        <v>0</v>
      </c>
      <c r="AD29" s="111">
        <f t="shared" si="8"/>
        <v>0</v>
      </c>
      <c r="AE29" s="111">
        <f t="shared" si="8"/>
        <v>0</v>
      </c>
      <c r="AF29" s="111">
        <f t="shared" si="8"/>
        <v>0</v>
      </c>
      <c r="AG29" s="111">
        <f t="shared" si="8"/>
        <v>2</v>
      </c>
      <c r="AH29" s="47">
        <f>(31720+655)*1.008</f>
        <v>32634</v>
      </c>
      <c r="AI29" s="217">
        <f>O29</f>
        <v>62</v>
      </c>
      <c r="AJ29" s="217">
        <f>P29+AR33</f>
        <v>30</v>
      </c>
      <c r="AK29" s="217">
        <f t="shared" ref="AK29:AO44" si="9">Q29</f>
        <v>0</v>
      </c>
      <c r="AL29" s="217">
        <f t="shared" si="9"/>
        <v>0</v>
      </c>
      <c r="AM29" s="217">
        <f t="shared" si="9"/>
        <v>0</v>
      </c>
      <c r="AN29" s="217">
        <f t="shared" si="9"/>
        <v>0</v>
      </c>
      <c r="AO29" s="217">
        <f t="shared" si="9"/>
        <v>0</v>
      </c>
      <c r="AP29" s="66">
        <f>SUM(AI29:AO29)</f>
        <v>92</v>
      </c>
      <c r="AQ29" s="110"/>
    </row>
    <row r="30" spans="1:45" x14ac:dyDescent="0.25">
      <c r="A30" t="s">
        <v>32</v>
      </c>
      <c r="B30" s="15" t="str">
        <f t="shared" ref="B30:D44" si="10">B12</f>
        <v>DEF</v>
      </c>
      <c r="C30" s="18" t="str">
        <f t="shared" si="10"/>
        <v>TEC</v>
      </c>
      <c r="D30" s="18" t="str">
        <f t="shared" si="10"/>
        <v>J. G. de Minaya</v>
      </c>
      <c r="E30" s="18">
        <f>Y12</f>
        <v>20</v>
      </c>
      <c r="F30" s="18">
        <f>Z12</f>
        <v>46.5</v>
      </c>
      <c r="G30" s="111">
        <f>AA12</f>
        <v>0</v>
      </c>
      <c r="H30" s="111">
        <f t="shared" si="6"/>
        <v>6</v>
      </c>
      <c r="I30" s="111">
        <f t="shared" si="6"/>
        <v>5</v>
      </c>
      <c r="J30" s="111">
        <f t="shared" si="6"/>
        <v>12.285714285714286</v>
      </c>
      <c r="K30" s="111">
        <f t="shared" si="6"/>
        <v>5</v>
      </c>
      <c r="L30" s="111">
        <f t="shared" si="6"/>
        <v>8</v>
      </c>
      <c r="M30" s="111">
        <f t="shared" si="6"/>
        <v>0</v>
      </c>
      <c r="N30" s="47">
        <f t="shared" si="6"/>
        <v>5840</v>
      </c>
      <c r="O30" s="217">
        <f t="shared" si="6"/>
        <v>0</v>
      </c>
      <c r="P30" s="217">
        <f t="shared" si="7"/>
        <v>14</v>
      </c>
      <c r="Q30" s="217">
        <f t="shared" si="7"/>
        <v>9</v>
      </c>
      <c r="R30" s="217">
        <f t="shared" si="7"/>
        <v>35</v>
      </c>
      <c r="S30" s="217">
        <f t="shared" si="7"/>
        <v>7</v>
      </c>
      <c r="T30" s="217">
        <f t="shared" si="7"/>
        <v>21</v>
      </c>
      <c r="U30" s="217">
        <v>-2</v>
      </c>
      <c r="V30" s="66">
        <f>SUM(O30:U30)</f>
        <v>84</v>
      </c>
      <c r="X30" t="s">
        <v>32</v>
      </c>
      <c r="Y30" s="18">
        <v>22</v>
      </c>
      <c r="Z30" s="18">
        <f>F30+(AR33*7)-112-112</f>
        <v>32.5</v>
      </c>
      <c r="AA30" s="111">
        <f t="shared" ref="AA30:AB44" si="11">G30</f>
        <v>0</v>
      </c>
      <c r="AB30" s="111">
        <f>10+7/9</f>
        <v>10.777777777777779</v>
      </c>
      <c r="AC30" s="111">
        <f t="shared" si="8"/>
        <v>5</v>
      </c>
      <c r="AD30" s="111">
        <f t="shared" si="8"/>
        <v>12.285714285714286</v>
      </c>
      <c r="AE30" s="111">
        <f t="shared" si="8"/>
        <v>5</v>
      </c>
      <c r="AF30" s="111">
        <f t="shared" si="8"/>
        <v>8</v>
      </c>
      <c r="AG30" s="111">
        <f t="shared" si="8"/>
        <v>0</v>
      </c>
      <c r="AH30" s="47">
        <f>(5000+1800+135+135+405)*1</f>
        <v>7475</v>
      </c>
      <c r="AI30" s="217">
        <f t="shared" ref="AI30:AJ44" si="12">O30</f>
        <v>0</v>
      </c>
      <c r="AJ30" s="217">
        <f>P30+AR33</f>
        <v>44</v>
      </c>
      <c r="AK30" s="217">
        <f t="shared" si="9"/>
        <v>9</v>
      </c>
      <c r="AL30" s="217">
        <f t="shared" si="9"/>
        <v>35</v>
      </c>
      <c r="AM30" s="217">
        <f t="shared" si="9"/>
        <v>7</v>
      </c>
      <c r="AN30" s="217">
        <f t="shared" si="9"/>
        <v>21</v>
      </c>
      <c r="AO30" s="217">
        <f t="shared" si="9"/>
        <v>-2</v>
      </c>
      <c r="AP30" s="66">
        <f>SUM(AI30:AO30)</f>
        <v>114</v>
      </c>
      <c r="AQ30" s="110"/>
    </row>
    <row r="31" spans="1:45" x14ac:dyDescent="0.25">
      <c r="A31" t="s">
        <v>33</v>
      </c>
      <c r="B31" s="15" t="str">
        <f t="shared" si="10"/>
        <v>DEF</v>
      </c>
      <c r="C31" s="18" t="s">
        <v>45</v>
      </c>
      <c r="D31" s="18" t="s">
        <v>336</v>
      </c>
      <c r="E31" s="18">
        <v>20</v>
      </c>
      <c r="F31" s="18">
        <v>50</v>
      </c>
      <c r="G31" s="111">
        <f>AA13</f>
        <v>0</v>
      </c>
      <c r="H31" s="111">
        <v>10</v>
      </c>
      <c r="I31" s="111">
        <v>4</v>
      </c>
      <c r="J31" s="111">
        <v>4</v>
      </c>
      <c r="K31" s="111">
        <v>10</v>
      </c>
      <c r="L31" s="111">
        <f t="shared" si="6"/>
        <v>2</v>
      </c>
      <c r="M31" s="111">
        <f t="shared" si="6"/>
        <v>2</v>
      </c>
      <c r="N31" s="47">
        <f>(2330+125+125+785)*1.008</f>
        <v>3391.92</v>
      </c>
      <c r="O31" s="217">
        <f t="shared" si="6"/>
        <v>0</v>
      </c>
      <c r="P31" s="217">
        <v>37</v>
      </c>
      <c r="Q31" s="217">
        <v>6</v>
      </c>
      <c r="R31" s="217">
        <v>3.5</v>
      </c>
      <c r="S31" s="217">
        <v>29</v>
      </c>
      <c r="T31" s="217">
        <f t="shared" si="7"/>
        <v>0</v>
      </c>
      <c r="U31" s="217">
        <f t="shared" si="7"/>
        <v>0</v>
      </c>
      <c r="V31" s="66">
        <f>SUM(O31:U31)</f>
        <v>75.5</v>
      </c>
      <c r="X31" t="s">
        <v>33</v>
      </c>
      <c r="Y31" s="18">
        <v>22</v>
      </c>
      <c r="Z31" s="18">
        <f>F31+(AR33*7)-112-112</f>
        <v>36</v>
      </c>
      <c r="AA31" s="111">
        <f t="shared" si="11"/>
        <v>0</v>
      </c>
      <c r="AB31" s="111">
        <v>13</v>
      </c>
      <c r="AC31" s="111">
        <f t="shared" si="8"/>
        <v>4</v>
      </c>
      <c r="AD31" s="111">
        <f t="shared" si="8"/>
        <v>4</v>
      </c>
      <c r="AE31" s="111">
        <f t="shared" si="8"/>
        <v>10</v>
      </c>
      <c r="AF31" s="111">
        <f t="shared" si="8"/>
        <v>2</v>
      </c>
      <c r="AG31" s="111">
        <f t="shared" si="8"/>
        <v>2</v>
      </c>
      <c r="AH31" s="47">
        <f>(11470+125+125+785)*1.008</f>
        <v>12605.04</v>
      </c>
      <c r="AI31" s="217">
        <f t="shared" si="12"/>
        <v>0</v>
      </c>
      <c r="AJ31" s="217">
        <f>P31+AR33</f>
        <v>67</v>
      </c>
      <c r="AK31" s="217">
        <f t="shared" si="9"/>
        <v>6</v>
      </c>
      <c r="AL31" s="217">
        <f t="shared" si="9"/>
        <v>3.5</v>
      </c>
      <c r="AM31" s="217">
        <f t="shared" si="9"/>
        <v>29</v>
      </c>
      <c r="AN31" s="217">
        <f t="shared" si="9"/>
        <v>0</v>
      </c>
      <c r="AO31" s="217">
        <f t="shared" si="9"/>
        <v>0</v>
      </c>
      <c r="AP31" s="66">
        <f>SUM(AI31:AO31)</f>
        <v>105.5</v>
      </c>
      <c r="AQ31" s="110"/>
    </row>
    <row r="32" spans="1:45" x14ac:dyDescent="0.25">
      <c r="A32" t="s">
        <v>39</v>
      </c>
      <c r="B32" s="15" t="str">
        <f t="shared" si="10"/>
        <v>DEF</v>
      </c>
      <c r="C32" s="18" t="s">
        <v>177</v>
      </c>
      <c r="D32" s="18" t="s">
        <v>336</v>
      </c>
      <c r="E32" s="18">
        <v>20</v>
      </c>
      <c r="F32" s="18">
        <v>50</v>
      </c>
      <c r="G32" s="111">
        <f>AA14</f>
        <v>0</v>
      </c>
      <c r="H32" s="111">
        <v>10</v>
      </c>
      <c r="I32" s="111">
        <v>4</v>
      </c>
      <c r="J32" s="111">
        <v>4</v>
      </c>
      <c r="K32" s="111">
        <v>10</v>
      </c>
      <c r="L32" s="111">
        <f t="shared" si="6"/>
        <v>2</v>
      </c>
      <c r="M32" s="111">
        <f t="shared" si="6"/>
        <v>2</v>
      </c>
      <c r="N32" s="47">
        <f>(2330+125+125+785)*1.008</f>
        <v>3391.92</v>
      </c>
      <c r="O32" s="217">
        <f t="shared" si="6"/>
        <v>0</v>
      </c>
      <c r="P32" s="217">
        <v>37</v>
      </c>
      <c r="Q32" s="217">
        <v>6</v>
      </c>
      <c r="R32" s="217">
        <v>3.5</v>
      </c>
      <c r="S32" s="217">
        <v>29</v>
      </c>
      <c r="T32" s="217">
        <f t="shared" si="7"/>
        <v>0</v>
      </c>
      <c r="U32" s="217">
        <f t="shared" si="7"/>
        <v>0</v>
      </c>
      <c r="V32" s="66">
        <f>SUM(O32:U32)</f>
        <v>75.5</v>
      </c>
      <c r="X32" t="s">
        <v>39</v>
      </c>
      <c r="Y32" s="18">
        <v>22</v>
      </c>
      <c r="Z32" s="18">
        <f>F32+(AR33*7)-112-112</f>
        <v>36</v>
      </c>
      <c r="AA32" s="111">
        <f t="shared" si="11"/>
        <v>0</v>
      </c>
      <c r="AB32" s="111">
        <v>13</v>
      </c>
      <c r="AC32" s="111">
        <f t="shared" si="8"/>
        <v>4</v>
      </c>
      <c r="AD32" s="111">
        <f t="shared" si="8"/>
        <v>4</v>
      </c>
      <c r="AE32" s="111">
        <f t="shared" si="8"/>
        <v>10</v>
      </c>
      <c r="AF32" s="111">
        <f t="shared" si="8"/>
        <v>2</v>
      </c>
      <c r="AG32" s="111">
        <f t="shared" si="8"/>
        <v>2</v>
      </c>
      <c r="AH32" s="47">
        <f>(11470+125+125+785)*1.008</f>
        <v>12605.04</v>
      </c>
      <c r="AI32" s="217">
        <f t="shared" si="12"/>
        <v>0</v>
      </c>
      <c r="AJ32" s="217">
        <f>P32+AR33</f>
        <v>67</v>
      </c>
      <c r="AK32" s="217">
        <f t="shared" si="9"/>
        <v>6</v>
      </c>
      <c r="AL32" s="217">
        <f t="shared" si="9"/>
        <v>3.5</v>
      </c>
      <c r="AM32" s="217">
        <f t="shared" si="9"/>
        <v>29</v>
      </c>
      <c r="AN32" s="217">
        <f t="shared" si="9"/>
        <v>0</v>
      </c>
      <c r="AO32" s="217">
        <f t="shared" si="9"/>
        <v>0</v>
      </c>
      <c r="AP32" s="66">
        <f>SUM(AI32:AO32)</f>
        <v>105.5</v>
      </c>
      <c r="AQ32" s="110"/>
      <c r="AR32" t="s">
        <v>375</v>
      </c>
      <c r="AS32" t="s">
        <v>376</v>
      </c>
    </row>
    <row r="33" spans="1:45" x14ac:dyDescent="0.25">
      <c r="A33" t="s">
        <v>41</v>
      </c>
      <c r="B33" s="15" t="str">
        <f t="shared" si="10"/>
        <v>DEF</v>
      </c>
      <c r="C33" s="18" t="s">
        <v>0</v>
      </c>
      <c r="D33" s="18" t="s">
        <v>336</v>
      </c>
      <c r="E33" s="18">
        <v>20</v>
      </c>
      <c r="F33" s="18">
        <v>50</v>
      </c>
      <c r="G33" s="111">
        <f>AA15</f>
        <v>0</v>
      </c>
      <c r="H33" s="111">
        <v>10</v>
      </c>
      <c r="I33" s="111">
        <v>4</v>
      </c>
      <c r="J33" s="111">
        <v>4</v>
      </c>
      <c r="K33" s="111">
        <v>10</v>
      </c>
      <c r="L33" s="111">
        <f t="shared" si="6"/>
        <v>2</v>
      </c>
      <c r="M33" s="111">
        <f t="shared" si="6"/>
        <v>2</v>
      </c>
      <c r="N33" s="47">
        <f>(2330+125+125+785)*1.008</f>
        <v>3391.92</v>
      </c>
      <c r="O33" s="217">
        <f t="shared" si="6"/>
        <v>0</v>
      </c>
      <c r="P33" s="217">
        <v>37</v>
      </c>
      <c r="Q33" s="217">
        <v>6</v>
      </c>
      <c r="R33" s="217">
        <v>3.5</v>
      </c>
      <c r="S33" s="217">
        <v>29</v>
      </c>
      <c r="T33" s="217">
        <f t="shared" si="7"/>
        <v>0</v>
      </c>
      <c r="U33" s="217">
        <f t="shared" si="7"/>
        <v>0</v>
      </c>
      <c r="V33" s="66">
        <f t="shared" ref="V33:V39" si="13">SUM(O33:U33)</f>
        <v>75.5</v>
      </c>
      <c r="X33" t="s">
        <v>41</v>
      </c>
      <c r="Y33" s="18">
        <v>22</v>
      </c>
      <c r="Z33" s="18">
        <f>F33+(AR33*7)-112-112</f>
        <v>36</v>
      </c>
      <c r="AA33" s="111">
        <f t="shared" si="11"/>
        <v>0</v>
      </c>
      <c r="AB33" s="111">
        <v>13</v>
      </c>
      <c r="AC33" s="111">
        <f t="shared" si="8"/>
        <v>4</v>
      </c>
      <c r="AD33" s="111">
        <f t="shared" si="8"/>
        <v>4</v>
      </c>
      <c r="AE33" s="111">
        <f t="shared" si="8"/>
        <v>10</v>
      </c>
      <c r="AF33" s="111">
        <f t="shared" si="8"/>
        <v>2</v>
      </c>
      <c r="AG33" s="111">
        <f t="shared" si="8"/>
        <v>2</v>
      </c>
      <c r="AH33" s="47">
        <f>(11470+125+125+785)*1.008</f>
        <v>12605.04</v>
      </c>
      <c r="AI33" s="217">
        <f t="shared" si="12"/>
        <v>0</v>
      </c>
      <c r="AJ33" s="217">
        <f>P33+AR33</f>
        <v>67</v>
      </c>
      <c r="AK33" s="217">
        <f t="shared" si="9"/>
        <v>6</v>
      </c>
      <c r="AL33" s="217">
        <f t="shared" si="9"/>
        <v>3.5</v>
      </c>
      <c r="AM33" s="217">
        <f t="shared" si="9"/>
        <v>29</v>
      </c>
      <c r="AN33" s="217">
        <f t="shared" si="9"/>
        <v>0</v>
      </c>
      <c r="AO33" s="217">
        <f t="shared" si="9"/>
        <v>0</v>
      </c>
      <c r="AP33" s="66">
        <f t="shared" ref="AP33:AP39" si="14">SUM(AI33:AO33)</f>
        <v>105.5</v>
      </c>
      <c r="AQ33" s="110" t="s">
        <v>30</v>
      </c>
      <c r="AR33">
        <f>67-37</f>
        <v>30</v>
      </c>
      <c r="AS33" s="37">
        <f>AR33/16</f>
        <v>1.875</v>
      </c>
    </row>
    <row r="34" spans="1:45" x14ac:dyDescent="0.25">
      <c r="A34" t="s">
        <v>38</v>
      </c>
      <c r="B34" s="15" t="str">
        <f t="shared" si="10"/>
        <v>DEF</v>
      </c>
      <c r="C34" s="18" t="s">
        <v>0</v>
      </c>
      <c r="D34" s="18" t="s">
        <v>336</v>
      </c>
      <c r="E34" s="18">
        <v>20</v>
      </c>
      <c r="F34" s="18">
        <v>50</v>
      </c>
      <c r="G34" s="111">
        <f>AA16</f>
        <v>0</v>
      </c>
      <c r="H34" s="111">
        <v>10</v>
      </c>
      <c r="I34" s="111">
        <v>4</v>
      </c>
      <c r="J34" s="111">
        <v>4</v>
      </c>
      <c r="K34" s="111">
        <v>10</v>
      </c>
      <c r="L34" s="111">
        <f t="shared" si="6"/>
        <v>2</v>
      </c>
      <c r="M34" s="111">
        <f t="shared" si="6"/>
        <v>2</v>
      </c>
      <c r="N34" s="47">
        <f>(2330+125+125+785)*1.008</f>
        <v>3391.92</v>
      </c>
      <c r="O34" s="217">
        <f t="shared" si="6"/>
        <v>0</v>
      </c>
      <c r="P34" s="217">
        <v>37</v>
      </c>
      <c r="Q34" s="217">
        <v>6</v>
      </c>
      <c r="R34" s="217">
        <v>3.5</v>
      </c>
      <c r="S34" s="217">
        <v>29</v>
      </c>
      <c r="T34" s="217">
        <f t="shared" si="7"/>
        <v>0</v>
      </c>
      <c r="U34" s="217">
        <f t="shared" si="7"/>
        <v>0</v>
      </c>
      <c r="V34" s="66">
        <f t="shared" si="13"/>
        <v>75.5</v>
      </c>
      <c r="X34" t="s">
        <v>38</v>
      </c>
      <c r="Y34" s="18">
        <v>22</v>
      </c>
      <c r="Z34" s="18">
        <f>F34+(AR33*7)-112-112</f>
        <v>36</v>
      </c>
      <c r="AA34" s="111">
        <f t="shared" si="11"/>
        <v>0</v>
      </c>
      <c r="AB34" s="111">
        <v>13</v>
      </c>
      <c r="AC34" s="111">
        <f t="shared" si="8"/>
        <v>4</v>
      </c>
      <c r="AD34" s="111">
        <f t="shared" si="8"/>
        <v>4</v>
      </c>
      <c r="AE34" s="111">
        <f t="shared" si="8"/>
        <v>10</v>
      </c>
      <c r="AF34" s="111">
        <f t="shared" si="8"/>
        <v>2</v>
      </c>
      <c r="AG34" s="111">
        <f t="shared" si="8"/>
        <v>2</v>
      </c>
      <c r="AH34" s="47">
        <f>(11470+125+125+785)*1.008</f>
        <v>12605.04</v>
      </c>
      <c r="AI34" s="217">
        <f t="shared" si="12"/>
        <v>0</v>
      </c>
      <c r="AJ34" s="217">
        <f>P34+AR33</f>
        <v>67</v>
      </c>
      <c r="AK34" s="217">
        <f t="shared" si="9"/>
        <v>6</v>
      </c>
      <c r="AL34" s="217">
        <f t="shared" si="9"/>
        <v>3.5</v>
      </c>
      <c r="AM34" s="217">
        <f t="shared" si="9"/>
        <v>29</v>
      </c>
      <c r="AN34" s="217">
        <f t="shared" si="9"/>
        <v>0</v>
      </c>
      <c r="AO34" s="217">
        <f t="shared" si="9"/>
        <v>0</v>
      </c>
      <c r="AP34" s="66">
        <f t="shared" si="14"/>
        <v>105.5</v>
      </c>
      <c r="AQ34" s="110"/>
    </row>
    <row r="35" spans="1:45" x14ac:dyDescent="0.25">
      <c r="A35" t="s">
        <v>35</v>
      </c>
      <c r="B35" s="15" t="str">
        <f t="shared" si="10"/>
        <v>DEF</v>
      </c>
      <c r="C35" s="18" t="s">
        <v>0</v>
      </c>
      <c r="D35" s="18" t="s">
        <v>336</v>
      </c>
      <c r="E35" s="18">
        <v>20</v>
      </c>
      <c r="F35" s="18">
        <v>50</v>
      </c>
      <c r="G35" s="111">
        <f>AA17</f>
        <v>0</v>
      </c>
      <c r="H35" s="111">
        <v>10</v>
      </c>
      <c r="I35" s="111">
        <v>4</v>
      </c>
      <c r="J35" s="111">
        <v>4</v>
      </c>
      <c r="K35" s="111">
        <v>10</v>
      </c>
      <c r="L35" s="111">
        <f t="shared" si="6"/>
        <v>2</v>
      </c>
      <c r="M35" s="111">
        <f t="shared" si="6"/>
        <v>2</v>
      </c>
      <c r="N35" s="47">
        <f>(2330+125+125+785)*1.008</f>
        <v>3391.92</v>
      </c>
      <c r="O35" s="217">
        <f t="shared" si="6"/>
        <v>0</v>
      </c>
      <c r="P35" s="217">
        <v>37</v>
      </c>
      <c r="Q35" s="217">
        <v>6</v>
      </c>
      <c r="R35" s="217">
        <v>3.5</v>
      </c>
      <c r="S35" s="217">
        <v>29</v>
      </c>
      <c r="T35" s="217">
        <f t="shared" si="7"/>
        <v>0</v>
      </c>
      <c r="U35" s="217">
        <f t="shared" si="7"/>
        <v>0</v>
      </c>
      <c r="V35" s="66">
        <f t="shared" si="13"/>
        <v>75.5</v>
      </c>
      <c r="X35" t="s">
        <v>35</v>
      </c>
      <c r="Y35" s="18">
        <v>22</v>
      </c>
      <c r="Z35" s="18">
        <f>F35+(AR33*7)-112-112</f>
        <v>36</v>
      </c>
      <c r="AA35" s="111">
        <f t="shared" si="11"/>
        <v>0</v>
      </c>
      <c r="AB35" s="111">
        <v>13</v>
      </c>
      <c r="AC35" s="111">
        <f t="shared" si="8"/>
        <v>4</v>
      </c>
      <c r="AD35" s="111">
        <f t="shared" si="8"/>
        <v>4</v>
      </c>
      <c r="AE35" s="111">
        <f t="shared" si="8"/>
        <v>10</v>
      </c>
      <c r="AF35" s="111">
        <f t="shared" si="8"/>
        <v>2</v>
      </c>
      <c r="AG35" s="111">
        <f t="shared" si="8"/>
        <v>2</v>
      </c>
      <c r="AH35" s="47">
        <f>(11470+125+125+785)*1.008</f>
        <v>12605.04</v>
      </c>
      <c r="AI35" s="217">
        <f t="shared" si="12"/>
        <v>0</v>
      </c>
      <c r="AJ35" s="217">
        <f>P35+AR33</f>
        <v>67</v>
      </c>
      <c r="AK35" s="217">
        <f t="shared" si="9"/>
        <v>6</v>
      </c>
      <c r="AL35" s="217">
        <f t="shared" si="9"/>
        <v>3.5</v>
      </c>
      <c r="AM35" s="217">
        <f t="shared" si="9"/>
        <v>29</v>
      </c>
      <c r="AN35" s="217">
        <f t="shared" si="9"/>
        <v>0</v>
      </c>
      <c r="AO35" s="217">
        <f t="shared" si="9"/>
        <v>0</v>
      </c>
      <c r="AP35" s="66">
        <f t="shared" si="14"/>
        <v>105.5</v>
      </c>
      <c r="AQ35" s="110"/>
    </row>
    <row r="36" spans="1:45" x14ac:dyDescent="0.25">
      <c r="A36" t="s">
        <v>31</v>
      </c>
      <c r="B36" s="15" t="str">
        <f t="shared" si="10"/>
        <v>DEF</v>
      </c>
      <c r="C36" s="18"/>
      <c r="D36" s="18">
        <f t="shared" si="10"/>
        <v>0</v>
      </c>
      <c r="E36" s="18">
        <f t="shared" ref="E36:G44" si="15">Y18</f>
        <v>0</v>
      </c>
      <c r="F36" s="18">
        <f t="shared" si="15"/>
        <v>0</v>
      </c>
      <c r="G36" s="111">
        <f t="shared" si="15"/>
        <v>0</v>
      </c>
      <c r="H36" s="111">
        <f t="shared" si="6"/>
        <v>2</v>
      </c>
      <c r="I36" s="111">
        <f t="shared" si="6"/>
        <v>2</v>
      </c>
      <c r="J36" s="111">
        <f t="shared" si="6"/>
        <v>2</v>
      </c>
      <c r="K36" s="111">
        <f t="shared" si="6"/>
        <v>2</v>
      </c>
      <c r="L36" s="111">
        <f t="shared" si="6"/>
        <v>2</v>
      </c>
      <c r="M36" s="111">
        <f t="shared" si="6"/>
        <v>2</v>
      </c>
      <c r="N36" s="47">
        <f t="shared" si="6"/>
        <v>0</v>
      </c>
      <c r="O36" s="217">
        <f t="shared" si="6"/>
        <v>0</v>
      </c>
      <c r="P36" s="217">
        <f t="shared" si="7"/>
        <v>0</v>
      </c>
      <c r="Q36" s="217">
        <f t="shared" si="7"/>
        <v>0</v>
      </c>
      <c r="R36" s="217">
        <f t="shared" si="7"/>
        <v>0</v>
      </c>
      <c r="S36" s="217">
        <f t="shared" si="7"/>
        <v>0</v>
      </c>
      <c r="T36" s="217">
        <f t="shared" si="7"/>
        <v>0</v>
      </c>
      <c r="U36" s="217">
        <f t="shared" si="7"/>
        <v>0</v>
      </c>
      <c r="V36" s="66">
        <f t="shared" si="13"/>
        <v>0</v>
      </c>
      <c r="X36" t="s">
        <v>31</v>
      </c>
      <c r="Y36" s="18"/>
      <c r="Z36" s="18"/>
      <c r="AA36" s="111">
        <f t="shared" si="11"/>
        <v>0</v>
      </c>
      <c r="AB36" s="111">
        <f t="shared" si="11"/>
        <v>2</v>
      </c>
      <c r="AC36" s="111">
        <f t="shared" si="8"/>
        <v>2</v>
      </c>
      <c r="AD36" s="111">
        <f t="shared" si="8"/>
        <v>2</v>
      </c>
      <c r="AE36" s="111">
        <f t="shared" si="8"/>
        <v>2</v>
      </c>
      <c r="AF36" s="111">
        <f t="shared" si="8"/>
        <v>2</v>
      </c>
      <c r="AG36" s="111">
        <f t="shared" si="8"/>
        <v>2</v>
      </c>
      <c r="AH36" s="47"/>
      <c r="AI36" s="217">
        <f t="shared" si="12"/>
        <v>0</v>
      </c>
      <c r="AJ36" s="217">
        <f t="shared" si="12"/>
        <v>0</v>
      </c>
      <c r="AK36" s="217">
        <f t="shared" si="9"/>
        <v>0</v>
      </c>
      <c r="AL36" s="217">
        <f t="shared" si="9"/>
        <v>0</v>
      </c>
      <c r="AM36" s="217">
        <f t="shared" si="9"/>
        <v>0</v>
      </c>
      <c r="AN36" s="217">
        <f t="shared" si="9"/>
        <v>0</v>
      </c>
      <c r="AO36" s="217">
        <f t="shared" si="9"/>
        <v>0</v>
      </c>
      <c r="AP36" s="66">
        <f t="shared" si="14"/>
        <v>0</v>
      </c>
      <c r="AQ36" s="110"/>
    </row>
    <row r="37" spans="1:45" x14ac:dyDescent="0.25">
      <c r="A37" t="s">
        <v>43</v>
      </c>
      <c r="B37" s="15" t="str">
        <f t="shared" si="10"/>
        <v>INN</v>
      </c>
      <c r="C37" s="18"/>
      <c r="D37" s="18">
        <f t="shared" si="10"/>
        <v>0</v>
      </c>
      <c r="E37" s="18">
        <f t="shared" si="15"/>
        <v>0</v>
      </c>
      <c r="F37" s="18">
        <f t="shared" si="15"/>
        <v>0</v>
      </c>
      <c r="G37" s="111">
        <f t="shared" si="15"/>
        <v>0</v>
      </c>
      <c r="H37" s="111">
        <f t="shared" si="6"/>
        <v>2</v>
      </c>
      <c r="I37" s="111">
        <f t="shared" si="6"/>
        <v>2</v>
      </c>
      <c r="J37" s="111">
        <f t="shared" si="6"/>
        <v>2</v>
      </c>
      <c r="K37" s="111">
        <f t="shared" si="6"/>
        <v>2</v>
      </c>
      <c r="L37" s="111">
        <f t="shared" si="6"/>
        <v>2</v>
      </c>
      <c r="M37" s="111">
        <f t="shared" si="6"/>
        <v>2</v>
      </c>
      <c r="N37" s="47">
        <f t="shared" si="6"/>
        <v>0</v>
      </c>
      <c r="O37" s="217">
        <f t="shared" si="6"/>
        <v>0</v>
      </c>
      <c r="P37" s="217">
        <f t="shared" si="7"/>
        <v>0</v>
      </c>
      <c r="Q37" s="217">
        <f t="shared" si="7"/>
        <v>0</v>
      </c>
      <c r="R37" s="217">
        <f t="shared" si="7"/>
        <v>0</v>
      </c>
      <c r="S37" s="217">
        <f t="shared" si="7"/>
        <v>0</v>
      </c>
      <c r="T37" s="217">
        <f t="shared" si="7"/>
        <v>0</v>
      </c>
      <c r="U37" s="217">
        <f t="shared" si="7"/>
        <v>0</v>
      </c>
      <c r="V37" s="66">
        <f t="shared" si="13"/>
        <v>0</v>
      </c>
      <c r="X37" t="s">
        <v>43</v>
      </c>
      <c r="Y37" s="18"/>
      <c r="Z37" s="18"/>
      <c r="AA37" s="111">
        <f t="shared" si="11"/>
        <v>0</v>
      </c>
      <c r="AB37" s="111">
        <f t="shared" si="11"/>
        <v>2</v>
      </c>
      <c r="AC37" s="111">
        <f t="shared" si="8"/>
        <v>2</v>
      </c>
      <c r="AD37" s="111">
        <f t="shared" si="8"/>
        <v>2</v>
      </c>
      <c r="AE37" s="111">
        <f t="shared" si="8"/>
        <v>2</v>
      </c>
      <c r="AF37" s="111">
        <f t="shared" si="8"/>
        <v>2</v>
      </c>
      <c r="AG37" s="111">
        <f t="shared" si="8"/>
        <v>2</v>
      </c>
      <c r="AH37" s="47"/>
      <c r="AI37" s="217">
        <f t="shared" si="12"/>
        <v>0</v>
      </c>
      <c r="AJ37" s="217">
        <f t="shared" si="12"/>
        <v>0</v>
      </c>
      <c r="AK37" s="217">
        <f t="shared" si="9"/>
        <v>0</v>
      </c>
      <c r="AL37" s="217">
        <f t="shared" si="9"/>
        <v>0</v>
      </c>
      <c r="AM37" s="217">
        <f t="shared" si="9"/>
        <v>0</v>
      </c>
      <c r="AN37" s="217">
        <f t="shared" si="9"/>
        <v>0</v>
      </c>
      <c r="AO37" s="217">
        <f t="shared" si="9"/>
        <v>0</v>
      </c>
      <c r="AP37" s="66">
        <f t="shared" si="14"/>
        <v>0</v>
      </c>
      <c r="AQ37" s="110"/>
    </row>
    <row r="38" spans="1:45" x14ac:dyDescent="0.25">
      <c r="A38" t="s">
        <v>43</v>
      </c>
      <c r="B38" s="15" t="str">
        <f t="shared" si="10"/>
        <v>INN</v>
      </c>
      <c r="C38" s="18"/>
      <c r="D38" s="18">
        <f t="shared" si="10"/>
        <v>0</v>
      </c>
      <c r="E38" s="18">
        <f t="shared" si="15"/>
        <v>0</v>
      </c>
      <c r="F38" s="18">
        <f t="shared" si="15"/>
        <v>0</v>
      </c>
      <c r="G38" s="111">
        <f t="shared" si="15"/>
        <v>0</v>
      </c>
      <c r="H38" s="111">
        <f t="shared" si="6"/>
        <v>2</v>
      </c>
      <c r="I38" s="111">
        <f t="shared" si="6"/>
        <v>2</v>
      </c>
      <c r="J38" s="111">
        <f t="shared" si="6"/>
        <v>2</v>
      </c>
      <c r="K38" s="111">
        <f t="shared" si="6"/>
        <v>2</v>
      </c>
      <c r="L38" s="111">
        <f t="shared" si="6"/>
        <v>2</v>
      </c>
      <c r="M38" s="111">
        <f t="shared" si="6"/>
        <v>2</v>
      </c>
      <c r="N38" s="47">
        <f t="shared" si="6"/>
        <v>0</v>
      </c>
      <c r="O38" s="217">
        <f t="shared" si="6"/>
        <v>0</v>
      </c>
      <c r="P38" s="217">
        <f t="shared" si="7"/>
        <v>0</v>
      </c>
      <c r="Q38" s="217">
        <f t="shared" si="7"/>
        <v>0</v>
      </c>
      <c r="R38" s="217">
        <f t="shared" si="7"/>
        <v>0</v>
      </c>
      <c r="S38" s="217">
        <f t="shared" si="7"/>
        <v>0</v>
      </c>
      <c r="T38" s="217">
        <f t="shared" si="7"/>
        <v>0</v>
      </c>
      <c r="U38" s="217">
        <f t="shared" si="7"/>
        <v>0</v>
      </c>
      <c r="V38" s="66">
        <f t="shared" si="13"/>
        <v>0</v>
      </c>
      <c r="X38" t="s">
        <v>43</v>
      </c>
      <c r="Y38" s="18"/>
      <c r="Z38" s="18"/>
      <c r="AA38" s="111">
        <f t="shared" si="11"/>
        <v>0</v>
      </c>
      <c r="AB38" s="111">
        <f t="shared" si="11"/>
        <v>2</v>
      </c>
      <c r="AC38" s="111">
        <f t="shared" si="8"/>
        <v>2</v>
      </c>
      <c r="AD38" s="111">
        <f t="shared" si="8"/>
        <v>2</v>
      </c>
      <c r="AE38" s="111">
        <f t="shared" si="8"/>
        <v>2</v>
      </c>
      <c r="AF38" s="111">
        <f t="shared" si="8"/>
        <v>2</v>
      </c>
      <c r="AG38" s="111">
        <f t="shared" si="8"/>
        <v>2</v>
      </c>
      <c r="AH38" s="47"/>
      <c r="AI38" s="217">
        <f t="shared" si="12"/>
        <v>0</v>
      </c>
      <c r="AJ38" s="217">
        <f t="shared" si="12"/>
        <v>0</v>
      </c>
      <c r="AK38" s="217">
        <f t="shared" si="9"/>
        <v>0</v>
      </c>
      <c r="AL38" s="217">
        <f t="shared" si="9"/>
        <v>0</v>
      </c>
      <c r="AM38" s="217">
        <f t="shared" si="9"/>
        <v>0</v>
      </c>
      <c r="AN38" s="217">
        <f t="shared" si="9"/>
        <v>0</v>
      </c>
      <c r="AO38" s="217">
        <f t="shared" si="9"/>
        <v>0</v>
      </c>
      <c r="AP38" s="66">
        <f t="shared" si="14"/>
        <v>0</v>
      </c>
      <c r="AQ38" s="110"/>
    </row>
    <row r="39" spans="1:45" x14ac:dyDescent="0.25">
      <c r="A39" t="s">
        <v>36</v>
      </c>
      <c r="B39" s="15" t="str">
        <f t="shared" si="10"/>
        <v>EXT</v>
      </c>
      <c r="C39" s="18" t="str">
        <f t="shared" si="10"/>
        <v>RAP</v>
      </c>
      <c r="D39" s="18" t="str">
        <f t="shared" si="10"/>
        <v>E. Cubas</v>
      </c>
      <c r="E39" s="18">
        <f t="shared" si="15"/>
        <v>20</v>
      </c>
      <c r="F39" s="18">
        <f t="shared" si="15"/>
        <v>33.5</v>
      </c>
      <c r="G39" s="111">
        <f t="shared" si="15"/>
        <v>0</v>
      </c>
      <c r="H39" s="111">
        <f t="shared" si="6"/>
        <v>2</v>
      </c>
      <c r="I39" s="111">
        <f t="shared" si="6"/>
        <v>5.7</v>
      </c>
      <c r="J39" s="111">
        <f t="shared" si="6"/>
        <v>13.285714285714286</v>
      </c>
      <c r="K39" s="111">
        <f t="shared" si="6"/>
        <v>5.25</v>
      </c>
      <c r="L39" s="111">
        <f t="shared" si="6"/>
        <v>7.4</v>
      </c>
      <c r="M39" s="111">
        <f t="shared" si="6"/>
        <v>5</v>
      </c>
      <c r="N39" s="47">
        <f t="shared" si="6"/>
        <v>8732.52</v>
      </c>
      <c r="O39" s="217">
        <f t="shared" si="6"/>
        <v>0</v>
      </c>
      <c r="P39" s="217">
        <f t="shared" si="7"/>
        <v>0</v>
      </c>
      <c r="Q39" s="217">
        <f t="shared" si="7"/>
        <v>13</v>
      </c>
      <c r="R39" s="217">
        <f t="shared" si="7"/>
        <v>42</v>
      </c>
      <c r="S39" s="217">
        <f t="shared" si="7"/>
        <v>8</v>
      </c>
      <c r="T39" s="217">
        <f t="shared" si="7"/>
        <v>18</v>
      </c>
      <c r="U39" s="217">
        <f t="shared" si="7"/>
        <v>3</v>
      </c>
      <c r="V39" s="66">
        <f t="shared" si="13"/>
        <v>84</v>
      </c>
      <c r="X39" t="s">
        <v>36</v>
      </c>
      <c r="Y39" s="18">
        <v>22</v>
      </c>
      <c r="Z39" s="18">
        <f>F39+(AR33*7)-112-112</f>
        <v>19.5</v>
      </c>
      <c r="AA39" s="111">
        <f t="shared" si="11"/>
        <v>0</v>
      </c>
      <c r="AB39" s="111">
        <f>9</f>
        <v>9</v>
      </c>
      <c r="AC39" s="111">
        <f t="shared" si="8"/>
        <v>5.7</v>
      </c>
      <c r="AD39" s="111">
        <f t="shared" si="8"/>
        <v>13.285714285714286</v>
      </c>
      <c r="AE39" s="111">
        <f t="shared" si="8"/>
        <v>5.25</v>
      </c>
      <c r="AF39" s="111">
        <f t="shared" si="8"/>
        <v>7.4</v>
      </c>
      <c r="AG39" s="111">
        <f t="shared" si="8"/>
        <v>5</v>
      </c>
      <c r="AH39" s="47">
        <f>(155+8000+140+300+655)*1.016</f>
        <v>9398</v>
      </c>
      <c r="AI39" s="217">
        <f t="shared" si="12"/>
        <v>0</v>
      </c>
      <c r="AJ39" s="217">
        <f>P39+AR33</f>
        <v>30</v>
      </c>
      <c r="AK39" s="217">
        <f t="shared" si="9"/>
        <v>13</v>
      </c>
      <c r="AL39" s="217">
        <f t="shared" si="9"/>
        <v>42</v>
      </c>
      <c r="AM39" s="217">
        <f t="shared" si="9"/>
        <v>8</v>
      </c>
      <c r="AN39" s="217">
        <f t="shared" si="9"/>
        <v>18</v>
      </c>
      <c r="AO39" s="217">
        <f t="shared" si="9"/>
        <v>3</v>
      </c>
      <c r="AP39" s="66">
        <f t="shared" si="14"/>
        <v>114</v>
      </c>
      <c r="AQ39" s="110"/>
    </row>
    <row r="40" spans="1:45" x14ac:dyDescent="0.25">
      <c r="A40" t="s">
        <v>40</v>
      </c>
      <c r="B40" s="15" t="str">
        <f t="shared" si="10"/>
        <v>EXT</v>
      </c>
      <c r="C40" s="18" t="str">
        <f t="shared" si="10"/>
        <v>IMP</v>
      </c>
      <c r="D40" s="18" t="str">
        <f t="shared" si="10"/>
        <v>V. Gomis</v>
      </c>
      <c r="E40" s="18">
        <f t="shared" si="15"/>
        <v>20</v>
      </c>
      <c r="F40" s="18">
        <f t="shared" si="15"/>
        <v>37.5</v>
      </c>
      <c r="G40" s="111">
        <f t="shared" si="15"/>
        <v>0</v>
      </c>
      <c r="H40" s="111">
        <f t="shared" si="6"/>
        <v>6</v>
      </c>
      <c r="I40" s="111">
        <f t="shared" si="6"/>
        <v>3</v>
      </c>
      <c r="J40" s="111">
        <f t="shared" si="6"/>
        <v>12</v>
      </c>
      <c r="K40" s="111">
        <f t="shared" si="6"/>
        <v>5.2</v>
      </c>
      <c r="L40" s="111">
        <f t="shared" si="6"/>
        <v>7</v>
      </c>
      <c r="M40" s="111">
        <f t="shared" si="6"/>
        <v>3</v>
      </c>
      <c r="N40" s="47">
        <f t="shared" si="6"/>
        <v>5078.2160000000003</v>
      </c>
      <c r="O40" s="217">
        <f t="shared" si="6"/>
        <v>0</v>
      </c>
      <c r="P40" s="217">
        <f t="shared" si="7"/>
        <v>14</v>
      </c>
      <c r="Q40" s="217">
        <f t="shared" si="7"/>
        <v>3</v>
      </c>
      <c r="R40" s="217">
        <f t="shared" si="7"/>
        <v>33</v>
      </c>
      <c r="S40" s="217">
        <f t="shared" si="7"/>
        <v>8</v>
      </c>
      <c r="T40" s="217">
        <f t="shared" si="7"/>
        <v>16</v>
      </c>
      <c r="U40" s="217">
        <f t="shared" si="7"/>
        <v>1</v>
      </c>
      <c r="V40" s="66">
        <f>SUM(O40:U40)</f>
        <v>75</v>
      </c>
      <c r="X40" t="s">
        <v>40</v>
      </c>
      <c r="Y40" s="18">
        <v>22</v>
      </c>
      <c r="Z40" s="18">
        <f>F40+(AR33*7)-112-112</f>
        <v>23.5</v>
      </c>
      <c r="AA40" s="111">
        <f t="shared" si="11"/>
        <v>0</v>
      </c>
      <c r="AB40" s="111">
        <f>10+7/9</f>
        <v>10.777777777777779</v>
      </c>
      <c r="AC40" s="111">
        <f t="shared" si="8"/>
        <v>3</v>
      </c>
      <c r="AD40" s="111">
        <f t="shared" si="8"/>
        <v>12</v>
      </c>
      <c r="AE40" s="111">
        <f t="shared" si="8"/>
        <v>5.2</v>
      </c>
      <c r="AF40" s="111">
        <f t="shared" si="8"/>
        <v>7</v>
      </c>
      <c r="AG40" s="111">
        <f t="shared" si="8"/>
        <v>3</v>
      </c>
      <c r="AH40" s="47">
        <f>(1800+138+4470+245)*1.012</f>
        <v>6732.8360000000002</v>
      </c>
      <c r="AI40" s="217">
        <f t="shared" si="12"/>
        <v>0</v>
      </c>
      <c r="AJ40" s="217">
        <f>P40+AR33</f>
        <v>44</v>
      </c>
      <c r="AK40" s="217">
        <f t="shared" si="9"/>
        <v>3</v>
      </c>
      <c r="AL40" s="217">
        <f t="shared" si="9"/>
        <v>33</v>
      </c>
      <c r="AM40" s="217">
        <f t="shared" si="9"/>
        <v>8</v>
      </c>
      <c r="AN40" s="217">
        <f t="shared" si="9"/>
        <v>16</v>
      </c>
      <c r="AO40" s="217">
        <f t="shared" si="9"/>
        <v>1</v>
      </c>
      <c r="AP40" s="66">
        <f>SUM(AI40:AO40)</f>
        <v>105</v>
      </c>
      <c r="AQ40" s="110"/>
    </row>
    <row r="41" spans="1:45" x14ac:dyDescent="0.25">
      <c r="A41" t="s">
        <v>34</v>
      </c>
      <c r="B41" s="15" t="str">
        <f t="shared" si="10"/>
        <v>EXT</v>
      </c>
      <c r="C41" s="18" t="str">
        <f t="shared" si="10"/>
        <v>IMP</v>
      </c>
      <c r="D41" s="18" t="str">
        <f t="shared" si="10"/>
        <v>J.G. Peñuela</v>
      </c>
      <c r="E41" s="18">
        <f t="shared" si="15"/>
        <v>20</v>
      </c>
      <c r="F41" s="18">
        <f t="shared" si="15"/>
        <v>33.5</v>
      </c>
      <c r="G41" s="111">
        <f t="shared" si="15"/>
        <v>0</v>
      </c>
      <c r="H41" s="111">
        <f t="shared" si="6"/>
        <v>3</v>
      </c>
      <c r="I41" s="111">
        <f t="shared" si="6"/>
        <v>5</v>
      </c>
      <c r="J41" s="111">
        <f t="shared" si="6"/>
        <v>12.285714285714286</v>
      </c>
      <c r="K41" s="111">
        <f t="shared" si="6"/>
        <v>4</v>
      </c>
      <c r="L41" s="111">
        <f t="shared" si="6"/>
        <v>7.4</v>
      </c>
      <c r="M41" s="111">
        <f t="shared" si="6"/>
        <v>3</v>
      </c>
      <c r="N41" s="47">
        <f t="shared" si="6"/>
        <v>5626.72</v>
      </c>
      <c r="O41" s="217">
        <f t="shared" si="6"/>
        <v>0</v>
      </c>
      <c r="P41" s="217">
        <f t="shared" si="7"/>
        <v>3</v>
      </c>
      <c r="Q41" s="217">
        <f t="shared" si="7"/>
        <v>9</v>
      </c>
      <c r="R41" s="217">
        <f t="shared" si="7"/>
        <v>35</v>
      </c>
      <c r="S41" s="217">
        <f t="shared" si="7"/>
        <v>4</v>
      </c>
      <c r="T41" s="217">
        <f t="shared" si="7"/>
        <v>18</v>
      </c>
      <c r="U41" s="217">
        <f t="shared" si="7"/>
        <v>1</v>
      </c>
      <c r="V41" s="66">
        <f>SUM(O41:U41)</f>
        <v>70</v>
      </c>
      <c r="X41" t="s">
        <v>34</v>
      </c>
      <c r="Y41" s="18">
        <v>22</v>
      </c>
      <c r="Z41" s="18">
        <f>F41+(AR33*7)-112-112</f>
        <v>19.5</v>
      </c>
      <c r="AA41" s="111">
        <f t="shared" si="11"/>
        <v>0</v>
      </c>
      <c r="AB41" s="111">
        <f>9+3/7</f>
        <v>9.4285714285714288</v>
      </c>
      <c r="AC41" s="111">
        <f t="shared" si="8"/>
        <v>5</v>
      </c>
      <c r="AD41" s="111">
        <f t="shared" si="8"/>
        <v>12.285714285714286</v>
      </c>
      <c r="AE41" s="111">
        <f t="shared" si="8"/>
        <v>4</v>
      </c>
      <c r="AF41" s="111">
        <f t="shared" si="8"/>
        <v>7.4</v>
      </c>
      <c r="AG41" s="111">
        <f t="shared" si="8"/>
        <v>3</v>
      </c>
      <c r="AH41" s="47">
        <f>(135+5000+125+300+875)*1.012</f>
        <v>6512.22</v>
      </c>
      <c r="AI41" s="217">
        <f t="shared" si="12"/>
        <v>0</v>
      </c>
      <c r="AJ41" s="217">
        <f>P41+AR33</f>
        <v>33</v>
      </c>
      <c r="AK41" s="217">
        <f t="shared" si="9"/>
        <v>9</v>
      </c>
      <c r="AL41" s="217">
        <f t="shared" si="9"/>
        <v>35</v>
      </c>
      <c r="AM41" s="217">
        <f t="shared" si="9"/>
        <v>4</v>
      </c>
      <c r="AN41" s="217">
        <f t="shared" si="9"/>
        <v>18</v>
      </c>
      <c r="AO41" s="217">
        <f t="shared" si="9"/>
        <v>1</v>
      </c>
      <c r="AP41" s="66">
        <f>SUM(AI41:AO41)</f>
        <v>100</v>
      </c>
      <c r="AQ41" s="110"/>
    </row>
    <row r="42" spans="1:45" x14ac:dyDescent="0.25">
      <c r="A42" t="s">
        <v>42</v>
      </c>
      <c r="B42" s="15" t="str">
        <f t="shared" si="10"/>
        <v>DAV</v>
      </c>
      <c r="C42" s="18">
        <f t="shared" si="10"/>
        <v>0</v>
      </c>
      <c r="D42" s="18">
        <f t="shared" si="10"/>
        <v>0</v>
      </c>
      <c r="E42" s="18">
        <f t="shared" si="15"/>
        <v>0</v>
      </c>
      <c r="F42" s="18">
        <f t="shared" si="15"/>
        <v>0</v>
      </c>
      <c r="G42" s="111">
        <f t="shared" si="15"/>
        <v>0</v>
      </c>
      <c r="H42" s="111">
        <f t="shared" si="6"/>
        <v>2</v>
      </c>
      <c r="I42" s="111">
        <f t="shared" si="6"/>
        <v>2</v>
      </c>
      <c r="J42" s="111">
        <f t="shared" si="6"/>
        <v>2</v>
      </c>
      <c r="K42" s="111">
        <f t="shared" si="6"/>
        <v>2</v>
      </c>
      <c r="L42" s="111">
        <f t="shared" si="6"/>
        <v>2</v>
      </c>
      <c r="M42" s="111">
        <f t="shared" si="6"/>
        <v>2</v>
      </c>
      <c r="N42" s="47">
        <f t="shared" si="6"/>
        <v>0</v>
      </c>
      <c r="O42" s="217">
        <f t="shared" si="6"/>
        <v>0</v>
      </c>
      <c r="P42" s="217">
        <f t="shared" si="7"/>
        <v>0</v>
      </c>
      <c r="Q42" s="217">
        <f t="shared" si="7"/>
        <v>0</v>
      </c>
      <c r="R42" s="217">
        <f t="shared" si="7"/>
        <v>0</v>
      </c>
      <c r="S42" s="217">
        <f t="shared" si="7"/>
        <v>0</v>
      </c>
      <c r="T42" s="217">
        <f t="shared" si="7"/>
        <v>0</v>
      </c>
      <c r="U42" s="217">
        <f t="shared" si="7"/>
        <v>0</v>
      </c>
      <c r="V42" s="66">
        <f>SUM(O42:U42)</f>
        <v>0</v>
      </c>
      <c r="X42" t="s">
        <v>42</v>
      </c>
      <c r="Y42" s="18"/>
      <c r="Z42" s="18"/>
      <c r="AA42" s="111">
        <f t="shared" si="11"/>
        <v>0</v>
      </c>
      <c r="AB42" s="111">
        <f t="shared" si="11"/>
        <v>2</v>
      </c>
      <c r="AC42" s="111">
        <f t="shared" si="8"/>
        <v>2</v>
      </c>
      <c r="AD42" s="111">
        <f t="shared" si="8"/>
        <v>2</v>
      </c>
      <c r="AE42" s="111">
        <f t="shared" si="8"/>
        <v>2</v>
      </c>
      <c r="AF42" s="111">
        <f t="shared" si="8"/>
        <v>2</v>
      </c>
      <c r="AG42" s="111">
        <f t="shared" si="8"/>
        <v>2</v>
      </c>
      <c r="AH42" s="47"/>
      <c r="AI42" s="217">
        <f t="shared" si="12"/>
        <v>0</v>
      </c>
      <c r="AJ42" s="217">
        <f t="shared" si="12"/>
        <v>0</v>
      </c>
      <c r="AK42" s="217">
        <f t="shared" si="9"/>
        <v>0</v>
      </c>
      <c r="AL42" s="217">
        <f t="shared" si="9"/>
        <v>0</v>
      </c>
      <c r="AM42" s="217">
        <f t="shared" si="9"/>
        <v>0</v>
      </c>
      <c r="AN42" s="217">
        <f t="shared" si="9"/>
        <v>0</v>
      </c>
      <c r="AO42" s="217">
        <f t="shared" si="9"/>
        <v>0</v>
      </c>
      <c r="AP42" s="66">
        <f>SUM(AI42:AO42)</f>
        <v>0</v>
      </c>
      <c r="AQ42" s="110"/>
    </row>
    <row r="43" spans="1:45" x14ac:dyDescent="0.25">
      <c r="A43" t="s">
        <v>46</v>
      </c>
      <c r="B43" s="15" t="str">
        <f t="shared" si="10"/>
        <v>DAV</v>
      </c>
      <c r="C43" s="18">
        <f t="shared" si="10"/>
        <v>0</v>
      </c>
      <c r="D43" s="18">
        <f t="shared" si="10"/>
        <v>0</v>
      </c>
      <c r="E43" s="18">
        <f t="shared" si="15"/>
        <v>0</v>
      </c>
      <c r="F43" s="18">
        <f t="shared" si="15"/>
        <v>0</v>
      </c>
      <c r="G43" s="111">
        <f t="shared" si="15"/>
        <v>0</v>
      </c>
      <c r="H43" s="111">
        <f t="shared" si="6"/>
        <v>2</v>
      </c>
      <c r="I43" s="111">
        <f t="shared" si="6"/>
        <v>2</v>
      </c>
      <c r="J43" s="111">
        <f t="shared" si="6"/>
        <v>2</v>
      </c>
      <c r="K43" s="111">
        <f t="shared" si="6"/>
        <v>2</v>
      </c>
      <c r="L43" s="111">
        <f t="shared" si="6"/>
        <v>2</v>
      </c>
      <c r="M43" s="111">
        <f t="shared" si="6"/>
        <v>2</v>
      </c>
      <c r="N43" s="47">
        <f t="shared" si="6"/>
        <v>0</v>
      </c>
      <c r="O43" s="217">
        <f t="shared" si="6"/>
        <v>0</v>
      </c>
      <c r="P43" s="217">
        <f t="shared" si="7"/>
        <v>0</v>
      </c>
      <c r="Q43" s="217">
        <f t="shared" si="7"/>
        <v>0</v>
      </c>
      <c r="R43" s="217">
        <f t="shared" si="7"/>
        <v>0</v>
      </c>
      <c r="S43" s="217">
        <f t="shared" si="7"/>
        <v>0</v>
      </c>
      <c r="T43" s="217">
        <f t="shared" si="7"/>
        <v>0</v>
      </c>
      <c r="U43" s="217">
        <f t="shared" si="7"/>
        <v>0</v>
      </c>
      <c r="V43" s="66">
        <f>SUM(O43:U43)</f>
        <v>0</v>
      </c>
      <c r="X43" t="s">
        <v>46</v>
      </c>
      <c r="Y43" s="18"/>
      <c r="Z43" s="18"/>
      <c r="AA43" s="111">
        <f t="shared" si="11"/>
        <v>0</v>
      </c>
      <c r="AB43" s="111">
        <f t="shared" si="11"/>
        <v>2</v>
      </c>
      <c r="AC43" s="111">
        <f t="shared" si="8"/>
        <v>2</v>
      </c>
      <c r="AD43" s="111">
        <f t="shared" si="8"/>
        <v>2</v>
      </c>
      <c r="AE43" s="111">
        <f t="shared" si="8"/>
        <v>2</v>
      </c>
      <c r="AF43" s="111">
        <f t="shared" si="8"/>
        <v>2</v>
      </c>
      <c r="AG43" s="111">
        <f t="shared" si="8"/>
        <v>2</v>
      </c>
      <c r="AH43" s="47"/>
      <c r="AI43" s="217">
        <f t="shared" si="12"/>
        <v>0</v>
      </c>
      <c r="AJ43" s="217">
        <f t="shared" si="12"/>
        <v>0</v>
      </c>
      <c r="AK43" s="217">
        <f t="shared" si="9"/>
        <v>0</v>
      </c>
      <c r="AL43" s="217">
        <f t="shared" si="9"/>
        <v>0</v>
      </c>
      <c r="AM43" s="217">
        <f t="shared" si="9"/>
        <v>0</v>
      </c>
      <c r="AN43" s="217">
        <f t="shared" si="9"/>
        <v>0</v>
      </c>
      <c r="AO43" s="217">
        <f t="shared" si="9"/>
        <v>0</v>
      </c>
      <c r="AP43" s="66">
        <f>SUM(AI43:AO43)</f>
        <v>0</v>
      </c>
      <c r="AQ43" s="110"/>
    </row>
    <row r="44" spans="1:45" x14ac:dyDescent="0.25">
      <c r="A44" t="s">
        <v>334</v>
      </c>
      <c r="B44" s="15" t="str">
        <f t="shared" si="10"/>
        <v>DAV</v>
      </c>
      <c r="C44" s="18">
        <f t="shared" si="10"/>
        <v>0</v>
      </c>
      <c r="D44" s="18">
        <f t="shared" si="10"/>
        <v>0</v>
      </c>
      <c r="E44" s="18">
        <f t="shared" si="15"/>
        <v>0</v>
      </c>
      <c r="F44" s="18">
        <f t="shared" si="15"/>
        <v>0</v>
      </c>
      <c r="G44" s="111">
        <f t="shared" si="15"/>
        <v>0</v>
      </c>
      <c r="H44" s="111">
        <f t="shared" si="6"/>
        <v>2</v>
      </c>
      <c r="I44" s="111">
        <f t="shared" si="6"/>
        <v>2</v>
      </c>
      <c r="J44" s="111">
        <f t="shared" si="6"/>
        <v>2</v>
      </c>
      <c r="K44" s="111">
        <f t="shared" si="6"/>
        <v>2</v>
      </c>
      <c r="L44" s="111">
        <f t="shared" si="6"/>
        <v>2</v>
      </c>
      <c r="M44" s="111">
        <f t="shared" si="6"/>
        <v>2</v>
      </c>
      <c r="N44" s="47">
        <f t="shared" si="6"/>
        <v>0</v>
      </c>
      <c r="O44" s="217">
        <f t="shared" si="6"/>
        <v>0</v>
      </c>
      <c r="P44" s="217">
        <f t="shared" si="7"/>
        <v>0</v>
      </c>
      <c r="Q44" s="217">
        <f t="shared" si="7"/>
        <v>0</v>
      </c>
      <c r="R44" s="217">
        <f t="shared" si="7"/>
        <v>0</v>
      </c>
      <c r="S44" s="217">
        <f t="shared" si="7"/>
        <v>0</v>
      </c>
      <c r="T44" s="217">
        <f t="shared" si="7"/>
        <v>0</v>
      </c>
      <c r="U44" s="217">
        <f t="shared" si="7"/>
        <v>0</v>
      </c>
      <c r="V44" s="66">
        <f>SUM(O44:U44)</f>
        <v>0</v>
      </c>
      <c r="X44" t="s">
        <v>334</v>
      </c>
      <c r="Y44" s="18"/>
      <c r="Z44" s="18"/>
      <c r="AA44" s="111">
        <f t="shared" si="11"/>
        <v>0</v>
      </c>
      <c r="AB44" s="111">
        <f t="shared" si="11"/>
        <v>2</v>
      </c>
      <c r="AC44" s="111">
        <f t="shared" si="8"/>
        <v>2</v>
      </c>
      <c r="AD44" s="111">
        <f t="shared" si="8"/>
        <v>2</v>
      </c>
      <c r="AE44" s="111">
        <f t="shared" si="8"/>
        <v>2</v>
      </c>
      <c r="AF44" s="111">
        <f t="shared" si="8"/>
        <v>2</v>
      </c>
      <c r="AG44" s="111">
        <f t="shared" si="8"/>
        <v>2</v>
      </c>
      <c r="AH44" s="47"/>
      <c r="AI44" s="217">
        <f t="shared" si="12"/>
        <v>0</v>
      </c>
      <c r="AJ44" s="217">
        <f t="shared" si="12"/>
        <v>0</v>
      </c>
      <c r="AK44" s="217">
        <f t="shared" si="9"/>
        <v>0</v>
      </c>
      <c r="AL44" s="217">
        <f t="shared" si="9"/>
        <v>0</v>
      </c>
      <c r="AM44" s="217">
        <f t="shared" si="9"/>
        <v>0</v>
      </c>
      <c r="AN44" s="217">
        <f t="shared" si="9"/>
        <v>0</v>
      </c>
      <c r="AO44" s="217">
        <f t="shared" si="9"/>
        <v>0</v>
      </c>
      <c r="AP44" s="66">
        <f>SUM(AI44:AO44)</f>
        <v>0</v>
      </c>
      <c r="AQ44" s="110"/>
    </row>
    <row r="45" spans="1:45" x14ac:dyDescent="0.25">
      <c r="N45" s="197">
        <f>SUM(N47:N61)</f>
        <v>173422.41600000003</v>
      </c>
      <c r="AH45" s="197">
        <f>SUM(AH47:AH61)</f>
        <v>180055.55499999996</v>
      </c>
      <c r="AQ45" s="110"/>
    </row>
    <row r="46" spans="1:45" x14ac:dyDescent="0.25">
      <c r="A46" s="10" t="s">
        <v>170</v>
      </c>
      <c r="B46" s="10" t="s">
        <v>2</v>
      </c>
      <c r="C46" s="10" t="s">
        <v>84</v>
      </c>
      <c r="D46" s="10" t="str">
        <f>D28</f>
        <v>Nombre</v>
      </c>
      <c r="E46" s="10" t="str">
        <f>E28</f>
        <v>Año</v>
      </c>
      <c r="F46" s="10" t="str">
        <f>F28</f>
        <v>Dia</v>
      </c>
      <c r="G46" s="10" t="s">
        <v>15</v>
      </c>
      <c r="H46" s="10" t="s">
        <v>16</v>
      </c>
      <c r="I46" s="10" t="s">
        <v>17</v>
      </c>
      <c r="J46" s="10" t="s">
        <v>18</v>
      </c>
      <c r="K46" s="10" t="s">
        <v>19</v>
      </c>
      <c r="L46" s="10" t="s">
        <v>20</v>
      </c>
      <c r="M46" s="10" t="s">
        <v>6</v>
      </c>
      <c r="N46" s="10" t="s">
        <v>68</v>
      </c>
      <c r="O46" s="10" t="s">
        <v>323</v>
      </c>
      <c r="P46" s="10" t="s">
        <v>324</v>
      </c>
      <c r="Q46" s="10" t="s">
        <v>325</v>
      </c>
      <c r="R46" s="10" t="s">
        <v>326</v>
      </c>
      <c r="S46" s="10" t="s">
        <v>327</v>
      </c>
      <c r="T46" s="10" t="s">
        <v>328</v>
      </c>
      <c r="U46" s="10" t="s">
        <v>329</v>
      </c>
      <c r="V46" s="10" t="s">
        <v>330</v>
      </c>
      <c r="X46" s="10" t="s">
        <v>170</v>
      </c>
      <c r="Y46" s="10" t="str">
        <f>Y28</f>
        <v>Año</v>
      </c>
      <c r="Z46" s="10" t="str">
        <f>Z28</f>
        <v>Dia</v>
      </c>
      <c r="AA46" s="10" t="s">
        <v>15</v>
      </c>
      <c r="AB46" s="10" t="s">
        <v>16</v>
      </c>
      <c r="AC46" s="10" t="s">
        <v>17</v>
      </c>
      <c r="AD46" s="10" t="s">
        <v>18</v>
      </c>
      <c r="AE46" s="10" t="s">
        <v>19</v>
      </c>
      <c r="AF46" s="10" t="s">
        <v>20</v>
      </c>
      <c r="AG46" s="10" t="s">
        <v>6</v>
      </c>
      <c r="AH46" s="10" t="s">
        <v>68</v>
      </c>
      <c r="AI46" s="10" t="s">
        <v>323</v>
      </c>
      <c r="AJ46" s="10" t="s">
        <v>324</v>
      </c>
      <c r="AK46" s="10" t="s">
        <v>325</v>
      </c>
      <c r="AL46" s="10" t="s">
        <v>326</v>
      </c>
      <c r="AM46" s="10" t="s">
        <v>327</v>
      </c>
      <c r="AN46" s="10" t="s">
        <v>328</v>
      </c>
      <c r="AO46" s="10" t="s">
        <v>329</v>
      </c>
      <c r="AP46" s="10" t="s">
        <v>330</v>
      </c>
      <c r="AQ46" s="110"/>
    </row>
    <row r="47" spans="1:45" x14ac:dyDescent="0.25">
      <c r="A47" t="s">
        <v>29</v>
      </c>
      <c r="B47" s="15" t="str">
        <f>B29</f>
        <v>POR</v>
      </c>
      <c r="C47" s="18"/>
      <c r="D47" s="18" t="str">
        <f>D29</f>
        <v>Portero</v>
      </c>
      <c r="E47" s="18">
        <f>Y29</f>
        <v>22</v>
      </c>
      <c r="F47" s="18">
        <f>Z29</f>
        <v>36</v>
      </c>
      <c r="G47" s="111">
        <f>AA29</f>
        <v>17</v>
      </c>
      <c r="H47" s="111">
        <f t="shared" ref="H47:O62" si="16">AB29</f>
        <v>9</v>
      </c>
      <c r="I47" s="111">
        <f t="shared" si="16"/>
        <v>0</v>
      </c>
      <c r="J47" s="111">
        <f t="shared" si="16"/>
        <v>0</v>
      </c>
      <c r="K47" s="111">
        <f t="shared" si="16"/>
        <v>0</v>
      </c>
      <c r="L47" s="111">
        <f t="shared" si="16"/>
        <v>0</v>
      </c>
      <c r="M47" s="111">
        <f t="shared" si="16"/>
        <v>2</v>
      </c>
      <c r="N47" s="47">
        <f>AH29</f>
        <v>32634</v>
      </c>
      <c r="O47" s="217">
        <f>AI29</f>
        <v>62</v>
      </c>
      <c r="P47" s="217">
        <f t="shared" ref="P47:U62" si="17">AJ29</f>
        <v>30</v>
      </c>
      <c r="Q47" s="217">
        <f t="shared" si="17"/>
        <v>0</v>
      </c>
      <c r="R47" s="217">
        <f t="shared" si="17"/>
        <v>0</v>
      </c>
      <c r="S47" s="217">
        <f t="shared" si="17"/>
        <v>0</v>
      </c>
      <c r="T47" s="217">
        <f t="shared" si="17"/>
        <v>0</v>
      </c>
      <c r="U47" s="217">
        <f t="shared" si="17"/>
        <v>0</v>
      </c>
      <c r="V47" s="66">
        <f>SUM(O47:U47)</f>
        <v>92</v>
      </c>
      <c r="X47" t="s">
        <v>29</v>
      </c>
      <c r="Y47" s="18">
        <v>23</v>
      </c>
      <c r="Z47" s="18">
        <f>F47+(AR52*7)-112</f>
        <v>99</v>
      </c>
      <c r="AA47" s="111">
        <f>G47</f>
        <v>17</v>
      </c>
      <c r="AB47" s="111">
        <f t="shared" ref="AB47:AG62" si="18">H47</f>
        <v>9</v>
      </c>
      <c r="AC47" s="111">
        <f t="shared" si="18"/>
        <v>0</v>
      </c>
      <c r="AD47" s="111">
        <f t="shared" si="18"/>
        <v>0</v>
      </c>
      <c r="AE47" s="111">
        <f t="shared" si="18"/>
        <v>0</v>
      </c>
      <c r="AF47" s="111">
        <f t="shared" si="18"/>
        <v>0</v>
      </c>
      <c r="AG47" s="111">
        <f>17</f>
        <v>17</v>
      </c>
      <c r="AH47" s="47">
        <f>(31720+655)*1.047</f>
        <v>33896.625</v>
      </c>
      <c r="AI47" s="217">
        <f>O47</f>
        <v>62</v>
      </c>
      <c r="AJ47" s="217">
        <f t="shared" ref="AJ47:AO62" si="19">P47</f>
        <v>30</v>
      </c>
      <c r="AK47" s="217">
        <f t="shared" si="19"/>
        <v>0</v>
      </c>
      <c r="AL47" s="217">
        <f t="shared" si="19"/>
        <v>0</v>
      </c>
      <c r="AM47" s="217">
        <f t="shared" si="19"/>
        <v>0</v>
      </c>
      <c r="AN47" s="217">
        <f t="shared" si="19"/>
        <v>0</v>
      </c>
      <c r="AO47" s="217">
        <f>U47+AR52</f>
        <v>25</v>
      </c>
      <c r="AP47" s="66">
        <f>SUM(AI47:AO47)</f>
        <v>117</v>
      </c>
      <c r="AQ47" s="110"/>
    </row>
    <row r="48" spans="1:45" x14ac:dyDescent="0.25">
      <c r="A48" t="s">
        <v>32</v>
      </c>
      <c r="B48" s="15" t="str">
        <f t="shared" ref="B48:D53" si="20">B30</f>
        <v>DEF</v>
      </c>
      <c r="C48" s="18" t="str">
        <f t="shared" si="20"/>
        <v>TEC</v>
      </c>
      <c r="D48" s="18" t="str">
        <f t="shared" si="20"/>
        <v>J. G. de Minaya</v>
      </c>
      <c r="E48" s="18">
        <f t="shared" ref="E48:G56" si="21">Y30</f>
        <v>22</v>
      </c>
      <c r="F48" s="18">
        <f t="shared" si="21"/>
        <v>32.5</v>
      </c>
      <c r="G48" s="111">
        <f t="shared" si="21"/>
        <v>0</v>
      </c>
      <c r="H48" s="111">
        <f t="shared" si="16"/>
        <v>10.777777777777779</v>
      </c>
      <c r="I48" s="111">
        <f t="shared" si="16"/>
        <v>5</v>
      </c>
      <c r="J48" s="111">
        <f t="shared" si="16"/>
        <v>12.285714285714286</v>
      </c>
      <c r="K48" s="111">
        <f t="shared" si="16"/>
        <v>5</v>
      </c>
      <c r="L48" s="111">
        <f t="shared" si="16"/>
        <v>8</v>
      </c>
      <c r="M48" s="111">
        <f t="shared" si="16"/>
        <v>0</v>
      </c>
      <c r="N48" s="47">
        <f t="shared" si="16"/>
        <v>7475</v>
      </c>
      <c r="O48" s="217">
        <f t="shared" si="16"/>
        <v>0</v>
      </c>
      <c r="P48" s="217">
        <f t="shared" si="17"/>
        <v>44</v>
      </c>
      <c r="Q48" s="217">
        <f t="shared" si="17"/>
        <v>9</v>
      </c>
      <c r="R48" s="217">
        <f t="shared" si="17"/>
        <v>35</v>
      </c>
      <c r="S48" s="217">
        <f t="shared" si="17"/>
        <v>7</v>
      </c>
      <c r="T48" s="217">
        <f t="shared" si="17"/>
        <v>21</v>
      </c>
      <c r="U48" s="217">
        <f t="shared" si="17"/>
        <v>-2</v>
      </c>
      <c r="V48" s="66">
        <f>SUM(O48:U48)</f>
        <v>114</v>
      </c>
      <c r="X48" t="s">
        <v>32</v>
      </c>
      <c r="Y48" s="18">
        <v>24</v>
      </c>
      <c r="Z48" s="18">
        <f>F48+(AR52*7)-112-112</f>
        <v>-16.5</v>
      </c>
      <c r="AA48" s="111">
        <f t="shared" ref="AA48:AA62" si="22">G48</f>
        <v>0</v>
      </c>
      <c r="AB48" s="111">
        <f t="shared" si="18"/>
        <v>10.777777777777779</v>
      </c>
      <c r="AC48" s="111">
        <f t="shared" si="18"/>
        <v>5</v>
      </c>
      <c r="AD48" s="111">
        <f t="shared" si="18"/>
        <v>12.285714285714286</v>
      </c>
      <c r="AE48" s="111">
        <f t="shared" si="18"/>
        <v>5</v>
      </c>
      <c r="AF48" s="111">
        <f t="shared" si="18"/>
        <v>8</v>
      </c>
      <c r="AG48" s="111">
        <f>16+2/4</f>
        <v>16.5</v>
      </c>
      <c r="AH48" s="47">
        <f>(5000+1800+135+135+405)*1.045</f>
        <v>7811.3749999999991</v>
      </c>
      <c r="AI48" s="217">
        <f t="shared" ref="AI48:AI62" si="23">O48</f>
        <v>0</v>
      </c>
      <c r="AJ48" s="217">
        <f t="shared" si="19"/>
        <v>44</v>
      </c>
      <c r="AK48" s="217">
        <f t="shared" si="19"/>
        <v>9</v>
      </c>
      <c r="AL48" s="217">
        <f t="shared" si="19"/>
        <v>35</v>
      </c>
      <c r="AM48" s="217">
        <f t="shared" si="19"/>
        <v>7</v>
      </c>
      <c r="AN48" s="217">
        <f t="shared" si="19"/>
        <v>21</v>
      </c>
      <c r="AO48" s="217">
        <f>U48+AR52</f>
        <v>23</v>
      </c>
      <c r="AP48" s="66">
        <f>SUM(AI48:AO48)</f>
        <v>139</v>
      </c>
      <c r="AQ48" s="110"/>
    </row>
    <row r="49" spans="1:45" x14ac:dyDescent="0.25">
      <c r="A49" t="s">
        <v>33</v>
      </c>
      <c r="B49" s="15" t="str">
        <f t="shared" si="20"/>
        <v>DEF</v>
      </c>
      <c r="C49" s="18" t="str">
        <f t="shared" si="20"/>
        <v>RAP</v>
      </c>
      <c r="D49" s="18" t="str">
        <f t="shared" si="20"/>
        <v>Defensa</v>
      </c>
      <c r="E49" s="18">
        <f t="shared" si="21"/>
        <v>22</v>
      </c>
      <c r="F49" s="18">
        <f t="shared" si="21"/>
        <v>36</v>
      </c>
      <c r="G49" s="111">
        <f t="shared" si="21"/>
        <v>0</v>
      </c>
      <c r="H49" s="111">
        <f t="shared" si="16"/>
        <v>13</v>
      </c>
      <c r="I49" s="111">
        <f t="shared" si="16"/>
        <v>4</v>
      </c>
      <c r="J49" s="111">
        <f t="shared" si="16"/>
        <v>4</v>
      </c>
      <c r="K49" s="111">
        <f t="shared" si="16"/>
        <v>10</v>
      </c>
      <c r="L49" s="111">
        <f t="shared" si="16"/>
        <v>2</v>
      </c>
      <c r="M49" s="111">
        <f t="shared" si="16"/>
        <v>2</v>
      </c>
      <c r="N49" s="47">
        <f t="shared" si="16"/>
        <v>12605.04</v>
      </c>
      <c r="O49" s="217">
        <f t="shared" si="16"/>
        <v>0</v>
      </c>
      <c r="P49" s="217">
        <f t="shared" si="17"/>
        <v>67</v>
      </c>
      <c r="Q49" s="217">
        <f t="shared" si="17"/>
        <v>6</v>
      </c>
      <c r="R49" s="217">
        <f t="shared" si="17"/>
        <v>3.5</v>
      </c>
      <c r="S49" s="217">
        <f t="shared" si="17"/>
        <v>29</v>
      </c>
      <c r="T49" s="217">
        <f t="shared" si="17"/>
        <v>0</v>
      </c>
      <c r="U49" s="217">
        <f t="shared" si="17"/>
        <v>0</v>
      </c>
      <c r="V49" s="66">
        <f>SUM(O49:U49)</f>
        <v>105.5</v>
      </c>
      <c r="X49" t="s">
        <v>33</v>
      </c>
      <c r="Y49" s="18">
        <v>23</v>
      </c>
      <c r="Z49" s="18">
        <f>F49+(AR52*7)-112</f>
        <v>99</v>
      </c>
      <c r="AA49" s="111">
        <f t="shared" si="22"/>
        <v>0</v>
      </c>
      <c r="AB49" s="111">
        <f t="shared" si="18"/>
        <v>13</v>
      </c>
      <c r="AC49" s="111">
        <f t="shared" si="18"/>
        <v>4</v>
      </c>
      <c r="AD49" s="111">
        <f t="shared" si="18"/>
        <v>4</v>
      </c>
      <c r="AE49" s="111">
        <f t="shared" si="18"/>
        <v>10</v>
      </c>
      <c r="AF49" s="111">
        <f t="shared" si="18"/>
        <v>2</v>
      </c>
      <c r="AG49" s="111">
        <v>17</v>
      </c>
      <c r="AH49" s="47">
        <f>(11470+125+125+785)*1.047</f>
        <v>13092.734999999999</v>
      </c>
      <c r="AI49" s="217">
        <f t="shared" si="23"/>
        <v>0</v>
      </c>
      <c r="AJ49" s="217">
        <f t="shared" si="19"/>
        <v>67</v>
      </c>
      <c r="AK49" s="217">
        <f t="shared" si="19"/>
        <v>6</v>
      </c>
      <c r="AL49" s="217">
        <f t="shared" si="19"/>
        <v>3.5</v>
      </c>
      <c r="AM49" s="217">
        <f t="shared" si="19"/>
        <v>29</v>
      </c>
      <c r="AN49" s="217">
        <f t="shared" si="19"/>
        <v>0</v>
      </c>
      <c r="AO49" s="217">
        <f>U49+AR52</f>
        <v>25</v>
      </c>
      <c r="AP49" s="66">
        <f>SUM(AI49:AO49)</f>
        <v>130.5</v>
      </c>
      <c r="AQ49" s="110"/>
    </row>
    <row r="50" spans="1:45" x14ac:dyDescent="0.25">
      <c r="A50" t="s">
        <v>39</v>
      </c>
      <c r="B50" s="15" t="str">
        <f t="shared" si="20"/>
        <v>DEF</v>
      </c>
      <c r="C50" s="18" t="str">
        <f t="shared" si="20"/>
        <v>POT</v>
      </c>
      <c r="D50" s="18" t="str">
        <f t="shared" si="20"/>
        <v>Defensa</v>
      </c>
      <c r="E50" s="18">
        <f t="shared" si="21"/>
        <v>22</v>
      </c>
      <c r="F50" s="18">
        <f t="shared" si="21"/>
        <v>36</v>
      </c>
      <c r="G50" s="111">
        <f t="shared" si="21"/>
        <v>0</v>
      </c>
      <c r="H50" s="111">
        <f t="shared" si="16"/>
        <v>13</v>
      </c>
      <c r="I50" s="111">
        <f t="shared" si="16"/>
        <v>4</v>
      </c>
      <c r="J50" s="111">
        <f t="shared" si="16"/>
        <v>4</v>
      </c>
      <c r="K50" s="111">
        <f t="shared" si="16"/>
        <v>10</v>
      </c>
      <c r="L50" s="111">
        <f t="shared" si="16"/>
        <v>2</v>
      </c>
      <c r="M50" s="111">
        <f t="shared" si="16"/>
        <v>2</v>
      </c>
      <c r="N50" s="47">
        <f t="shared" si="16"/>
        <v>12605.04</v>
      </c>
      <c r="O50" s="217">
        <f t="shared" si="16"/>
        <v>0</v>
      </c>
      <c r="P50" s="217">
        <f t="shared" si="17"/>
        <v>67</v>
      </c>
      <c r="Q50" s="217">
        <f t="shared" si="17"/>
        <v>6</v>
      </c>
      <c r="R50" s="217">
        <f t="shared" si="17"/>
        <v>3.5</v>
      </c>
      <c r="S50" s="217">
        <f t="shared" si="17"/>
        <v>29</v>
      </c>
      <c r="T50" s="217">
        <f t="shared" si="17"/>
        <v>0</v>
      </c>
      <c r="U50" s="217">
        <f t="shared" si="17"/>
        <v>0</v>
      </c>
      <c r="V50" s="66">
        <f>SUM(O50:U50)</f>
        <v>105.5</v>
      </c>
      <c r="X50" t="s">
        <v>39</v>
      </c>
      <c r="Y50" s="18">
        <v>23</v>
      </c>
      <c r="Z50" s="18">
        <f>F50+(AR52*7)-112</f>
        <v>99</v>
      </c>
      <c r="AA50" s="111">
        <f t="shared" si="22"/>
        <v>0</v>
      </c>
      <c r="AB50" s="111">
        <f t="shared" si="18"/>
        <v>13</v>
      </c>
      <c r="AC50" s="111">
        <f t="shared" si="18"/>
        <v>4</v>
      </c>
      <c r="AD50" s="111">
        <f t="shared" si="18"/>
        <v>4</v>
      </c>
      <c r="AE50" s="111">
        <f t="shared" si="18"/>
        <v>10</v>
      </c>
      <c r="AF50" s="111">
        <f t="shared" si="18"/>
        <v>2</v>
      </c>
      <c r="AG50" s="111">
        <v>17</v>
      </c>
      <c r="AH50" s="47">
        <f>(11470+125+125+785)*1.047</f>
        <v>13092.734999999999</v>
      </c>
      <c r="AI50" s="217">
        <f t="shared" si="23"/>
        <v>0</v>
      </c>
      <c r="AJ50" s="217">
        <f t="shared" si="19"/>
        <v>67</v>
      </c>
      <c r="AK50" s="217">
        <f t="shared" si="19"/>
        <v>6</v>
      </c>
      <c r="AL50" s="217">
        <f t="shared" si="19"/>
        <v>3.5</v>
      </c>
      <c r="AM50" s="217">
        <f t="shared" si="19"/>
        <v>29</v>
      </c>
      <c r="AN50" s="217">
        <f t="shared" si="19"/>
        <v>0</v>
      </c>
      <c r="AO50" s="217">
        <f>U50+AR52</f>
        <v>25</v>
      </c>
      <c r="AP50" s="66">
        <f>SUM(AI50:AO50)</f>
        <v>130.5</v>
      </c>
      <c r="AQ50" s="110"/>
    </row>
    <row r="51" spans="1:45" x14ac:dyDescent="0.25">
      <c r="A51" t="s">
        <v>41</v>
      </c>
      <c r="B51" s="15" t="str">
        <f t="shared" si="20"/>
        <v>DEF</v>
      </c>
      <c r="C51" s="18" t="str">
        <f t="shared" si="20"/>
        <v>CAB</v>
      </c>
      <c r="D51" s="18" t="str">
        <f t="shared" si="20"/>
        <v>Defensa</v>
      </c>
      <c r="E51" s="18">
        <f t="shared" si="21"/>
        <v>22</v>
      </c>
      <c r="F51" s="18">
        <f t="shared" si="21"/>
        <v>36</v>
      </c>
      <c r="G51" s="111">
        <f t="shared" si="21"/>
        <v>0</v>
      </c>
      <c r="H51" s="111">
        <f t="shared" si="16"/>
        <v>13</v>
      </c>
      <c r="I51" s="111">
        <f t="shared" si="16"/>
        <v>4</v>
      </c>
      <c r="J51" s="111">
        <f t="shared" si="16"/>
        <v>4</v>
      </c>
      <c r="K51" s="111">
        <f t="shared" si="16"/>
        <v>10</v>
      </c>
      <c r="L51" s="111">
        <f t="shared" si="16"/>
        <v>2</v>
      </c>
      <c r="M51" s="111">
        <f t="shared" si="16"/>
        <v>2</v>
      </c>
      <c r="N51" s="47">
        <f t="shared" si="16"/>
        <v>12605.04</v>
      </c>
      <c r="O51" s="217">
        <f t="shared" si="16"/>
        <v>0</v>
      </c>
      <c r="P51" s="217">
        <f t="shared" si="17"/>
        <v>67</v>
      </c>
      <c r="Q51" s="217">
        <f t="shared" si="17"/>
        <v>6</v>
      </c>
      <c r="R51" s="217">
        <f t="shared" si="17"/>
        <v>3.5</v>
      </c>
      <c r="S51" s="217">
        <f t="shared" si="17"/>
        <v>29</v>
      </c>
      <c r="T51" s="217">
        <f t="shared" si="17"/>
        <v>0</v>
      </c>
      <c r="U51" s="217">
        <f t="shared" si="17"/>
        <v>0</v>
      </c>
      <c r="V51" s="66">
        <f t="shared" ref="V51:V57" si="24">SUM(O51:U51)</f>
        <v>105.5</v>
      </c>
      <c r="X51" t="s">
        <v>41</v>
      </c>
      <c r="Y51" s="18">
        <v>23</v>
      </c>
      <c r="Z51" s="18">
        <f>F51+(AR52*7)-112</f>
        <v>99</v>
      </c>
      <c r="AA51" s="111">
        <f t="shared" si="22"/>
        <v>0</v>
      </c>
      <c r="AB51" s="111">
        <f t="shared" si="18"/>
        <v>13</v>
      </c>
      <c r="AC51" s="111">
        <f t="shared" si="18"/>
        <v>4</v>
      </c>
      <c r="AD51" s="111">
        <f t="shared" si="18"/>
        <v>4</v>
      </c>
      <c r="AE51" s="111">
        <f t="shared" si="18"/>
        <v>10</v>
      </c>
      <c r="AF51" s="111">
        <f t="shared" si="18"/>
        <v>2</v>
      </c>
      <c r="AG51" s="111">
        <v>17</v>
      </c>
      <c r="AH51" s="47">
        <f>(11470+125+125+785)*1.047</f>
        <v>13092.734999999999</v>
      </c>
      <c r="AI51" s="217">
        <f t="shared" si="23"/>
        <v>0</v>
      </c>
      <c r="AJ51" s="217">
        <f t="shared" si="19"/>
        <v>67</v>
      </c>
      <c r="AK51" s="217">
        <f t="shared" si="19"/>
        <v>6</v>
      </c>
      <c r="AL51" s="217">
        <f t="shared" si="19"/>
        <v>3.5</v>
      </c>
      <c r="AM51" s="217">
        <f t="shared" si="19"/>
        <v>29</v>
      </c>
      <c r="AN51" s="217">
        <f t="shared" si="19"/>
        <v>0</v>
      </c>
      <c r="AO51" s="217">
        <f>U51+AR52</f>
        <v>25</v>
      </c>
      <c r="AP51" s="66">
        <f t="shared" ref="AP51:AP57" si="25">SUM(AI51:AO51)</f>
        <v>130.5</v>
      </c>
      <c r="AQ51" s="110"/>
      <c r="AR51" t="s">
        <v>375</v>
      </c>
      <c r="AS51" t="s">
        <v>376</v>
      </c>
    </row>
    <row r="52" spans="1:45" x14ac:dyDescent="0.25">
      <c r="A52" t="s">
        <v>38</v>
      </c>
      <c r="B52" s="15" t="str">
        <f t="shared" si="20"/>
        <v>DEF</v>
      </c>
      <c r="C52" s="18" t="s">
        <v>0</v>
      </c>
      <c r="D52" s="18" t="str">
        <f t="shared" si="20"/>
        <v>Defensa</v>
      </c>
      <c r="E52" s="18">
        <f t="shared" si="21"/>
        <v>22</v>
      </c>
      <c r="F52" s="18">
        <f t="shared" si="21"/>
        <v>36</v>
      </c>
      <c r="G52" s="111">
        <f t="shared" si="21"/>
        <v>0</v>
      </c>
      <c r="H52" s="111">
        <f t="shared" si="16"/>
        <v>13</v>
      </c>
      <c r="I52" s="111">
        <f t="shared" si="16"/>
        <v>4</v>
      </c>
      <c r="J52" s="111">
        <f t="shared" si="16"/>
        <v>4</v>
      </c>
      <c r="K52" s="111">
        <f t="shared" si="16"/>
        <v>10</v>
      </c>
      <c r="L52" s="111">
        <f t="shared" si="16"/>
        <v>2</v>
      </c>
      <c r="M52" s="111">
        <f t="shared" si="16"/>
        <v>2</v>
      </c>
      <c r="N52" s="47">
        <f t="shared" si="16"/>
        <v>12605.04</v>
      </c>
      <c r="O52" s="217">
        <f t="shared" si="16"/>
        <v>0</v>
      </c>
      <c r="P52" s="217">
        <f t="shared" si="17"/>
        <v>67</v>
      </c>
      <c r="Q52" s="217">
        <f t="shared" si="17"/>
        <v>6</v>
      </c>
      <c r="R52" s="217">
        <f t="shared" si="17"/>
        <v>3.5</v>
      </c>
      <c r="S52" s="217">
        <f t="shared" si="17"/>
        <v>29</v>
      </c>
      <c r="T52" s="217">
        <f t="shared" si="17"/>
        <v>0</v>
      </c>
      <c r="U52" s="217">
        <f t="shared" si="17"/>
        <v>0</v>
      </c>
      <c r="V52" s="66">
        <f t="shared" si="24"/>
        <v>105.5</v>
      </c>
      <c r="X52" t="s">
        <v>38</v>
      </c>
      <c r="Y52" s="18">
        <v>23</v>
      </c>
      <c r="Z52" s="18">
        <f>F52+(AR52*7)-112</f>
        <v>99</v>
      </c>
      <c r="AA52" s="111">
        <f t="shared" si="22"/>
        <v>0</v>
      </c>
      <c r="AB52" s="111">
        <f t="shared" si="18"/>
        <v>13</v>
      </c>
      <c r="AC52" s="111">
        <f t="shared" si="18"/>
        <v>4</v>
      </c>
      <c r="AD52" s="111">
        <f t="shared" si="18"/>
        <v>4</v>
      </c>
      <c r="AE52" s="111">
        <f t="shared" si="18"/>
        <v>10</v>
      </c>
      <c r="AF52" s="111">
        <f t="shared" si="18"/>
        <v>2</v>
      </c>
      <c r="AG52" s="111">
        <v>17</v>
      </c>
      <c r="AH52" s="47">
        <f>(11470+125+125+785)*1.047</f>
        <v>13092.734999999999</v>
      </c>
      <c r="AI52" s="217">
        <f t="shared" si="23"/>
        <v>0</v>
      </c>
      <c r="AJ52" s="217">
        <f t="shared" si="19"/>
        <v>67</v>
      </c>
      <c r="AK52" s="217">
        <f t="shared" si="19"/>
        <v>6</v>
      </c>
      <c r="AL52" s="217">
        <f t="shared" si="19"/>
        <v>3.5</v>
      </c>
      <c r="AM52" s="217">
        <f t="shared" si="19"/>
        <v>29</v>
      </c>
      <c r="AN52" s="217">
        <f t="shared" si="19"/>
        <v>0</v>
      </c>
      <c r="AO52" s="217">
        <f>U52+AR52</f>
        <v>25</v>
      </c>
      <c r="AP52" s="66">
        <f t="shared" si="25"/>
        <v>130.5</v>
      </c>
      <c r="AQ52" s="110" t="s">
        <v>47</v>
      </c>
      <c r="AR52">
        <v>25</v>
      </c>
      <c r="AS52" s="37">
        <f>AR52/16</f>
        <v>1.5625</v>
      </c>
    </row>
    <row r="53" spans="1:45" x14ac:dyDescent="0.25">
      <c r="A53" t="s">
        <v>35</v>
      </c>
      <c r="B53" s="15" t="str">
        <f t="shared" si="20"/>
        <v>DEF</v>
      </c>
      <c r="C53" s="18" t="str">
        <f t="shared" si="20"/>
        <v>CAB</v>
      </c>
      <c r="D53" s="18" t="str">
        <f t="shared" si="20"/>
        <v>Defensa</v>
      </c>
      <c r="E53" s="18">
        <f t="shared" si="21"/>
        <v>22</v>
      </c>
      <c r="F53" s="18">
        <f t="shared" si="21"/>
        <v>36</v>
      </c>
      <c r="G53" s="111">
        <f t="shared" si="21"/>
        <v>0</v>
      </c>
      <c r="H53" s="111">
        <f t="shared" si="16"/>
        <v>13</v>
      </c>
      <c r="I53" s="111">
        <f t="shared" si="16"/>
        <v>4</v>
      </c>
      <c r="J53" s="111">
        <f t="shared" si="16"/>
        <v>4</v>
      </c>
      <c r="K53" s="111">
        <f t="shared" si="16"/>
        <v>10</v>
      </c>
      <c r="L53" s="111">
        <f t="shared" si="16"/>
        <v>2</v>
      </c>
      <c r="M53" s="111">
        <f t="shared" si="16"/>
        <v>2</v>
      </c>
      <c r="N53" s="47">
        <f t="shared" si="16"/>
        <v>12605.04</v>
      </c>
      <c r="O53" s="217">
        <f t="shared" si="16"/>
        <v>0</v>
      </c>
      <c r="P53" s="217">
        <f t="shared" si="17"/>
        <v>67</v>
      </c>
      <c r="Q53" s="217">
        <f t="shared" si="17"/>
        <v>6</v>
      </c>
      <c r="R53" s="217">
        <f t="shared" si="17"/>
        <v>3.5</v>
      </c>
      <c r="S53" s="217">
        <f t="shared" si="17"/>
        <v>29</v>
      </c>
      <c r="T53" s="217">
        <f t="shared" si="17"/>
        <v>0</v>
      </c>
      <c r="U53" s="217">
        <f t="shared" si="17"/>
        <v>0</v>
      </c>
      <c r="V53" s="66">
        <f t="shared" si="24"/>
        <v>105.5</v>
      </c>
      <c r="X53" t="s">
        <v>35</v>
      </c>
      <c r="Y53" s="18">
        <v>23</v>
      </c>
      <c r="Z53" s="18">
        <f>F53+(AR52*7)-112</f>
        <v>99</v>
      </c>
      <c r="AA53" s="111">
        <f t="shared" si="22"/>
        <v>0</v>
      </c>
      <c r="AB53" s="111">
        <f t="shared" si="18"/>
        <v>13</v>
      </c>
      <c r="AC53" s="111">
        <f t="shared" si="18"/>
        <v>4</v>
      </c>
      <c r="AD53" s="111">
        <f t="shared" si="18"/>
        <v>4</v>
      </c>
      <c r="AE53" s="111">
        <f t="shared" si="18"/>
        <v>10</v>
      </c>
      <c r="AF53" s="111">
        <f t="shared" si="18"/>
        <v>2</v>
      </c>
      <c r="AG53" s="111">
        <v>17</v>
      </c>
      <c r="AH53" s="47">
        <f>(11470+125+125+785)*1.047</f>
        <v>13092.734999999999</v>
      </c>
      <c r="AI53" s="217">
        <f t="shared" si="23"/>
        <v>0</v>
      </c>
      <c r="AJ53" s="217">
        <f t="shared" si="19"/>
        <v>67</v>
      </c>
      <c r="AK53" s="217">
        <f t="shared" si="19"/>
        <v>6</v>
      </c>
      <c r="AL53" s="217">
        <f t="shared" si="19"/>
        <v>3.5</v>
      </c>
      <c r="AM53" s="217">
        <f t="shared" si="19"/>
        <v>29</v>
      </c>
      <c r="AN53" s="217">
        <f t="shared" si="19"/>
        <v>0</v>
      </c>
      <c r="AO53" s="217">
        <f>U53+AR52</f>
        <v>25</v>
      </c>
      <c r="AP53" s="66">
        <f t="shared" si="25"/>
        <v>130.5</v>
      </c>
      <c r="AQ53" s="110"/>
    </row>
    <row r="54" spans="1:45" x14ac:dyDescent="0.25">
      <c r="A54" t="s">
        <v>31</v>
      </c>
      <c r="B54" s="15"/>
      <c r="C54" s="18"/>
      <c r="D54" s="18"/>
      <c r="E54" s="18">
        <f t="shared" si="21"/>
        <v>0</v>
      </c>
      <c r="F54" s="18">
        <f t="shared" si="21"/>
        <v>0</v>
      </c>
      <c r="G54" s="111">
        <f t="shared" si="21"/>
        <v>0</v>
      </c>
      <c r="H54" s="111">
        <f t="shared" si="16"/>
        <v>2</v>
      </c>
      <c r="I54" s="111">
        <f t="shared" si="16"/>
        <v>2</v>
      </c>
      <c r="J54" s="111">
        <f t="shared" si="16"/>
        <v>2</v>
      </c>
      <c r="K54" s="111">
        <f t="shared" si="16"/>
        <v>2</v>
      </c>
      <c r="L54" s="111">
        <f t="shared" si="16"/>
        <v>2</v>
      </c>
      <c r="M54" s="111">
        <f t="shared" si="16"/>
        <v>2</v>
      </c>
      <c r="N54" s="47">
        <f t="shared" si="16"/>
        <v>0</v>
      </c>
      <c r="O54" s="217">
        <f t="shared" si="16"/>
        <v>0</v>
      </c>
      <c r="P54" s="217">
        <f t="shared" si="17"/>
        <v>0</v>
      </c>
      <c r="Q54" s="217">
        <f t="shared" si="17"/>
        <v>0</v>
      </c>
      <c r="R54" s="217">
        <f t="shared" si="17"/>
        <v>0</v>
      </c>
      <c r="S54" s="217">
        <f t="shared" si="17"/>
        <v>0</v>
      </c>
      <c r="T54" s="217">
        <f t="shared" si="17"/>
        <v>0</v>
      </c>
      <c r="U54" s="217">
        <f t="shared" si="17"/>
        <v>0</v>
      </c>
      <c r="V54" s="66">
        <f t="shared" si="24"/>
        <v>0</v>
      </c>
      <c r="X54" t="s">
        <v>31</v>
      </c>
      <c r="Y54" s="18"/>
      <c r="Z54" s="18"/>
      <c r="AA54" s="111">
        <f t="shared" si="22"/>
        <v>0</v>
      </c>
      <c r="AB54" s="111">
        <f t="shared" si="18"/>
        <v>2</v>
      </c>
      <c r="AC54" s="111">
        <f t="shared" si="18"/>
        <v>2</v>
      </c>
      <c r="AD54" s="111">
        <f t="shared" si="18"/>
        <v>2</v>
      </c>
      <c r="AE54" s="111">
        <f t="shared" si="18"/>
        <v>2</v>
      </c>
      <c r="AF54" s="111">
        <f t="shared" si="18"/>
        <v>2</v>
      </c>
      <c r="AG54" s="111">
        <f t="shared" si="18"/>
        <v>2</v>
      </c>
      <c r="AH54" s="47"/>
      <c r="AI54" s="217">
        <f t="shared" si="23"/>
        <v>0</v>
      </c>
      <c r="AJ54" s="217">
        <f t="shared" si="19"/>
        <v>0</v>
      </c>
      <c r="AK54" s="217">
        <f t="shared" si="19"/>
        <v>0</v>
      </c>
      <c r="AL54" s="217">
        <f t="shared" si="19"/>
        <v>0</v>
      </c>
      <c r="AM54" s="217">
        <f t="shared" si="19"/>
        <v>0</v>
      </c>
      <c r="AN54" s="217">
        <f t="shared" si="19"/>
        <v>0</v>
      </c>
      <c r="AO54" s="217">
        <f t="shared" si="19"/>
        <v>0</v>
      </c>
      <c r="AP54" s="66">
        <f t="shared" si="25"/>
        <v>0</v>
      </c>
      <c r="AQ54" s="110"/>
    </row>
    <row r="55" spans="1:45" x14ac:dyDescent="0.25">
      <c r="A55" t="s">
        <v>43</v>
      </c>
      <c r="B55" s="15" t="str">
        <f t="shared" ref="B55:D62" si="26">B37</f>
        <v>INN</v>
      </c>
      <c r="C55" s="18" t="s">
        <v>177</v>
      </c>
      <c r="D55" s="18" t="s">
        <v>335</v>
      </c>
      <c r="E55" s="18">
        <v>22</v>
      </c>
      <c r="F55" s="18">
        <v>70</v>
      </c>
      <c r="G55" s="111">
        <f t="shared" si="21"/>
        <v>0</v>
      </c>
      <c r="H55" s="111">
        <v>11</v>
      </c>
      <c r="I55" s="111">
        <v>12</v>
      </c>
      <c r="J55" s="111">
        <f t="shared" si="16"/>
        <v>2</v>
      </c>
      <c r="K55" s="111">
        <v>8</v>
      </c>
      <c r="L55" s="111">
        <v>5</v>
      </c>
      <c r="M55" s="111">
        <f t="shared" si="16"/>
        <v>2</v>
      </c>
      <c r="N55" s="47">
        <f>(8670+1165+135+125)*1.008</f>
        <v>10175.76</v>
      </c>
      <c r="O55" s="217">
        <f t="shared" si="16"/>
        <v>0</v>
      </c>
      <c r="P55" s="217">
        <v>37</v>
      </c>
      <c r="Q55" s="217">
        <v>48</v>
      </c>
      <c r="R55" s="217">
        <f t="shared" si="17"/>
        <v>0</v>
      </c>
      <c r="S55" s="217">
        <v>18</v>
      </c>
      <c r="T55" s="217">
        <v>8</v>
      </c>
      <c r="U55" s="217">
        <f t="shared" si="17"/>
        <v>0</v>
      </c>
      <c r="V55" s="66">
        <f t="shared" si="24"/>
        <v>111</v>
      </c>
      <c r="X55" t="s">
        <v>43</v>
      </c>
      <c r="Y55" s="18">
        <v>24</v>
      </c>
      <c r="Z55" s="18">
        <f>F55+(AR52*7)-112-112</f>
        <v>21</v>
      </c>
      <c r="AA55" s="111">
        <f t="shared" si="22"/>
        <v>0</v>
      </c>
      <c r="AB55" s="111">
        <f t="shared" si="18"/>
        <v>11</v>
      </c>
      <c r="AC55" s="111">
        <f t="shared" si="18"/>
        <v>12</v>
      </c>
      <c r="AD55" s="111">
        <f t="shared" si="18"/>
        <v>2</v>
      </c>
      <c r="AE55" s="111">
        <f t="shared" si="18"/>
        <v>8</v>
      </c>
      <c r="AF55" s="111">
        <f t="shared" si="18"/>
        <v>5</v>
      </c>
      <c r="AG55" s="111">
        <v>17</v>
      </c>
      <c r="AH55" s="47">
        <f>(8670+1165+135+125)*1.047</f>
        <v>10569.465</v>
      </c>
      <c r="AI55" s="217">
        <f t="shared" si="23"/>
        <v>0</v>
      </c>
      <c r="AJ55" s="217">
        <f t="shared" si="19"/>
        <v>37</v>
      </c>
      <c r="AK55" s="217">
        <f t="shared" si="19"/>
        <v>48</v>
      </c>
      <c r="AL55" s="217">
        <f t="shared" si="19"/>
        <v>0</v>
      </c>
      <c r="AM55" s="217">
        <f t="shared" si="19"/>
        <v>18</v>
      </c>
      <c r="AN55" s="217">
        <f t="shared" si="19"/>
        <v>8</v>
      </c>
      <c r="AO55" s="217">
        <f>U55+AR52</f>
        <v>25</v>
      </c>
      <c r="AP55" s="66">
        <f t="shared" si="25"/>
        <v>136</v>
      </c>
      <c r="AQ55" s="110"/>
    </row>
    <row r="56" spans="1:45" x14ac:dyDescent="0.25">
      <c r="A56" t="s">
        <v>43</v>
      </c>
      <c r="B56" s="15" t="str">
        <f t="shared" si="26"/>
        <v>INN</v>
      </c>
      <c r="C56" s="18" t="s">
        <v>0</v>
      </c>
      <c r="D56" s="18" t="s">
        <v>335</v>
      </c>
      <c r="E56" s="18">
        <v>22</v>
      </c>
      <c r="F56" s="18">
        <v>70</v>
      </c>
      <c r="G56" s="111">
        <f t="shared" si="21"/>
        <v>0</v>
      </c>
      <c r="H56" s="111">
        <v>11</v>
      </c>
      <c r="I56" s="111">
        <v>12</v>
      </c>
      <c r="J56" s="111">
        <f t="shared" si="16"/>
        <v>2</v>
      </c>
      <c r="K56" s="111">
        <v>8</v>
      </c>
      <c r="L56" s="111">
        <v>5</v>
      </c>
      <c r="M56" s="111">
        <f t="shared" si="16"/>
        <v>2</v>
      </c>
      <c r="N56" s="47">
        <f>(8670+1165+135+125)*1.008</f>
        <v>10175.76</v>
      </c>
      <c r="O56" s="217">
        <f t="shared" si="16"/>
        <v>0</v>
      </c>
      <c r="P56" s="217">
        <v>37</v>
      </c>
      <c r="Q56" s="217">
        <v>48</v>
      </c>
      <c r="R56" s="217">
        <f t="shared" si="17"/>
        <v>0</v>
      </c>
      <c r="S56" s="217">
        <v>18</v>
      </c>
      <c r="T56" s="217">
        <v>8</v>
      </c>
      <c r="U56" s="217">
        <f t="shared" si="17"/>
        <v>0</v>
      </c>
      <c r="V56" s="66">
        <f t="shared" si="24"/>
        <v>111</v>
      </c>
      <c r="X56" t="s">
        <v>43</v>
      </c>
      <c r="Y56" s="18">
        <v>24</v>
      </c>
      <c r="Z56" s="18">
        <f>F56+(AR52*7)-112-112</f>
        <v>21</v>
      </c>
      <c r="AA56" s="111">
        <f t="shared" si="22"/>
        <v>0</v>
      </c>
      <c r="AB56" s="111">
        <f t="shared" si="18"/>
        <v>11</v>
      </c>
      <c r="AC56" s="111">
        <f t="shared" si="18"/>
        <v>12</v>
      </c>
      <c r="AD56" s="111">
        <f t="shared" si="18"/>
        <v>2</v>
      </c>
      <c r="AE56" s="111">
        <f t="shared" si="18"/>
        <v>8</v>
      </c>
      <c r="AF56" s="111">
        <f t="shared" si="18"/>
        <v>5</v>
      </c>
      <c r="AG56" s="111">
        <v>17</v>
      </c>
      <c r="AH56" s="47">
        <f>(8670+1165+135+125)*1.047</f>
        <v>10569.465</v>
      </c>
      <c r="AI56" s="217">
        <f t="shared" si="23"/>
        <v>0</v>
      </c>
      <c r="AJ56" s="217">
        <f t="shared" si="19"/>
        <v>37</v>
      </c>
      <c r="AK56" s="217">
        <f t="shared" si="19"/>
        <v>48</v>
      </c>
      <c r="AL56" s="217">
        <f t="shared" si="19"/>
        <v>0</v>
      </c>
      <c r="AM56" s="217">
        <f t="shared" si="19"/>
        <v>18</v>
      </c>
      <c r="AN56" s="217">
        <f t="shared" si="19"/>
        <v>8</v>
      </c>
      <c r="AO56" s="217">
        <f>U56+AR52</f>
        <v>25</v>
      </c>
      <c r="AP56" s="66">
        <f t="shared" si="25"/>
        <v>136</v>
      </c>
      <c r="AQ56" s="110"/>
    </row>
    <row r="57" spans="1:45" x14ac:dyDescent="0.25">
      <c r="A57" t="s">
        <v>36</v>
      </c>
      <c r="B57" s="15" t="str">
        <f t="shared" si="26"/>
        <v>EXT</v>
      </c>
      <c r="C57" s="18" t="str">
        <f t="shared" si="26"/>
        <v>RAP</v>
      </c>
      <c r="D57" s="18" t="str">
        <f t="shared" si="26"/>
        <v>E. Cubas</v>
      </c>
      <c r="E57" s="18">
        <f t="shared" ref="E57:G62" si="27">Y39</f>
        <v>22</v>
      </c>
      <c r="F57" s="18">
        <f t="shared" si="27"/>
        <v>19.5</v>
      </c>
      <c r="G57" s="111">
        <f t="shared" si="27"/>
        <v>0</v>
      </c>
      <c r="H57" s="111">
        <f t="shared" si="16"/>
        <v>9</v>
      </c>
      <c r="I57" s="111">
        <f t="shared" si="16"/>
        <v>5.7</v>
      </c>
      <c r="J57" s="111">
        <f t="shared" si="16"/>
        <v>13.285714285714286</v>
      </c>
      <c r="K57" s="111">
        <f t="shared" si="16"/>
        <v>5.25</v>
      </c>
      <c r="L57" s="111">
        <f t="shared" si="16"/>
        <v>7.4</v>
      </c>
      <c r="M57" s="111">
        <f t="shared" si="16"/>
        <v>5</v>
      </c>
      <c r="N57" s="47">
        <f t="shared" si="16"/>
        <v>9398</v>
      </c>
      <c r="O57" s="217">
        <f t="shared" si="16"/>
        <v>0</v>
      </c>
      <c r="P57" s="217">
        <f t="shared" si="17"/>
        <v>30</v>
      </c>
      <c r="Q57" s="217">
        <f t="shared" si="17"/>
        <v>13</v>
      </c>
      <c r="R57" s="217">
        <f t="shared" si="17"/>
        <v>42</v>
      </c>
      <c r="S57" s="217">
        <f t="shared" si="17"/>
        <v>8</v>
      </c>
      <c r="T57" s="217">
        <f t="shared" si="17"/>
        <v>18</v>
      </c>
      <c r="U57" s="217">
        <f t="shared" si="17"/>
        <v>3</v>
      </c>
      <c r="V57" s="66">
        <f t="shared" si="24"/>
        <v>114</v>
      </c>
      <c r="X57" t="s">
        <v>36</v>
      </c>
      <c r="Y57" s="18">
        <v>23</v>
      </c>
      <c r="Z57" s="18">
        <f>F57+(AR52*7)-112</f>
        <v>82.5</v>
      </c>
      <c r="AA57" s="111">
        <f t="shared" si="22"/>
        <v>0</v>
      </c>
      <c r="AB57" s="111">
        <f t="shared" si="18"/>
        <v>9</v>
      </c>
      <c r="AC57" s="111">
        <f t="shared" si="18"/>
        <v>5.7</v>
      </c>
      <c r="AD57" s="111">
        <f t="shared" si="18"/>
        <v>13.285714285714286</v>
      </c>
      <c r="AE57" s="111">
        <f t="shared" si="18"/>
        <v>5.25</v>
      </c>
      <c r="AF57" s="111">
        <f t="shared" si="18"/>
        <v>7.4</v>
      </c>
      <c r="AG57" s="111">
        <f>17+3/4</f>
        <v>17.75</v>
      </c>
      <c r="AH57" s="47">
        <f>(155+8000+140+300+655)*1.051</f>
        <v>9721.75</v>
      </c>
      <c r="AI57" s="217">
        <f t="shared" si="23"/>
        <v>0</v>
      </c>
      <c r="AJ57" s="217">
        <f t="shared" si="19"/>
        <v>30</v>
      </c>
      <c r="AK57" s="217">
        <f t="shared" si="19"/>
        <v>13</v>
      </c>
      <c r="AL57" s="217">
        <f t="shared" si="19"/>
        <v>42</v>
      </c>
      <c r="AM57" s="217">
        <f t="shared" si="19"/>
        <v>8</v>
      </c>
      <c r="AN57" s="217">
        <f t="shared" si="19"/>
        <v>18</v>
      </c>
      <c r="AO57" s="217">
        <f>U57+AR52</f>
        <v>28</v>
      </c>
      <c r="AP57" s="66">
        <f t="shared" si="25"/>
        <v>139</v>
      </c>
      <c r="AQ57" s="110"/>
    </row>
    <row r="58" spans="1:45" x14ac:dyDescent="0.25">
      <c r="A58" t="s">
        <v>40</v>
      </c>
      <c r="B58" s="15" t="str">
        <f t="shared" si="26"/>
        <v>EXT</v>
      </c>
      <c r="C58" s="18" t="str">
        <f t="shared" si="26"/>
        <v>IMP</v>
      </c>
      <c r="D58" s="18" t="str">
        <f t="shared" si="26"/>
        <v>V. Gomis</v>
      </c>
      <c r="E58" s="18">
        <f t="shared" si="27"/>
        <v>22</v>
      </c>
      <c r="F58" s="18">
        <f t="shared" si="27"/>
        <v>23.5</v>
      </c>
      <c r="G58" s="111">
        <f t="shared" si="27"/>
        <v>0</v>
      </c>
      <c r="H58" s="111">
        <f t="shared" si="16"/>
        <v>10.777777777777779</v>
      </c>
      <c r="I58" s="111">
        <f t="shared" si="16"/>
        <v>3</v>
      </c>
      <c r="J58" s="111">
        <f t="shared" si="16"/>
        <v>12</v>
      </c>
      <c r="K58" s="111">
        <f t="shared" si="16"/>
        <v>5.2</v>
      </c>
      <c r="L58" s="111">
        <f t="shared" si="16"/>
        <v>7</v>
      </c>
      <c r="M58" s="111">
        <f t="shared" si="16"/>
        <v>3</v>
      </c>
      <c r="N58" s="47">
        <f t="shared" si="16"/>
        <v>6732.8360000000002</v>
      </c>
      <c r="O58" s="217">
        <f t="shared" si="16"/>
        <v>0</v>
      </c>
      <c r="P58" s="217">
        <f t="shared" si="17"/>
        <v>44</v>
      </c>
      <c r="Q58" s="217">
        <f t="shared" si="17"/>
        <v>3</v>
      </c>
      <c r="R58" s="217">
        <f t="shared" si="17"/>
        <v>33</v>
      </c>
      <c r="S58" s="217">
        <f t="shared" si="17"/>
        <v>8</v>
      </c>
      <c r="T58" s="217">
        <f t="shared" si="17"/>
        <v>16</v>
      </c>
      <c r="U58" s="217">
        <f t="shared" si="17"/>
        <v>1</v>
      </c>
      <c r="V58" s="66">
        <f>SUM(O58:U58)</f>
        <v>105</v>
      </c>
      <c r="X58" t="s">
        <v>40</v>
      </c>
      <c r="Y58" s="18">
        <v>23</v>
      </c>
      <c r="Z58" s="18">
        <f>F58+(AR52*7)-112</f>
        <v>86.5</v>
      </c>
      <c r="AA58" s="111">
        <f t="shared" si="22"/>
        <v>0</v>
      </c>
      <c r="AB58" s="111">
        <f t="shared" si="18"/>
        <v>10.777777777777779</v>
      </c>
      <c r="AC58" s="111">
        <f t="shared" si="18"/>
        <v>3</v>
      </c>
      <c r="AD58" s="111">
        <f t="shared" si="18"/>
        <v>12</v>
      </c>
      <c r="AE58" s="111">
        <f t="shared" si="18"/>
        <v>5.2</v>
      </c>
      <c r="AF58" s="111">
        <f t="shared" si="18"/>
        <v>7</v>
      </c>
      <c r="AG58" s="111">
        <f>17+1/4</f>
        <v>17.25</v>
      </c>
      <c r="AH58" s="47">
        <f>(1800+138+4470+245)*1.05</f>
        <v>6985.6500000000005</v>
      </c>
      <c r="AI58" s="217">
        <f t="shared" si="23"/>
        <v>0</v>
      </c>
      <c r="AJ58" s="217">
        <f t="shared" si="19"/>
        <v>44</v>
      </c>
      <c r="AK58" s="217">
        <f t="shared" si="19"/>
        <v>3</v>
      </c>
      <c r="AL58" s="217">
        <f t="shared" si="19"/>
        <v>33</v>
      </c>
      <c r="AM58" s="217">
        <f t="shared" si="19"/>
        <v>8</v>
      </c>
      <c r="AN58" s="217">
        <f t="shared" si="19"/>
        <v>16</v>
      </c>
      <c r="AO58" s="217">
        <f>U58+AR52</f>
        <v>26</v>
      </c>
      <c r="AP58" s="66">
        <f>SUM(AI58:AO58)</f>
        <v>130</v>
      </c>
      <c r="AQ58" s="110"/>
    </row>
    <row r="59" spans="1:45" x14ac:dyDescent="0.25">
      <c r="A59" t="s">
        <v>34</v>
      </c>
      <c r="B59" s="15" t="str">
        <f t="shared" si="26"/>
        <v>EXT</v>
      </c>
      <c r="C59" s="18" t="str">
        <f t="shared" si="26"/>
        <v>IMP</v>
      </c>
      <c r="D59" s="18" t="str">
        <f t="shared" si="26"/>
        <v>J.G. Peñuela</v>
      </c>
      <c r="E59" s="18">
        <f t="shared" si="27"/>
        <v>22</v>
      </c>
      <c r="F59" s="18">
        <f t="shared" si="27"/>
        <v>19.5</v>
      </c>
      <c r="G59" s="111">
        <f t="shared" si="27"/>
        <v>0</v>
      </c>
      <c r="H59" s="111">
        <f t="shared" si="16"/>
        <v>9.4285714285714288</v>
      </c>
      <c r="I59" s="111">
        <f t="shared" si="16"/>
        <v>5</v>
      </c>
      <c r="J59" s="111">
        <f t="shared" si="16"/>
        <v>12.285714285714286</v>
      </c>
      <c r="K59" s="111">
        <f t="shared" si="16"/>
        <v>4</v>
      </c>
      <c r="L59" s="111">
        <f t="shared" si="16"/>
        <v>7.4</v>
      </c>
      <c r="M59" s="111">
        <f t="shared" si="16"/>
        <v>3</v>
      </c>
      <c r="N59" s="47">
        <f t="shared" si="16"/>
        <v>6512.22</v>
      </c>
      <c r="O59" s="217">
        <f t="shared" si="16"/>
        <v>0</v>
      </c>
      <c r="P59" s="217">
        <f t="shared" si="17"/>
        <v>33</v>
      </c>
      <c r="Q59" s="217">
        <f t="shared" si="17"/>
        <v>9</v>
      </c>
      <c r="R59" s="217">
        <f t="shared" si="17"/>
        <v>35</v>
      </c>
      <c r="S59" s="217">
        <f t="shared" si="17"/>
        <v>4</v>
      </c>
      <c r="T59" s="217">
        <f t="shared" si="17"/>
        <v>18</v>
      </c>
      <c r="U59" s="217">
        <f t="shared" si="17"/>
        <v>1</v>
      </c>
      <c r="V59" s="66">
        <f>SUM(O59:U59)</f>
        <v>100</v>
      </c>
      <c r="X59" t="s">
        <v>34</v>
      </c>
      <c r="Y59" s="18">
        <v>23</v>
      </c>
      <c r="Z59" s="18">
        <f>F59+(AR52*7)-112</f>
        <v>82.5</v>
      </c>
      <c r="AA59" s="111">
        <f t="shared" si="22"/>
        <v>0</v>
      </c>
      <c r="AB59" s="111">
        <f t="shared" si="18"/>
        <v>9.4285714285714288</v>
      </c>
      <c r="AC59" s="111">
        <f t="shared" si="18"/>
        <v>5</v>
      </c>
      <c r="AD59" s="111">
        <f t="shared" si="18"/>
        <v>12.285714285714286</v>
      </c>
      <c r="AE59" s="111">
        <f t="shared" si="18"/>
        <v>4</v>
      </c>
      <c r="AF59" s="111">
        <f t="shared" si="18"/>
        <v>7.4</v>
      </c>
      <c r="AG59" s="111">
        <f>17+1/4</f>
        <v>17.25</v>
      </c>
      <c r="AH59" s="47">
        <f>(135+5000+125+300+875)*1.05</f>
        <v>6756.75</v>
      </c>
      <c r="AI59" s="217">
        <f t="shared" si="23"/>
        <v>0</v>
      </c>
      <c r="AJ59" s="217">
        <f t="shared" si="19"/>
        <v>33</v>
      </c>
      <c r="AK59" s="217">
        <f t="shared" si="19"/>
        <v>9</v>
      </c>
      <c r="AL59" s="217">
        <f t="shared" si="19"/>
        <v>35</v>
      </c>
      <c r="AM59" s="217">
        <f t="shared" si="19"/>
        <v>4</v>
      </c>
      <c r="AN59" s="217">
        <f t="shared" si="19"/>
        <v>18</v>
      </c>
      <c r="AO59" s="217">
        <f>U59+AR52</f>
        <v>26</v>
      </c>
      <c r="AP59" s="66">
        <f>SUM(AI59:AO59)</f>
        <v>125</v>
      </c>
      <c r="AQ59" s="110"/>
    </row>
    <row r="60" spans="1:45" x14ac:dyDescent="0.25">
      <c r="A60" t="s">
        <v>42</v>
      </c>
      <c r="B60" s="15" t="str">
        <f t="shared" si="26"/>
        <v>DAV</v>
      </c>
      <c r="C60" s="18" t="s">
        <v>0</v>
      </c>
      <c r="D60" s="18" t="s">
        <v>337</v>
      </c>
      <c r="E60" s="18">
        <v>22</v>
      </c>
      <c r="F60" s="18">
        <v>64</v>
      </c>
      <c r="G60" s="111">
        <f t="shared" si="27"/>
        <v>0</v>
      </c>
      <c r="H60" s="111">
        <f t="shared" si="16"/>
        <v>2</v>
      </c>
      <c r="I60" s="111">
        <f t="shared" si="16"/>
        <v>2</v>
      </c>
      <c r="J60" s="111">
        <v>8</v>
      </c>
      <c r="K60" s="111">
        <v>8</v>
      </c>
      <c r="L60" s="111">
        <v>13</v>
      </c>
      <c r="M60" s="111">
        <v>10</v>
      </c>
      <c r="N60" s="47">
        <f>(12930+275+135)*1.023</f>
        <v>13646.819999999998</v>
      </c>
      <c r="O60" s="217">
        <f t="shared" si="16"/>
        <v>0</v>
      </c>
      <c r="P60" s="217">
        <f t="shared" si="17"/>
        <v>0</v>
      </c>
      <c r="Q60" s="217">
        <f t="shared" si="17"/>
        <v>0</v>
      </c>
      <c r="R60" s="217">
        <v>15</v>
      </c>
      <c r="S60" s="217">
        <v>18</v>
      </c>
      <c r="T60" s="217">
        <v>59</v>
      </c>
      <c r="U60" s="217">
        <v>8</v>
      </c>
      <c r="V60" s="66">
        <f>SUM(O60:U60)</f>
        <v>100</v>
      </c>
      <c r="X60" t="s">
        <v>42</v>
      </c>
      <c r="Y60" s="18">
        <v>24</v>
      </c>
      <c r="Z60" s="18">
        <f>F60+(AR52*7)-112-112</f>
        <v>15</v>
      </c>
      <c r="AA60" s="111">
        <f t="shared" si="22"/>
        <v>0</v>
      </c>
      <c r="AB60" s="111">
        <f t="shared" si="18"/>
        <v>2</v>
      </c>
      <c r="AC60" s="111">
        <f t="shared" si="18"/>
        <v>2</v>
      </c>
      <c r="AD60" s="111">
        <f t="shared" si="18"/>
        <v>8</v>
      </c>
      <c r="AE60" s="111">
        <f t="shared" si="18"/>
        <v>8</v>
      </c>
      <c r="AF60" s="111">
        <f t="shared" si="18"/>
        <v>13</v>
      </c>
      <c r="AG60" s="111">
        <v>19</v>
      </c>
      <c r="AH60" s="47">
        <f>(12930+275+135)*1.06</f>
        <v>14140.400000000001</v>
      </c>
      <c r="AI60" s="217">
        <f t="shared" si="23"/>
        <v>0</v>
      </c>
      <c r="AJ60" s="217">
        <f t="shared" si="19"/>
        <v>0</v>
      </c>
      <c r="AK60" s="217">
        <f t="shared" si="19"/>
        <v>0</v>
      </c>
      <c r="AL60" s="217">
        <f t="shared" si="19"/>
        <v>15</v>
      </c>
      <c r="AM60" s="217">
        <f t="shared" si="19"/>
        <v>18</v>
      </c>
      <c r="AN60" s="217">
        <f t="shared" si="19"/>
        <v>59</v>
      </c>
      <c r="AO60" s="217">
        <f>U60+AR52</f>
        <v>33</v>
      </c>
      <c r="AP60" s="66">
        <f>SUM(AI60:AO60)</f>
        <v>125</v>
      </c>
      <c r="AQ60" s="110"/>
    </row>
    <row r="61" spans="1:45" x14ac:dyDescent="0.25">
      <c r="A61" t="s">
        <v>46</v>
      </c>
      <c r="B61" s="15" t="str">
        <f t="shared" si="26"/>
        <v>DAV</v>
      </c>
      <c r="C61" s="18" t="s">
        <v>45</v>
      </c>
      <c r="D61" s="18" t="s">
        <v>337</v>
      </c>
      <c r="E61" s="18">
        <v>22</v>
      </c>
      <c r="F61" s="18">
        <v>64</v>
      </c>
      <c r="G61" s="111">
        <f t="shared" si="27"/>
        <v>0</v>
      </c>
      <c r="H61" s="111">
        <f t="shared" si="16"/>
        <v>2</v>
      </c>
      <c r="I61" s="111">
        <f t="shared" si="16"/>
        <v>2</v>
      </c>
      <c r="J61" s="111">
        <v>8</v>
      </c>
      <c r="K61" s="111">
        <v>8</v>
      </c>
      <c r="L61" s="111">
        <v>13</v>
      </c>
      <c r="M61" s="111">
        <v>10</v>
      </c>
      <c r="N61" s="47">
        <f>(12930+275+135)*1.023</f>
        <v>13646.819999999998</v>
      </c>
      <c r="O61" s="217">
        <f t="shared" si="16"/>
        <v>0</v>
      </c>
      <c r="P61" s="217">
        <f t="shared" si="17"/>
        <v>0</v>
      </c>
      <c r="Q61" s="217">
        <f t="shared" si="17"/>
        <v>0</v>
      </c>
      <c r="R61" s="217">
        <v>15</v>
      </c>
      <c r="S61" s="217">
        <v>18</v>
      </c>
      <c r="T61" s="217">
        <v>59</v>
      </c>
      <c r="U61" s="217">
        <v>8</v>
      </c>
      <c r="V61" s="66">
        <f>SUM(O61:U61)</f>
        <v>100</v>
      </c>
      <c r="X61" t="s">
        <v>46</v>
      </c>
      <c r="Y61" s="18">
        <v>24</v>
      </c>
      <c r="Z61" s="18">
        <f>F61+(AR52*7)-112-112</f>
        <v>15</v>
      </c>
      <c r="AA61" s="111">
        <f t="shared" si="22"/>
        <v>0</v>
      </c>
      <c r="AB61" s="111">
        <f t="shared" si="18"/>
        <v>2</v>
      </c>
      <c r="AC61" s="111">
        <f t="shared" si="18"/>
        <v>2</v>
      </c>
      <c r="AD61" s="111">
        <f t="shared" si="18"/>
        <v>8</v>
      </c>
      <c r="AE61" s="111">
        <f t="shared" si="18"/>
        <v>8</v>
      </c>
      <c r="AF61" s="111">
        <f t="shared" si="18"/>
        <v>13</v>
      </c>
      <c r="AG61" s="111">
        <v>19</v>
      </c>
      <c r="AH61" s="47">
        <f>(12930+275+135)*1.06</f>
        <v>14140.400000000001</v>
      </c>
      <c r="AI61" s="217">
        <f t="shared" si="23"/>
        <v>0</v>
      </c>
      <c r="AJ61" s="217">
        <f t="shared" si="19"/>
        <v>0</v>
      </c>
      <c r="AK61" s="217">
        <f t="shared" si="19"/>
        <v>0</v>
      </c>
      <c r="AL61" s="217">
        <f t="shared" si="19"/>
        <v>15</v>
      </c>
      <c r="AM61" s="217">
        <f t="shared" si="19"/>
        <v>18</v>
      </c>
      <c r="AN61" s="217">
        <f t="shared" si="19"/>
        <v>59</v>
      </c>
      <c r="AO61" s="217">
        <f>U61+AR52</f>
        <v>33</v>
      </c>
      <c r="AP61" s="66">
        <f>SUM(AI61:AO61)</f>
        <v>125</v>
      </c>
      <c r="AQ61" s="110"/>
    </row>
    <row r="62" spans="1:45" x14ac:dyDescent="0.25">
      <c r="A62" t="s">
        <v>334</v>
      </c>
      <c r="B62" s="15" t="str">
        <f t="shared" si="26"/>
        <v>DAV</v>
      </c>
      <c r="C62" s="18" t="s">
        <v>296</v>
      </c>
      <c r="D62" s="18" t="s">
        <v>337</v>
      </c>
      <c r="E62" s="18">
        <v>22</v>
      </c>
      <c r="F62" s="18">
        <v>64</v>
      </c>
      <c r="G62" s="111">
        <f t="shared" si="27"/>
        <v>0</v>
      </c>
      <c r="H62" s="111">
        <f t="shared" si="16"/>
        <v>2</v>
      </c>
      <c r="I62" s="111">
        <f t="shared" si="16"/>
        <v>2</v>
      </c>
      <c r="J62" s="111">
        <v>8</v>
      </c>
      <c r="K62" s="111">
        <v>8</v>
      </c>
      <c r="L62" s="111">
        <v>13</v>
      </c>
      <c r="M62" s="111">
        <v>10</v>
      </c>
      <c r="N62" s="47">
        <f>(12930+275+135)*1.023</f>
        <v>13646.819999999998</v>
      </c>
      <c r="O62" s="217">
        <f t="shared" si="16"/>
        <v>0</v>
      </c>
      <c r="P62" s="217">
        <f t="shared" si="17"/>
        <v>0</v>
      </c>
      <c r="Q62" s="217">
        <f t="shared" si="17"/>
        <v>0</v>
      </c>
      <c r="R62" s="217">
        <v>15</v>
      </c>
      <c r="S62" s="217">
        <v>18</v>
      </c>
      <c r="T62" s="217">
        <v>59</v>
      </c>
      <c r="U62" s="217">
        <v>8</v>
      </c>
      <c r="V62" s="66">
        <f>SUM(O62:U62)</f>
        <v>100</v>
      </c>
      <c r="X62" t="s">
        <v>334</v>
      </c>
      <c r="Y62" s="18">
        <v>24</v>
      </c>
      <c r="Z62" s="18">
        <f>F62+(AR52*7)-112-112</f>
        <v>15</v>
      </c>
      <c r="AA62" s="111">
        <f t="shared" si="22"/>
        <v>0</v>
      </c>
      <c r="AB62" s="111">
        <f t="shared" si="18"/>
        <v>2</v>
      </c>
      <c r="AC62" s="111">
        <f t="shared" si="18"/>
        <v>2</v>
      </c>
      <c r="AD62" s="111">
        <f t="shared" si="18"/>
        <v>8</v>
      </c>
      <c r="AE62" s="111">
        <f t="shared" si="18"/>
        <v>8</v>
      </c>
      <c r="AF62" s="111">
        <f t="shared" si="18"/>
        <v>13</v>
      </c>
      <c r="AG62" s="111">
        <v>19</v>
      </c>
      <c r="AH62" s="47">
        <f>(12930+275+135)*1.06</f>
        <v>14140.400000000001</v>
      </c>
      <c r="AI62" s="217">
        <f t="shared" si="23"/>
        <v>0</v>
      </c>
      <c r="AJ62" s="217">
        <f t="shared" si="19"/>
        <v>0</v>
      </c>
      <c r="AK62" s="217">
        <f t="shared" si="19"/>
        <v>0</v>
      </c>
      <c r="AL62" s="217">
        <f t="shared" si="19"/>
        <v>15</v>
      </c>
      <c r="AM62" s="217">
        <f t="shared" si="19"/>
        <v>18</v>
      </c>
      <c r="AN62" s="217">
        <f t="shared" si="19"/>
        <v>59</v>
      </c>
      <c r="AO62" s="217">
        <f>U62+AR52</f>
        <v>33</v>
      </c>
      <c r="AP62" s="66">
        <f>SUM(AI62:AO62)</f>
        <v>125</v>
      </c>
      <c r="AQ62" s="110"/>
    </row>
    <row r="63" spans="1:45" x14ac:dyDescent="0.25">
      <c r="AQ63" s="110"/>
    </row>
    <row r="64" spans="1:45" x14ac:dyDescent="0.25">
      <c r="AQ64" s="110"/>
    </row>
    <row r="65" spans="43:43" x14ac:dyDescent="0.25">
      <c r="AQ65" s="110"/>
    </row>
    <row r="66" spans="43:43" x14ac:dyDescent="0.25">
      <c r="AQ66" s="110"/>
    </row>
    <row r="67" spans="43:43" x14ac:dyDescent="0.25">
      <c r="AQ67" s="110"/>
    </row>
    <row r="68" spans="43:43" x14ac:dyDescent="0.25">
      <c r="AQ68" s="110"/>
    </row>
    <row r="69" spans="43:43" x14ac:dyDescent="0.25">
      <c r="AQ69" s="110"/>
    </row>
    <row r="70" spans="43:43" x14ac:dyDescent="0.25">
      <c r="AQ70" s="110"/>
    </row>
    <row r="71" spans="43:43" x14ac:dyDescent="0.25">
      <c r="AQ71" s="110"/>
    </row>
    <row r="72" spans="43:43" x14ac:dyDescent="0.25">
      <c r="AQ72" s="110"/>
    </row>
    <row r="73" spans="43:43" x14ac:dyDescent="0.25">
      <c r="AQ73" s="110"/>
    </row>
    <row r="74" spans="43:43" x14ac:dyDescent="0.25">
      <c r="AQ74" s="110"/>
    </row>
    <row r="75" spans="43:43" x14ac:dyDescent="0.25">
      <c r="AQ75" s="110"/>
    </row>
    <row r="76" spans="43:43" x14ac:dyDescent="0.25">
      <c r="AQ76" s="110"/>
    </row>
    <row r="77" spans="43:43" x14ac:dyDescent="0.25">
      <c r="AQ77" s="110"/>
    </row>
    <row r="78" spans="43:43" x14ac:dyDescent="0.25">
      <c r="AQ78" s="110"/>
    </row>
    <row r="79" spans="43:43" x14ac:dyDescent="0.25">
      <c r="AQ79" s="110"/>
    </row>
    <row r="80" spans="43:43" x14ac:dyDescent="0.25">
      <c r="AQ80" s="110"/>
    </row>
    <row r="81" spans="43:43" x14ac:dyDescent="0.25">
      <c r="AQ81" s="110"/>
    </row>
    <row r="82" spans="43:43" x14ac:dyDescent="0.25">
      <c r="AQ82" s="110"/>
    </row>
    <row r="83" spans="43:43" x14ac:dyDescent="0.25">
      <c r="AQ83" s="110"/>
    </row>
    <row r="84" spans="43:43" x14ac:dyDescent="0.25">
      <c r="AQ84" s="110"/>
    </row>
    <row r="85" spans="43:43" x14ac:dyDescent="0.25">
      <c r="AQ85" s="110"/>
    </row>
    <row r="86" spans="43:43" x14ac:dyDescent="0.25">
      <c r="AQ86" s="110"/>
    </row>
    <row r="87" spans="43:43" x14ac:dyDescent="0.25">
      <c r="AQ87" s="110"/>
    </row>
    <row r="88" spans="43:43" x14ac:dyDescent="0.25">
      <c r="AQ88" s="110"/>
    </row>
    <row r="89" spans="43:43" x14ac:dyDescent="0.25">
      <c r="AQ89" s="110"/>
    </row>
    <row r="90" spans="43:43" x14ac:dyDescent="0.25">
      <c r="AQ90" s="110"/>
    </row>
    <row r="91" spans="43:43" x14ac:dyDescent="0.25">
      <c r="AQ91" s="110"/>
    </row>
    <row r="92" spans="43:43" x14ac:dyDescent="0.25">
      <c r="AQ92" s="110"/>
    </row>
    <row r="93" spans="43:43" x14ac:dyDescent="0.25">
      <c r="AQ93" s="110"/>
    </row>
    <row r="94" spans="43:43" x14ac:dyDescent="0.25">
      <c r="AQ94" s="110"/>
    </row>
    <row r="95" spans="43:43" x14ac:dyDescent="0.25">
      <c r="AQ95" s="110"/>
    </row>
    <row r="96" spans="43:43" x14ac:dyDescent="0.25">
      <c r="AQ96" s="110"/>
    </row>
    <row r="97" spans="43:43" x14ac:dyDescent="0.25">
      <c r="AQ97" s="110"/>
    </row>
    <row r="98" spans="43:43" x14ac:dyDescent="0.25">
      <c r="AQ98" s="110"/>
    </row>
    <row r="99" spans="43:43" x14ac:dyDescent="0.25">
      <c r="AQ99" s="110"/>
    </row>
    <row r="100" spans="43:43" x14ac:dyDescent="0.25">
      <c r="AQ100" s="110"/>
    </row>
    <row r="101" spans="43:43" x14ac:dyDescent="0.25">
      <c r="AQ101" s="110"/>
    </row>
    <row r="102" spans="43:43" x14ac:dyDescent="0.25">
      <c r="AQ102" s="110"/>
    </row>
    <row r="103" spans="43:43" x14ac:dyDescent="0.25">
      <c r="AQ103" s="110"/>
    </row>
    <row r="104" spans="43:43" x14ac:dyDescent="0.25">
      <c r="AQ104" s="110"/>
    </row>
    <row r="105" spans="43:43" x14ac:dyDescent="0.25">
      <c r="AQ105" s="110"/>
    </row>
    <row r="106" spans="43:43" x14ac:dyDescent="0.25">
      <c r="AQ106" s="110"/>
    </row>
  </sheetData>
  <conditionalFormatting sqref="G11:M26">
    <cfRule type="colorScale" priority="18">
      <colorScale>
        <cfvo type="min"/>
        <cfvo type="max"/>
        <color rgb="FFFFEF9C"/>
        <color rgb="FF63BE7B"/>
      </colorScale>
    </cfRule>
  </conditionalFormatting>
  <conditionalFormatting sqref="N11:N26">
    <cfRule type="dataBar" priority="17">
      <dataBar>
        <cfvo type="min"/>
        <cfvo type="max"/>
        <color rgb="FFFF555A"/>
      </dataBar>
      <extLst>
        <ext xmlns:x14="http://schemas.microsoft.com/office/spreadsheetml/2009/9/main" uri="{B025F937-C7B1-47D3-B67F-A62EFF666E3E}">
          <x14:id>{2C31B130-866A-4D38-B87B-4BF99BA9ED76}</x14:id>
        </ext>
      </extLst>
    </cfRule>
  </conditionalFormatting>
  <conditionalFormatting sqref="O11:U26">
    <cfRule type="colorScale" priority="16">
      <colorScale>
        <cfvo type="min"/>
        <cfvo type="max"/>
        <color rgb="FFFCFCFF"/>
        <color rgb="FF63BE7B"/>
      </colorScale>
    </cfRule>
  </conditionalFormatting>
  <conditionalFormatting sqref="AA11:AG26">
    <cfRule type="colorScale" priority="15">
      <colorScale>
        <cfvo type="min"/>
        <cfvo type="max"/>
        <color rgb="FFFFEF9C"/>
        <color rgb="FF63BE7B"/>
      </colorScale>
    </cfRule>
  </conditionalFormatting>
  <conditionalFormatting sqref="AH11:AH26">
    <cfRule type="dataBar" priority="14">
      <dataBar>
        <cfvo type="min"/>
        <cfvo type="max"/>
        <color rgb="FFFF555A"/>
      </dataBar>
      <extLst>
        <ext xmlns:x14="http://schemas.microsoft.com/office/spreadsheetml/2009/9/main" uri="{B025F937-C7B1-47D3-B67F-A62EFF666E3E}">
          <x14:id>{9A8A6755-3EE2-48A9-8471-3781CF90528D}</x14:id>
        </ext>
      </extLst>
    </cfRule>
  </conditionalFormatting>
  <conditionalFormatting sqref="AI11:AO26">
    <cfRule type="colorScale" priority="13">
      <colorScale>
        <cfvo type="min"/>
        <cfvo type="max"/>
        <color rgb="FFFCFCFF"/>
        <color rgb="FF63BE7B"/>
      </colorScale>
    </cfRule>
  </conditionalFormatting>
  <conditionalFormatting sqref="G29:M44">
    <cfRule type="colorScale" priority="12">
      <colorScale>
        <cfvo type="min"/>
        <cfvo type="max"/>
        <color rgb="FFFFEF9C"/>
        <color rgb="FF63BE7B"/>
      </colorScale>
    </cfRule>
  </conditionalFormatting>
  <conditionalFormatting sqref="N29:N44">
    <cfRule type="dataBar" priority="11">
      <dataBar>
        <cfvo type="min"/>
        <cfvo type="max"/>
        <color rgb="FFFF555A"/>
      </dataBar>
      <extLst>
        <ext xmlns:x14="http://schemas.microsoft.com/office/spreadsheetml/2009/9/main" uri="{B025F937-C7B1-47D3-B67F-A62EFF666E3E}">
          <x14:id>{4F192B36-CBCD-4298-80A2-E64EC539F0FF}</x14:id>
        </ext>
      </extLst>
    </cfRule>
  </conditionalFormatting>
  <conditionalFormatting sqref="O29:U44">
    <cfRule type="colorScale" priority="10">
      <colorScale>
        <cfvo type="min"/>
        <cfvo type="max"/>
        <color rgb="FFFCFCFF"/>
        <color rgb="FF63BE7B"/>
      </colorScale>
    </cfRule>
  </conditionalFormatting>
  <conditionalFormatting sqref="AA29:AG44">
    <cfRule type="colorScale" priority="9">
      <colorScale>
        <cfvo type="min"/>
        <cfvo type="max"/>
        <color rgb="FFFFEF9C"/>
        <color rgb="FF63BE7B"/>
      </colorScale>
    </cfRule>
  </conditionalFormatting>
  <conditionalFormatting sqref="AH29:AH44">
    <cfRule type="dataBar" priority="8">
      <dataBar>
        <cfvo type="min"/>
        <cfvo type="max"/>
        <color rgb="FFFF555A"/>
      </dataBar>
      <extLst>
        <ext xmlns:x14="http://schemas.microsoft.com/office/spreadsheetml/2009/9/main" uri="{B025F937-C7B1-47D3-B67F-A62EFF666E3E}">
          <x14:id>{C624B6BD-BE2E-4C88-BA61-FCF1C5CD8CDF}</x14:id>
        </ext>
      </extLst>
    </cfRule>
  </conditionalFormatting>
  <conditionalFormatting sqref="AI29:AO44">
    <cfRule type="colorScale" priority="7">
      <colorScale>
        <cfvo type="min"/>
        <cfvo type="max"/>
        <color rgb="FFFCFCFF"/>
        <color rgb="FF63BE7B"/>
      </colorScale>
    </cfRule>
  </conditionalFormatting>
  <conditionalFormatting sqref="G47:M62">
    <cfRule type="colorScale" priority="6">
      <colorScale>
        <cfvo type="min"/>
        <cfvo type="max"/>
        <color rgb="FFFFEF9C"/>
        <color rgb="FF63BE7B"/>
      </colorScale>
    </cfRule>
  </conditionalFormatting>
  <conditionalFormatting sqref="N47:N62">
    <cfRule type="dataBar" priority="5">
      <dataBar>
        <cfvo type="min"/>
        <cfvo type="max"/>
        <color rgb="FFFF555A"/>
      </dataBar>
      <extLst>
        <ext xmlns:x14="http://schemas.microsoft.com/office/spreadsheetml/2009/9/main" uri="{B025F937-C7B1-47D3-B67F-A62EFF666E3E}">
          <x14:id>{2510538C-B974-4C15-99CA-D8957CAAD8FA}</x14:id>
        </ext>
      </extLst>
    </cfRule>
  </conditionalFormatting>
  <conditionalFormatting sqref="O47:U62">
    <cfRule type="colorScale" priority="4">
      <colorScale>
        <cfvo type="min"/>
        <cfvo type="max"/>
        <color rgb="FFFCFCFF"/>
        <color rgb="FF63BE7B"/>
      </colorScale>
    </cfRule>
  </conditionalFormatting>
  <conditionalFormatting sqref="AA47:AG62">
    <cfRule type="colorScale" priority="3">
      <colorScale>
        <cfvo type="min"/>
        <cfvo type="max"/>
        <color rgb="FFFFEF9C"/>
        <color rgb="FF63BE7B"/>
      </colorScale>
    </cfRule>
  </conditionalFormatting>
  <conditionalFormatting sqref="AH47:AH62">
    <cfRule type="dataBar" priority="2">
      <dataBar>
        <cfvo type="min"/>
        <cfvo type="max"/>
        <color rgb="FFFF555A"/>
      </dataBar>
      <extLst>
        <ext xmlns:x14="http://schemas.microsoft.com/office/spreadsheetml/2009/9/main" uri="{B025F937-C7B1-47D3-B67F-A62EFF666E3E}">
          <x14:id>{9835441B-84B3-46EE-A14E-B6C34EF12B12}</x14:id>
        </ext>
      </extLst>
    </cfRule>
  </conditionalFormatting>
  <conditionalFormatting sqref="AI47:AO62">
    <cfRule type="colorScale" priority="1">
      <colorScale>
        <cfvo type="min"/>
        <cfvo type="max"/>
        <color rgb="FFFCFCFF"/>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2C31B130-866A-4D38-B87B-4BF99BA9ED76}">
            <x14:dataBar minLength="0" maxLength="100" gradient="0">
              <x14:cfvo type="autoMin"/>
              <x14:cfvo type="autoMax"/>
              <x14:negativeFillColor rgb="FFFF0000"/>
              <x14:axisColor rgb="FF000000"/>
            </x14:dataBar>
          </x14:cfRule>
          <xm:sqref>N11:N26</xm:sqref>
        </x14:conditionalFormatting>
        <x14:conditionalFormatting xmlns:xm="http://schemas.microsoft.com/office/excel/2006/main">
          <x14:cfRule type="dataBar" id="{9A8A6755-3EE2-48A9-8471-3781CF90528D}">
            <x14:dataBar minLength="0" maxLength="100" gradient="0">
              <x14:cfvo type="autoMin"/>
              <x14:cfvo type="autoMax"/>
              <x14:negativeFillColor rgb="FFFF0000"/>
              <x14:axisColor rgb="FF000000"/>
            </x14:dataBar>
          </x14:cfRule>
          <xm:sqref>AH11:AH26</xm:sqref>
        </x14:conditionalFormatting>
        <x14:conditionalFormatting xmlns:xm="http://schemas.microsoft.com/office/excel/2006/main">
          <x14:cfRule type="dataBar" id="{4F192B36-CBCD-4298-80A2-E64EC539F0FF}">
            <x14:dataBar minLength="0" maxLength="100" gradient="0">
              <x14:cfvo type="autoMin"/>
              <x14:cfvo type="autoMax"/>
              <x14:negativeFillColor rgb="FFFF0000"/>
              <x14:axisColor rgb="FF000000"/>
            </x14:dataBar>
          </x14:cfRule>
          <xm:sqref>N29:N44</xm:sqref>
        </x14:conditionalFormatting>
        <x14:conditionalFormatting xmlns:xm="http://schemas.microsoft.com/office/excel/2006/main">
          <x14:cfRule type="dataBar" id="{C624B6BD-BE2E-4C88-BA61-FCF1C5CD8CDF}">
            <x14:dataBar minLength="0" maxLength="100" gradient="0">
              <x14:cfvo type="autoMin"/>
              <x14:cfvo type="autoMax"/>
              <x14:negativeFillColor rgb="FFFF0000"/>
              <x14:axisColor rgb="FF000000"/>
            </x14:dataBar>
          </x14:cfRule>
          <xm:sqref>AH29:AH44</xm:sqref>
        </x14:conditionalFormatting>
        <x14:conditionalFormatting xmlns:xm="http://schemas.microsoft.com/office/excel/2006/main">
          <x14:cfRule type="dataBar" id="{2510538C-B974-4C15-99CA-D8957CAAD8FA}">
            <x14:dataBar minLength="0" maxLength="100" gradient="0">
              <x14:cfvo type="autoMin"/>
              <x14:cfvo type="autoMax"/>
              <x14:negativeFillColor rgb="FFFF0000"/>
              <x14:axisColor rgb="FF000000"/>
            </x14:dataBar>
          </x14:cfRule>
          <xm:sqref>N47:N62</xm:sqref>
        </x14:conditionalFormatting>
        <x14:conditionalFormatting xmlns:xm="http://schemas.microsoft.com/office/excel/2006/main">
          <x14:cfRule type="dataBar" id="{9835441B-84B3-46EE-A14E-B6C34EF12B12}">
            <x14:dataBar minLength="0" maxLength="100" gradient="0">
              <x14:cfvo type="autoMin"/>
              <x14:cfvo type="autoMax"/>
              <x14:negativeFillColor rgb="FFFF0000"/>
              <x14:axisColor rgb="FF000000"/>
            </x14:dataBar>
          </x14:cfRule>
          <xm:sqref>AH47:AH62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K14"/>
  <sheetViews>
    <sheetView workbookViewId="0">
      <selection activeCell="E12" sqref="E12"/>
    </sheetView>
  </sheetViews>
  <sheetFormatPr baseColWidth="10" defaultColWidth="11.42578125" defaultRowHeight="15" x14ac:dyDescent="0.25"/>
  <cols>
    <col min="1" max="1" width="7.7109375" style="189" bestFit="1" customWidth="1"/>
    <col min="2" max="2" width="7.7109375" style="189" customWidth="1"/>
    <col min="3" max="3" width="17.85546875" style="189" bestFit="1" customWidth="1"/>
    <col min="4" max="4" width="18.28515625" style="189" bestFit="1" customWidth="1"/>
    <col min="5" max="5" width="11.42578125" style="189"/>
    <col min="6" max="6" width="13" style="189" bestFit="1" customWidth="1"/>
    <col min="7" max="8" width="10.28515625" style="189" bestFit="1" customWidth="1"/>
  </cols>
  <sheetData>
    <row r="1" spans="1:11" ht="15.75" x14ac:dyDescent="0.25">
      <c r="A1" s="190" t="s">
        <v>272</v>
      </c>
      <c r="B1" s="190" t="s">
        <v>278</v>
      </c>
      <c r="C1" s="190" t="s">
        <v>273</v>
      </c>
      <c r="D1" s="190" t="s">
        <v>277</v>
      </c>
      <c r="E1" s="190" t="s">
        <v>274</v>
      </c>
      <c r="F1" s="190" t="s">
        <v>269</v>
      </c>
      <c r="G1" s="190" t="s">
        <v>270</v>
      </c>
      <c r="H1" s="190" t="s">
        <v>271</v>
      </c>
    </row>
    <row r="2" spans="1:11" x14ac:dyDescent="0.25">
      <c r="A2" s="189">
        <v>54</v>
      </c>
      <c r="B2" s="189" t="s">
        <v>279</v>
      </c>
      <c r="C2" s="189" t="s">
        <v>275</v>
      </c>
      <c r="D2" s="191">
        <v>0.17499999999999999</v>
      </c>
      <c r="E2" s="67">
        <v>0.3</v>
      </c>
      <c r="F2" s="189">
        <f>Empleados!L5</f>
        <v>-0.31299999999999994</v>
      </c>
      <c r="G2" s="46">
        <f>Empleados!M5</f>
        <v>-5.0079999999999991</v>
      </c>
      <c r="H2" s="46">
        <f>Empleados!N5</f>
        <v>-35.055999999999997</v>
      </c>
    </row>
    <row r="3" spans="1:11" x14ac:dyDescent="0.25">
      <c r="A3" s="189">
        <v>55</v>
      </c>
      <c r="B3" s="189" t="s">
        <v>280</v>
      </c>
      <c r="C3" s="189" t="s">
        <v>275</v>
      </c>
      <c r="D3" s="67">
        <v>0.35</v>
      </c>
      <c r="E3" s="67">
        <v>0.05</v>
      </c>
      <c r="F3" s="189">
        <f>Empleados!L9</f>
        <v>0.1120000000000001</v>
      </c>
      <c r="G3" s="46">
        <f>Empleados!M9</f>
        <v>1.7920000000000016</v>
      </c>
      <c r="H3" s="46">
        <f>Empleados!N9</f>
        <v>12.544000000000011</v>
      </c>
      <c r="K3" s="37">
        <f>SUM(H3:H13)</f>
        <v>163.744</v>
      </c>
    </row>
    <row r="4" spans="1:11" x14ac:dyDescent="0.25">
      <c r="A4" s="189">
        <v>56</v>
      </c>
      <c r="B4" s="189" t="s">
        <v>281</v>
      </c>
      <c r="C4" s="189" t="s">
        <v>276</v>
      </c>
      <c r="D4" s="67">
        <v>0.35</v>
      </c>
      <c r="E4" s="67">
        <v>0.05</v>
      </c>
      <c r="F4" s="189">
        <f>Empleados!L6</f>
        <v>0.16500000000000004</v>
      </c>
      <c r="G4" s="46">
        <f>Empleados!M6</f>
        <v>2.6400000000000006</v>
      </c>
      <c r="H4" s="46">
        <f>Empleados!N6</f>
        <v>18.480000000000004</v>
      </c>
      <c r="J4" s="37">
        <f>SUM(H4:H13)</f>
        <v>151.19999999999999</v>
      </c>
    </row>
    <row r="5" spans="1:11" x14ac:dyDescent="0.25">
      <c r="A5" s="189">
        <v>57</v>
      </c>
      <c r="B5" s="189" t="s">
        <v>282</v>
      </c>
      <c r="C5" s="189" t="s">
        <v>276</v>
      </c>
      <c r="D5" s="67">
        <v>0.35</v>
      </c>
      <c r="E5" s="67">
        <v>0.05</v>
      </c>
      <c r="F5" s="189">
        <f t="shared" ref="F5:H7" si="0">F4</f>
        <v>0.16500000000000004</v>
      </c>
      <c r="G5" s="46">
        <f t="shared" si="0"/>
        <v>2.6400000000000006</v>
      </c>
      <c r="H5" s="46">
        <f t="shared" si="0"/>
        <v>18.480000000000004</v>
      </c>
      <c r="I5" s="37">
        <f>SUM(H5:H13)</f>
        <v>132.72</v>
      </c>
    </row>
    <row r="6" spans="1:11" x14ac:dyDescent="0.25">
      <c r="A6" s="189">
        <v>58</v>
      </c>
      <c r="B6" s="189" t="s">
        <v>283</v>
      </c>
      <c r="C6" s="189" t="s">
        <v>276</v>
      </c>
      <c r="D6" s="67">
        <v>0.35</v>
      </c>
      <c r="E6" s="67">
        <v>0.05</v>
      </c>
      <c r="F6" s="189">
        <f t="shared" si="0"/>
        <v>0.16500000000000004</v>
      </c>
      <c r="G6" s="46">
        <f t="shared" si="0"/>
        <v>2.6400000000000006</v>
      </c>
      <c r="H6" s="46">
        <f t="shared" si="0"/>
        <v>18.480000000000004</v>
      </c>
    </row>
    <row r="7" spans="1:11" x14ac:dyDescent="0.25">
      <c r="A7" s="189">
        <v>59</v>
      </c>
      <c r="B7" s="189" t="s">
        <v>284</v>
      </c>
      <c r="C7" s="189" t="s">
        <v>276</v>
      </c>
      <c r="D7" s="67">
        <v>0.35</v>
      </c>
      <c r="E7" s="67">
        <v>0.05</v>
      </c>
      <c r="F7" s="189">
        <f t="shared" si="0"/>
        <v>0.16500000000000004</v>
      </c>
      <c r="G7" s="46">
        <f t="shared" si="0"/>
        <v>2.6400000000000006</v>
      </c>
      <c r="H7" s="46">
        <f t="shared" si="0"/>
        <v>18.480000000000004</v>
      </c>
    </row>
    <row r="8" spans="1:11" x14ac:dyDescent="0.25">
      <c r="A8" s="189">
        <v>60</v>
      </c>
      <c r="B8" s="189" t="s">
        <v>285</v>
      </c>
      <c r="C8" s="189" t="s">
        <v>276</v>
      </c>
      <c r="D8" s="67">
        <v>0.35</v>
      </c>
      <c r="E8" s="67">
        <v>0.1</v>
      </c>
      <c r="F8" s="189">
        <f>Empleados!L8</f>
        <v>0.11499999999999999</v>
      </c>
      <c r="G8" s="189">
        <f>Empleados!M8</f>
        <v>1.8399999999999999</v>
      </c>
      <c r="H8" s="189">
        <f>Empleados!N8</f>
        <v>12.879999999999999</v>
      </c>
    </row>
    <row r="9" spans="1:11" x14ac:dyDescent="0.25">
      <c r="A9" s="189">
        <v>61</v>
      </c>
      <c r="B9" s="189" t="s">
        <v>286</v>
      </c>
      <c r="C9" s="189" t="s">
        <v>276</v>
      </c>
      <c r="D9" s="67">
        <v>0.35</v>
      </c>
      <c r="E9" s="67">
        <v>0.1</v>
      </c>
      <c r="F9" s="189">
        <f t="shared" ref="F9:H13" si="1">F8</f>
        <v>0.11499999999999999</v>
      </c>
      <c r="G9" s="189">
        <f t="shared" si="1"/>
        <v>1.8399999999999999</v>
      </c>
      <c r="H9" s="189">
        <f t="shared" si="1"/>
        <v>12.879999999999999</v>
      </c>
    </row>
    <row r="10" spans="1:11" x14ac:dyDescent="0.25">
      <c r="A10" s="189">
        <v>62</v>
      </c>
      <c r="B10" s="189" t="s">
        <v>287</v>
      </c>
      <c r="C10" s="189" t="s">
        <v>276</v>
      </c>
      <c r="D10" s="67">
        <v>0.35</v>
      </c>
      <c r="E10" s="67">
        <v>0.1</v>
      </c>
      <c r="F10" s="189">
        <f t="shared" si="1"/>
        <v>0.11499999999999999</v>
      </c>
      <c r="G10" s="189">
        <f t="shared" si="1"/>
        <v>1.8399999999999999</v>
      </c>
      <c r="H10" s="189">
        <f t="shared" si="1"/>
        <v>12.879999999999999</v>
      </c>
    </row>
    <row r="11" spans="1:11" x14ac:dyDescent="0.25">
      <c r="A11" s="189">
        <v>63</v>
      </c>
      <c r="B11" s="189" t="s">
        <v>288</v>
      </c>
      <c r="C11" s="189" t="s">
        <v>276</v>
      </c>
      <c r="D11" s="67">
        <v>0.35</v>
      </c>
      <c r="E11" s="67">
        <v>0.1</v>
      </c>
      <c r="F11" s="189">
        <f t="shared" si="1"/>
        <v>0.11499999999999999</v>
      </c>
      <c r="G11" s="189">
        <f t="shared" si="1"/>
        <v>1.8399999999999999</v>
      </c>
      <c r="H11" s="189">
        <f t="shared" si="1"/>
        <v>12.879999999999999</v>
      </c>
    </row>
    <row r="12" spans="1:11" x14ac:dyDescent="0.25">
      <c r="A12" s="189">
        <v>64</v>
      </c>
      <c r="B12" s="189" t="s">
        <v>289</v>
      </c>
      <c r="C12" s="189" t="s">
        <v>276</v>
      </c>
      <c r="D12" s="67">
        <v>0.35</v>
      </c>
      <c r="E12" s="67">
        <v>0.1</v>
      </c>
      <c r="F12" s="189">
        <f t="shared" si="1"/>
        <v>0.11499999999999999</v>
      </c>
      <c r="G12" s="189">
        <f t="shared" si="1"/>
        <v>1.8399999999999999</v>
      </c>
      <c r="H12" s="189">
        <f t="shared" si="1"/>
        <v>12.879999999999999</v>
      </c>
    </row>
    <row r="13" spans="1:11" x14ac:dyDescent="0.25">
      <c r="A13" s="189">
        <v>65</v>
      </c>
      <c r="B13" s="189" t="s">
        <v>290</v>
      </c>
      <c r="C13" s="189" t="s">
        <v>276</v>
      </c>
      <c r="D13" s="67">
        <v>0.35</v>
      </c>
      <c r="E13" s="67">
        <v>0.1</v>
      </c>
      <c r="F13" s="189">
        <f t="shared" si="1"/>
        <v>0.11499999999999999</v>
      </c>
      <c r="G13" s="189">
        <f t="shared" si="1"/>
        <v>1.8399999999999999</v>
      </c>
      <c r="H13" s="189">
        <f t="shared" si="1"/>
        <v>12.879999999999999</v>
      </c>
    </row>
    <row r="14" spans="1:11" x14ac:dyDescent="0.25">
      <c r="A14" s="189">
        <v>66</v>
      </c>
      <c r="B14" s="189" t="s">
        <v>291</v>
      </c>
      <c r="C14" s="189" t="s">
        <v>276</v>
      </c>
      <c r="D14" s="191">
        <v>0.17499999999999999</v>
      </c>
      <c r="E14" s="67">
        <v>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tabColor rgb="FF00B050"/>
  </sheetPr>
  <dimension ref="A1:AS26"/>
  <sheetViews>
    <sheetView tabSelected="1" zoomScaleNormal="100" workbookViewId="0">
      <pane xSplit="4" ySplit="3" topLeftCell="E4" activePane="bottomRight" state="frozen"/>
      <selection pane="topRight" activeCell="E1" sqref="E1"/>
      <selection pane="bottomLeft" activeCell="A4" sqref="A4"/>
      <selection pane="bottomRight" activeCell="R11" sqref="R11"/>
    </sheetView>
  </sheetViews>
  <sheetFormatPr baseColWidth="10" defaultColWidth="9.140625" defaultRowHeight="15" x14ac:dyDescent="0.25"/>
  <cols>
    <col min="1" max="1" width="4.7109375" bestFit="1" customWidth="1"/>
    <col min="2" max="2" width="4.85546875" bestFit="1" customWidth="1"/>
    <col min="3" max="3" width="6.140625" bestFit="1" customWidth="1"/>
    <col min="4" max="4" width="18.7109375" bestFit="1" customWidth="1"/>
    <col min="5" max="5" width="5.5703125" bestFit="1" customWidth="1"/>
    <col min="6" max="6" width="5" bestFit="1" customWidth="1"/>
    <col min="7" max="7" width="4.5703125" bestFit="1" customWidth="1"/>
    <col min="8" max="8" width="3.7109375" bestFit="1" customWidth="1"/>
    <col min="9" max="9" width="4.5703125" bestFit="1" customWidth="1"/>
    <col min="10" max="10" width="5.28515625" bestFit="1" customWidth="1"/>
    <col min="11" max="12" width="4.7109375" bestFit="1" customWidth="1"/>
    <col min="13" max="13" width="10.42578125" bestFit="1" customWidth="1"/>
    <col min="14" max="14" width="5.5703125" bestFit="1" customWidth="1"/>
    <col min="15" max="15" width="4.28515625" bestFit="1" customWidth="1"/>
    <col min="16" max="16" width="5" bestFit="1" customWidth="1"/>
    <col min="17" max="17" width="4.140625" bestFit="1" customWidth="1"/>
    <col min="18" max="18" width="5.42578125" bestFit="1" customWidth="1"/>
    <col min="19" max="19" width="5.7109375" bestFit="1" customWidth="1"/>
    <col min="20" max="20" width="10.42578125" bestFit="1" customWidth="1"/>
    <col min="21" max="21" width="9.42578125" bestFit="1" customWidth="1"/>
    <col min="22" max="22" width="10.42578125" bestFit="1" customWidth="1"/>
    <col min="23" max="23" width="7.5703125" bestFit="1" customWidth="1"/>
    <col min="24" max="30" width="6.140625" bestFit="1" customWidth="1"/>
    <col min="31" max="32" width="8.5703125" bestFit="1" customWidth="1"/>
    <col min="33" max="34" width="7" bestFit="1" customWidth="1"/>
    <col min="35" max="35" width="8" bestFit="1" customWidth="1"/>
    <col min="36" max="36" width="8.140625" bestFit="1" customWidth="1"/>
    <col min="37" max="37" width="6.5703125" bestFit="1" customWidth="1"/>
    <col min="38" max="38" width="7.5703125" bestFit="1" customWidth="1"/>
    <col min="39" max="40" width="6.5703125" bestFit="1" customWidth="1"/>
    <col min="41" max="41" width="4.85546875" customWidth="1"/>
    <col min="42" max="42" width="3.42578125" bestFit="1" customWidth="1"/>
    <col min="43" max="43" width="3.5703125" bestFit="1" customWidth="1"/>
    <col min="44" max="44" width="5.28515625" bestFit="1" customWidth="1"/>
    <col min="45" max="45" width="7" bestFit="1" customWidth="1"/>
  </cols>
  <sheetData>
    <row r="1" spans="1:45" x14ac:dyDescent="0.25">
      <c r="D1" s="30">
        <v>42268</v>
      </c>
      <c r="AO1" t="s">
        <v>184</v>
      </c>
    </row>
    <row r="2" spans="1:45" x14ac:dyDescent="0.25">
      <c r="D2" s="30">
        <f ca="1">TODAY()</f>
        <v>43122</v>
      </c>
      <c r="I2" s="32">
        <f>AVERAGE(I4:I22)</f>
        <v>1.0421052631578949</v>
      </c>
      <c r="J2" s="32"/>
      <c r="N2" s="37">
        <f ca="1">AVERAGE(N4:N22)</f>
        <v>0.51957353550376906</v>
      </c>
      <c r="O2" s="32">
        <f>AVERAGE(O4:O22)</f>
        <v>4.7368421052631575</v>
      </c>
      <c r="Q2" s="32">
        <f>AVERAGE(Q4:Q22)</f>
        <v>5.6842105263157894</v>
      </c>
      <c r="R2" s="116">
        <f>AVERAGE(R4:R22)</f>
        <v>0.89699550992365384</v>
      </c>
      <c r="S2" s="116">
        <f>AVERAGE(S4:S22)</f>
        <v>0.95888511049775227</v>
      </c>
      <c r="T2" s="38">
        <f>SUM(T4:T22)</f>
        <v>38860</v>
      </c>
      <c r="U2" s="38">
        <f>SUM(U4:U22)</f>
        <v>1560</v>
      </c>
      <c r="V2" s="38">
        <f>SUM(V4:V22)</f>
        <v>6810</v>
      </c>
      <c r="W2" s="39">
        <f>T2/V2</f>
        <v>5.7063142437591781</v>
      </c>
      <c r="AD2" s="37">
        <f>AVERAGE(AD20:AD22)</f>
        <v>3.1666666666666665</v>
      </c>
      <c r="AE2" s="33">
        <f>AVERAGE(AE20:AE22)</f>
        <v>427.66666666666669</v>
      </c>
      <c r="AF2" s="33"/>
      <c r="AK2" s="32"/>
      <c r="AL2" s="32"/>
      <c r="AM2" s="32"/>
      <c r="AN2" s="32"/>
      <c r="AO2" s="32">
        <f>AVERAGE(AO20:AO23)</f>
        <v>1.25</v>
      </c>
      <c r="AP2" s="32"/>
      <c r="AQ2" s="32">
        <f>AVERAGE(AQ20:AQ23)</f>
        <v>1</v>
      </c>
    </row>
    <row r="3" spans="1:45" x14ac:dyDescent="0.25">
      <c r="A3" s="10" t="s">
        <v>1</v>
      </c>
      <c r="B3" s="10" t="s">
        <v>2</v>
      </c>
      <c r="C3" s="11" t="s">
        <v>185</v>
      </c>
      <c r="D3" s="12" t="s">
        <v>171</v>
      </c>
      <c r="E3" s="10" t="s">
        <v>4</v>
      </c>
      <c r="F3" s="10" t="s">
        <v>5</v>
      </c>
      <c r="G3" s="10" t="s">
        <v>6</v>
      </c>
      <c r="H3" s="10" t="s">
        <v>7</v>
      </c>
      <c r="I3" s="10" t="s">
        <v>8</v>
      </c>
      <c r="J3" s="10" t="s">
        <v>174</v>
      </c>
      <c r="K3" s="13" t="s">
        <v>50</v>
      </c>
      <c r="L3" s="13" t="s">
        <v>49</v>
      </c>
      <c r="M3" s="10" t="s">
        <v>181</v>
      </c>
      <c r="N3" s="10" t="s">
        <v>100</v>
      </c>
      <c r="O3" s="10" t="s">
        <v>9</v>
      </c>
      <c r="P3" s="10" t="s">
        <v>10</v>
      </c>
      <c r="Q3" s="10" t="s">
        <v>11</v>
      </c>
      <c r="R3" s="49" t="s">
        <v>98</v>
      </c>
      <c r="S3" s="49" t="s">
        <v>99</v>
      </c>
      <c r="T3" s="10" t="s">
        <v>12</v>
      </c>
      <c r="U3" s="10" t="s">
        <v>193</v>
      </c>
      <c r="V3" s="10" t="s">
        <v>13</v>
      </c>
      <c r="W3" s="10" t="s">
        <v>14</v>
      </c>
      <c r="X3" s="10" t="s">
        <v>15</v>
      </c>
      <c r="Y3" s="10" t="s">
        <v>16</v>
      </c>
      <c r="Z3" s="10" t="s">
        <v>17</v>
      </c>
      <c r="AA3" s="10" t="s">
        <v>18</v>
      </c>
      <c r="AB3" s="10" t="s">
        <v>19</v>
      </c>
      <c r="AC3" s="10" t="s">
        <v>20</v>
      </c>
      <c r="AD3" s="10" t="s">
        <v>6</v>
      </c>
      <c r="AE3" s="10" t="s">
        <v>21</v>
      </c>
      <c r="AF3" s="10" t="s">
        <v>297</v>
      </c>
      <c r="AG3" s="14" t="s">
        <v>26</v>
      </c>
      <c r="AH3" s="14" t="s">
        <v>27</v>
      </c>
      <c r="AI3" s="14" t="s">
        <v>175</v>
      </c>
      <c r="AJ3" s="14" t="s">
        <v>176</v>
      </c>
      <c r="AK3" s="14" t="s">
        <v>22</v>
      </c>
      <c r="AL3" s="14" t="s">
        <v>23</v>
      </c>
      <c r="AM3" s="14" t="s">
        <v>24</v>
      </c>
      <c r="AN3" s="14" t="s">
        <v>25</v>
      </c>
      <c r="AO3" s="10" t="s">
        <v>182</v>
      </c>
      <c r="AP3" s="10" t="s">
        <v>178</v>
      </c>
      <c r="AQ3" s="10" t="s">
        <v>179</v>
      </c>
      <c r="AR3" s="10" t="s">
        <v>180</v>
      </c>
      <c r="AS3" s="34" t="s">
        <v>292</v>
      </c>
    </row>
    <row r="4" spans="1:45" x14ac:dyDescent="0.25">
      <c r="A4" s="15" t="s">
        <v>29</v>
      </c>
      <c r="B4" s="15" t="s">
        <v>370</v>
      </c>
      <c r="C4" s="121">
        <f ca="1">((33*112)-(E4*112)-(F4))/112</f>
        <v>10.741071428571429</v>
      </c>
      <c r="D4" s="216" t="s">
        <v>451</v>
      </c>
      <c r="E4" s="1">
        <v>22</v>
      </c>
      <c r="F4" s="2">
        <f ca="1">8-659+D2-D1-112-62</f>
        <v>29</v>
      </c>
      <c r="G4" s="3" t="s">
        <v>296</v>
      </c>
      <c r="H4" s="4">
        <v>4</v>
      </c>
      <c r="I4" s="5">
        <v>2.2999999999999998</v>
      </c>
      <c r="J4" s="22">
        <f>LOG(I4)*4/3</f>
        <v>0.48230378135679047</v>
      </c>
      <c r="K4" s="6">
        <f t="shared" ref="K4:K5" si="0">(H4)*(H4)*(I4)</f>
        <v>36.799999999999997</v>
      </c>
      <c r="L4" s="6">
        <f t="shared" ref="L4:L5" si="1">(H4+1)*(H4+1)*I4</f>
        <v>57.499999999999993</v>
      </c>
      <c r="M4" s="130">
        <v>43097</v>
      </c>
      <c r="N4" s="131">
        <f ca="1">IF((TODAY()-M4)&gt;335,1,((TODAY()-M4)^0.64)/(336^0.64))</f>
        <v>0.1895939470598198</v>
      </c>
      <c r="O4" s="25">
        <v>6.3</v>
      </c>
      <c r="P4" s="20">
        <f t="shared" ref="P4:P6" si="2">O4*10+19</f>
        <v>82</v>
      </c>
      <c r="Q4" s="26">
        <v>5</v>
      </c>
      <c r="R4" s="115">
        <f t="shared" ref="R4:R5" si="3">(Q4/7)^0.5</f>
        <v>0.84515425472851657</v>
      </c>
      <c r="S4" s="115">
        <f t="shared" ref="S4:S5" si="4">IF(Q4=7,1,((Q4+0.99)/7)^0.5)</f>
        <v>0.92504826128926143</v>
      </c>
      <c r="T4" s="29">
        <v>8060</v>
      </c>
      <c r="U4" s="29">
        <f>T4-AS4</f>
        <v>290</v>
      </c>
      <c r="V4" s="7">
        <v>710</v>
      </c>
      <c r="W4" s="8">
        <f t="shared" ref="W4:W5" si="5">T4/V4</f>
        <v>11.352112676056338</v>
      </c>
      <c r="X4" s="21">
        <v>0</v>
      </c>
      <c r="Y4" s="22">
        <v>7</v>
      </c>
      <c r="Z4" s="21">
        <v>2</v>
      </c>
      <c r="AA4" s="22">
        <v>5</v>
      </c>
      <c r="AB4" s="21">
        <v>7</v>
      </c>
      <c r="AC4" s="22">
        <f>5+1/21+1/21+1/21</f>
        <v>5.1428571428571423</v>
      </c>
      <c r="AD4" s="21">
        <v>4</v>
      </c>
      <c r="AE4" s="9">
        <v>645</v>
      </c>
      <c r="AF4" s="9">
        <v>1496</v>
      </c>
      <c r="AG4" s="23">
        <f ca="1">(AD4+1+(LOG(I4)*4/3)+N4)*(Q4/7)^0.5</f>
        <v>4.7936284975563064</v>
      </c>
      <c r="AH4" s="23">
        <f ca="1">(AD4+1+N4+(LOG(I4)*4/3))*(IF(Q4=7, (Q4/7)^0.5, ((Q4+1)/7)^0.5))</f>
        <v>5.2511569208223738</v>
      </c>
      <c r="AI4" s="120">
        <f ca="1">(Z4+N4+(LOG(I4)*4/3))*(Q4/7)^0.5</f>
        <v>2.2581657333707565</v>
      </c>
      <c r="AJ4" s="120">
        <f ca="1">(Z4+N4+(LOG(I4)*4/3))*(IF(Q4=7, (Q4/7)^0.5, ((Q4+1)/7)^0.5))</f>
        <v>2.4736966215047196</v>
      </c>
      <c r="AK4" s="8">
        <f ca="1">(((Y4+LOG(I4)*4/3+N4)+(AB4+LOG(I4)*4/3+N4)*2)/8)*(Q4/7)^0.5</f>
        <v>2.4314763776300024</v>
      </c>
      <c r="AL4" s="8">
        <f ca="1">(AD4+LOG(I4)*4/3+N4)*0.7+(AC4+LOG(I4)*4/3+N4)*0.3</f>
        <v>5.0147548712737526</v>
      </c>
      <c r="AM4" s="8">
        <f ca="1">(0.5*(AC4+LOG(I4)*4/3+N4)+ 0.3*(AD4+LOG(I4)*4/3+N4))/10</f>
        <v>0.43089467541618587</v>
      </c>
      <c r="AN4" s="8">
        <f ca="1">(0.4*(Y4+LOG(I4)*4/3+N4)+0.3*(AD4+LOG(I4)*4/3+N4))/10</f>
        <v>0.44703284098916268</v>
      </c>
      <c r="AO4" s="20">
        <v>4</v>
      </c>
      <c r="AP4" s="20">
        <v>1</v>
      </c>
      <c r="AQ4" s="20">
        <v>2</v>
      </c>
      <c r="AR4" s="129">
        <f t="shared" ref="AR4:AR5" si="6">IF(AP4=4,IF(AQ4=0,0.137+0.0697,0.137+0.02),IF(AP4=3,IF(AQ4=0,0.0958+0.0697,0.0958+0.02),IF(AP4=2,IF(AQ4=0,0.0415+0.0697,0.0415+0.02),IF(AP4=1,IF(AQ4=0,0.0294+0.0697,0.0294+0.02),IF(AP4=0,IF(AQ4=0,0.0063+0.0697,0.0063+0.02))))))</f>
        <v>4.9399999999999999E-2</v>
      </c>
      <c r="AS4">
        <v>7770</v>
      </c>
    </row>
    <row r="5" spans="1:45" x14ac:dyDescent="0.25">
      <c r="A5" s="15" t="s">
        <v>369</v>
      </c>
      <c r="B5" s="15" t="s">
        <v>370</v>
      </c>
      <c r="C5" s="121">
        <f t="shared" ref="C5" ca="1" si="7">((33*112)-(E5*112)-(F5))/112</f>
        <v>15.258928571428571</v>
      </c>
      <c r="D5" s="215" t="s">
        <v>306</v>
      </c>
      <c r="E5" s="16">
        <v>17</v>
      </c>
      <c r="F5" s="2">
        <f ca="1">8-159+16-570-5+D2-D1-2-12-49+9-11+44-40</f>
        <v>83</v>
      </c>
      <c r="G5" s="18" t="s">
        <v>177</v>
      </c>
      <c r="H5" s="4">
        <v>3</v>
      </c>
      <c r="I5" s="27">
        <v>1</v>
      </c>
      <c r="J5" s="22">
        <f t="shared" ref="J5" si="8">LOG(I5)*4/3</f>
        <v>0</v>
      </c>
      <c r="K5" s="6">
        <f t="shared" si="0"/>
        <v>9</v>
      </c>
      <c r="L5" s="6">
        <f t="shared" si="1"/>
        <v>16</v>
      </c>
      <c r="M5" s="130">
        <v>43046</v>
      </c>
      <c r="N5" s="131">
        <f t="shared" ref="N5" ca="1" si="9">IF((TODAY()-M5)&gt;335,1,((TODAY()-M5)^0.64)/(336^0.64))</f>
        <v>0.38624561461075513</v>
      </c>
      <c r="O5" s="19">
        <v>4.3</v>
      </c>
      <c r="P5" s="20">
        <f t="shared" si="2"/>
        <v>62</v>
      </c>
      <c r="Q5" s="26">
        <v>6</v>
      </c>
      <c r="R5" s="115">
        <f t="shared" si="3"/>
        <v>0.92582009977255142</v>
      </c>
      <c r="S5" s="115">
        <f t="shared" si="4"/>
        <v>0.99928545900129484</v>
      </c>
      <c r="T5" s="29">
        <v>550</v>
      </c>
      <c r="U5" s="29">
        <f t="shared" ref="U5" si="10">T5-AS5</f>
        <v>0</v>
      </c>
      <c r="V5" s="29">
        <v>250</v>
      </c>
      <c r="W5" s="8">
        <f t="shared" si="5"/>
        <v>2.2000000000000002</v>
      </c>
      <c r="X5" s="21">
        <v>0</v>
      </c>
      <c r="Y5" s="22">
        <v>4</v>
      </c>
      <c r="Z5" s="21">
        <v>4</v>
      </c>
      <c r="AA5" s="22">
        <v>3</v>
      </c>
      <c r="AB5" s="21">
        <f>4+0.25+(0.25*0.16*3/90)+0.25*3/90*0.16</f>
        <v>4.2526666666666664</v>
      </c>
      <c r="AC5" s="22">
        <f>3+1/15+1/15</f>
        <v>3.1333333333333337</v>
      </c>
      <c r="AD5" s="21">
        <v>0.4</v>
      </c>
      <c r="AE5" s="9">
        <v>360</v>
      </c>
      <c r="AF5" s="9">
        <v>1991</v>
      </c>
      <c r="AG5" s="23">
        <f t="shared" ref="AG5" ca="1" si="11">(AD5+1+(LOG(I5)*4/3)+N5)*(Q5/7)^0.5</f>
        <v>1.6537420931372118</v>
      </c>
      <c r="AH5" s="23">
        <f t="shared" ref="AH5" ca="1" si="12">(AD5+1+N5+(LOG(I5)*4/3))*(IF(Q5=7, (Q5/7)^0.5, ((Q5+1)/7)^0.5))</f>
        <v>1.786245614610755</v>
      </c>
      <c r="AI5" s="120">
        <f t="shared" ref="AI5" ca="1" si="13">(Z5+N5+(LOG(I5)*4/3))*(Q5/7)^0.5</f>
        <v>4.0608743525458451</v>
      </c>
      <c r="AJ5" s="120">
        <f t="shared" ref="AJ5" ca="1" si="14">(Z5+N5+(LOG(I5)*4/3))*(IF(Q5=7, (Q5/7)^0.5, ((Q5+1)/7)^0.5))</f>
        <v>4.3862456146107549</v>
      </c>
      <c r="AK5" s="8">
        <f t="shared" ref="AK5" ca="1" si="15">(((Y5+LOG(I5)*4/3+N5)+(AB5+LOG(I5)*4/3+N5)*2)/8)*(Q5/7)^0.5</f>
        <v>1.5813088518403249</v>
      </c>
      <c r="AL5" s="8">
        <f t="shared" ref="AL5" ca="1" si="16">(AD5+LOG(I5)*4/3+N5)*0.7+(AC5+LOG(I5)*4/3+N5)*0.3</f>
        <v>1.6062456146107551</v>
      </c>
      <c r="AM5" s="8">
        <f t="shared" ref="AM5" ca="1" si="17">(0.5*(AC5+LOG(I5)*4/3+N5)+ 0.3*(AD5+LOG(I5)*4/3+N5))/10</f>
        <v>0.19956631583552709</v>
      </c>
      <c r="AN5" s="8">
        <f t="shared" ref="AN5" ca="1" si="18">(0.4*(Y5+LOG(I5)*4/3+N5)+0.3*(AD5+LOG(I5)*4/3+N5))/10</f>
        <v>0.19903719302275286</v>
      </c>
      <c r="AO5" s="20">
        <v>1</v>
      </c>
      <c r="AP5" s="20">
        <v>1</v>
      </c>
      <c r="AQ5" s="20">
        <v>3</v>
      </c>
      <c r="AR5" s="129">
        <f t="shared" si="6"/>
        <v>4.9399999999999999E-2</v>
      </c>
      <c r="AS5">
        <v>550</v>
      </c>
    </row>
    <row r="6" spans="1:45" x14ac:dyDescent="0.25">
      <c r="A6" s="15" t="s">
        <v>39</v>
      </c>
      <c r="B6" s="15" t="s">
        <v>370</v>
      </c>
      <c r="C6" s="121">
        <f ca="1">((33*112)-(E6*112)-(F6))/112</f>
        <v>15.732142857142858</v>
      </c>
      <c r="D6" s="215" t="s">
        <v>452</v>
      </c>
      <c r="E6" s="16">
        <v>17</v>
      </c>
      <c r="F6" s="17">
        <f ca="1">72+D2-D1-112-112-112-112-112+17-112-112+10-112-27</f>
        <v>30</v>
      </c>
      <c r="G6" s="18"/>
      <c r="H6" s="4">
        <v>1</v>
      </c>
      <c r="I6" s="27">
        <v>1.1000000000000001</v>
      </c>
      <c r="J6" s="22">
        <f>LOG(I6)*4/3</f>
        <v>5.5190246877633437E-2</v>
      </c>
      <c r="K6" s="6">
        <f>(H6)*(H6)*(I6)</f>
        <v>1.1000000000000001</v>
      </c>
      <c r="L6" s="6">
        <f>(H6+1)*(H6+1)*I6</f>
        <v>4.4000000000000004</v>
      </c>
      <c r="M6" s="130">
        <v>43097</v>
      </c>
      <c r="N6" s="131">
        <v>1.5</v>
      </c>
      <c r="O6" s="19">
        <v>3.8</v>
      </c>
      <c r="P6" s="20">
        <f t="shared" si="2"/>
        <v>57</v>
      </c>
      <c r="Q6" s="20">
        <v>5</v>
      </c>
      <c r="R6" s="115">
        <f>(Q6/7)^0.5</f>
        <v>0.84515425472851657</v>
      </c>
      <c r="S6" s="115">
        <f>IF(Q6=7,1,((Q6+0.99)/7)^0.5)</f>
        <v>0.92504826128926143</v>
      </c>
      <c r="T6" s="29">
        <v>1370</v>
      </c>
      <c r="U6" s="29">
        <f>T6-AS6</f>
        <v>10</v>
      </c>
      <c r="V6" s="29">
        <v>470</v>
      </c>
      <c r="W6" s="8">
        <f>T6/V6</f>
        <v>2.9148936170212765</v>
      </c>
      <c r="X6" s="21">
        <v>0</v>
      </c>
      <c r="Y6" s="22">
        <v>5</v>
      </c>
      <c r="Z6" s="21">
        <v>6.7</v>
      </c>
      <c r="AA6" s="22">
        <v>3</v>
      </c>
      <c r="AB6" s="21">
        <v>2</v>
      </c>
      <c r="AC6" s="22">
        <f>3+1/15+1/15+1/15</f>
        <v>3.2000000000000006</v>
      </c>
      <c r="AD6" s="21">
        <v>2</v>
      </c>
      <c r="AE6" s="9">
        <v>422</v>
      </c>
      <c r="AF6" s="9">
        <v>2055</v>
      </c>
      <c r="AG6" s="23">
        <f>(AD6+1+(LOG(I6)*4/3)+N6)*(Q6/7)^0.5</f>
        <v>3.849838418246474</v>
      </c>
      <c r="AH6" s="23">
        <f>(AD6+1+N6+(LOG(I6)*4/3))*(IF(Q6=7, (Q6/7)^0.5, ((Q6+1)/7)^0.5))</f>
        <v>4.2172866888472038</v>
      </c>
      <c r="AI6" s="120">
        <f>(Z6+N6+(LOG(I6)*4/3))*(Q6/7)^0.5</f>
        <v>6.9769091607419842</v>
      </c>
      <c r="AJ6" s="120">
        <f>(Z6+N6+(LOG(I6)*4/3))*(IF(Q6=7, (Q6/7)^0.5, ((Q6+1)/7)^0.5))</f>
        <v>7.6428210580056426</v>
      </c>
      <c r="AK6" s="8">
        <f>(((Y6+LOG(I6)*4/3+N6)+(AB6+LOG(I6)*4/3+N6)*2)/8)*(Q6/7)^0.5</f>
        <v>1.4436894068424277</v>
      </c>
      <c r="AL6" s="8">
        <f>(AD6+LOG(I6)*4/3+N6)*0.7+(AC6+LOG(I6)*4/3+N6)*0.3</f>
        <v>3.9151902468776334</v>
      </c>
      <c r="AM6" s="8">
        <f>(0.5*(AC6+LOG(I6)*4/3+N6)+ 0.3*(AD6+LOG(I6)*4/3+N6))/10</f>
        <v>0.34441521975021072</v>
      </c>
      <c r="AN6" s="8">
        <f>(0.4*(Y6+LOG(I6)*4/3+N6)+0.3*(AD6+LOG(I6)*4/3+N6))/10</f>
        <v>0.36886331728143434</v>
      </c>
      <c r="AO6" s="20">
        <v>2</v>
      </c>
      <c r="AP6" s="20">
        <v>2</v>
      </c>
      <c r="AQ6" s="20">
        <v>1</v>
      </c>
      <c r="AR6" s="129">
        <f>IF(AP6=4,IF(AQ6=0,0.137+0.0697,0.137+0.02),IF(AP6=3,IF(AQ6=0,0.0958+0.0697,0.0958+0.02),IF(AP6=2,IF(AQ6=0,0.0415+0.0697,0.0415+0.02),IF(AP6=1,IF(AQ6=0,0.0294+0.0697,0.0294+0.02),IF(AP6=0,IF(AQ6=0,0.0063+0.0697,0.0063+0.02))))))</f>
        <v>6.1499999999999999E-2</v>
      </c>
      <c r="AS6">
        <v>1360</v>
      </c>
    </row>
    <row r="7" spans="1:45" x14ac:dyDescent="0.25">
      <c r="A7" s="15" t="s">
        <v>41</v>
      </c>
      <c r="B7" s="15" t="s">
        <v>194</v>
      </c>
      <c r="C7" s="121">
        <f ca="1">((33*112)-(E7*112)-(F7))/112</f>
        <v>15.232142857142858</v>
      </c>
      <c r="D7" s="222" t="s">
        <v>308</v>
      </c>
      <c r="E7" s="16">
        <v>17</v>
      </c>
      <c r="F7" s="2">
        <f ca="1">8-159+16-570-5+D2-D1-2-31-25</f>
        <v>86</v>
      </c>
      <c r="G7" s="18" t="s">
        <v>296</v>
      </c>
      <c r="H7" s="40">
        <v>6</v>
      </c>
      <c r="I7" s="27">
        <v>1.4</v>
      </c>
      <c r="J7" s="22">
        <f>LOG(I7)*4/3</f>
        <v>0.19483738090431735</v>
      </c>
      <c r="K7" s="6">
        <f>(H7)*(H7)*(I7)</f>
        <v>50.4</v>
      </c>
      <c r="L7" s="6">
        <f>(H7+1)*(H7+1)*I7</f>
        <v>68.599999999999994</v>
      </c>
      <c r="M7" s="130">
        <v>43051</v>
      </c>
      <c r="N7" s="131">
        <f ca="1">IF((TODAY()-M7)&gt;335,1,((TODAY()-M7)^0.64)/(336^0.64))</f>
        <v>0.36978407636992311</v>
      </c>
      <c r="O7" s="19">
        <v>5.0999999999999996</v>
      </c>
      <c r="P7" s="20">
        <f>O7*10+19</f>
        <v>70</v>
      </c>
      <c r="Q7" s="26">
        <v>6</v>
      </c>
      <c r="R7" s="115">
        <f>(Q7/7)^0.5</f>
        <v>0.92582009977255142</v>
      </c>
      <c r="S7" s="115">
        <f>IF(Q7=7,1,((Q7+0.99)/7)^0.5)</f>
        <v>0.99928545900129484</v>
      </c>
      <c r="T7" s="29">
        <v>2260</v>
      </c>
      <c r="U7" s="29">
        <f>T7-AS7</f>
        <v>140</v>
      </c>
      <c r="V7" s="29">
        <v>330</v>
      </c>
      <c r="W7" s="8">
        <f>T7/V7</f>
        <v>6.8484848484848486</v>
      </c>
      <c r="X7" s="21">
        <v>0</v>
      </c>
      <c r="Y7" s="22">
        <v>6</v>
      </c>
      <c r="Z7" s="21">
        <v>3</v>
      </c>
      <c r="AA7" s="22">
        <v>3</v>
      </c>
      <c r="AB7" s="21">
        <f>5+0.2+0.2</f>
        <v>5.4</v>
      </c>
      <c r="AC7" s="22">
        <f>3+0.34+0.33+0.33+0.33</f>
        <v>4.33</v>
      </c>
      <c r="AD7" s="21">
        <v>3</v>
      </c>
      <c r="AE7" s="9">
        <v>476</v>
      </c>
      <c r="AF7" s="9">
        <v>2009</v>
      </c>
      <c r="AG7" s="23">
        <f t="shared" ref="AG7:AG18" ca="1" si="19">(AD7+1+(LOG(I7)*4/3)+N7)*(Q7/7)^0.5</f>
        <v>4.2260182929975665</v>
      </c>
      <c r="AH7" s="23">
        <f t="shared" ref="AH7:AH18" ca="1" si="20">(AD7+1+N7+(LOG(I7)*4/3))*(IF(Q7=7, (Q7/7)^0.5, ((Q7+1)/7)^0.5))</f>
        <v>4.5646214572742405</v>
      </c>
      <c r="AI7" s="120">
        <f t="shared" ref="AI7:AI18" ca="1" si="21">(Z7+N7+(LOG(I7)*4/3))*(Q7/7)^0.5</f>
        <v>3.3001981932250151</v>
      </c>
      <c r="AJ7" s="120">
        <f t="shared" ref="AJ7:AJ18" ca="1" si="22">(Z7+N7+(LOG(I7)*4/3))*(IF(Q7=7, (Q7/7)^0.5, ((Q7+1)/7)^0.5))</f>
        <v>3.5646214572742405</v>
      </c>
      <c r="AK7" s="8">
        <f t="shared" ref="AK7:AK18" ca="1" si="23">(((Y7+LOG(I7)*4/3+N7)+(AB7+LOG(I7)*4/3+N7)*2)/8)*(Q7/7)^0.5</f>
        <v>2.1402489197376187</v>
      </c>
      <c r="AL7" s="8">
        <f t="shared" ref="AL7:AL18" ca="1" si="24">(AD7+LOG(I7)*4/3+N7)*0.7+(AC7+LOG(I7)*4/3+N7)*0.3</f>
        <v>3.9636214572742405</v>
      </c>
      <c r="AM7" s="8">
        <f t="shared" ref="AM7:AM18" ca="1" si="25">(0.5*(AC7+LOG(I7)*4/3+N7)+ 0.3*(AD7+LOG(I7)*4/3+N7))/10</f>
        <v>0.35166971658193924</v>
      </c>
      <c r="AN7" s="8">
        <f t="shared" ref="AN7:AN18" ca="1" si="26">(0.4*(Y7+LOG(I7)*4/3+N7)+0.3*(AD7+LOG(I7)*4/3+N7))/10</f>
        <v>0.36952350200919681</v>
      </c>
      <c r="AO7" s="20">
        <v>2</v>
      </c>
      <c r="AP7" s="20">
        <v>2</v>
      </c>
      <c r="AQ7" s="20">
        <v>1</v>
      </c>
      <c r="AR7" s="129">
        <f>IF(AP7=4,IF(AQ7=0,0.137+0.0697,0.137+0.02),IF(AP7=3,IF(AQ7=0,0.0958+0.0697,0.0958+0.02),IF(AP7=2,IF(AQ7=0,0.0415+0.0697,0.0415+0.02),IF(AP7=1,IF(AQ7=0,0.0294+0.0697,0.0294+0.02),IF(AP7=0,IF(AQ7=0,0.0063+0.0697,0.0063+0.02))))))</f>
        <v>6.1499999999999999E-2</v>
      </c>
      <c r="AS7">
        <v>2120</v>
      </c>
    </row>
    <row r="8" spans="1:45" x14ac:dyDescent="0.25">
      <c r="A8" s="15" t="s">
        <v>38</v>
      </c>
      <c r="B8" s="15" t="s">
        <v>194</v>
      </c>
      <c r="C8" s="121">
        <f ca="1">((33*112)-(E8*112)-(F8))/112</f>
        <v>15.142857142857142</v>
      </c>
      <c r="D8" s="222" t="s">
        <v>382</v>
      </c>
      <c r="E8" s="16">
        <v>17</v>
      </c>
      <c r="F8" s="2">
        <f ca="1">8-159+16-570-5+D2-D1-2-31-15</f>
        <v>96</v>
      </c>
      <c r="G8" s="18" t="s">
        <v>70</v>
      </c>
      <c r="H8" s="4">
        <v>0</v>
      </c>
      <c r="I8" s="27">
        <v>1.5</v>
      </c>
      <c r="J8" s="22">
        <f>LOG(I8)*4/3</f>
        <v>0.23478834540757498</v>
      </c>
      <c r="K8" s="6">
        <f>(H8)*(H8)*(I8)</f>
        <v>0</v>
      </c>
      <c r="L8" s="6">
        <f>(H8+1)*(H8+1)*I8</f>
        <v>1.5</v>
      </c>
      <c r="M8" s="130">
        <v>43081</v>
      </c>
      <c r="N8" s="131">
        <f ca="1">IF((TODAY()-M8)&gt;335,1,((TODAY()-M8)^0.64)/(336^0.64))</f>
        <v>0.26021032838031555</v>
      </c>
      <c r="O8" s="19">
        <v>3.5</v>
      </c>
      <c r="P8" s="20">
        <f>O8*10+19</f>
        <v>54</v>
      </c>
      <c r="Q8" s="26">
        <v>7</v>
      </c>
      <c r="R8" s="115">
        <f>(Q8/7)^0.5</f>
        <v>1</v>
      </c>
      <c r="S8" s="115">
        <f>IF(Q8=7,1,((Q8+0.99)/7)^0.5)</f>
        <v>1</v>
      </c>
      <c r="T8" s="29">
        <v>5730</v>
      </c>
      <c r="U8" s="29">
        <f>T8-AS8</f>
        <v>310</v>
      </c>
      <c r="V8" s="29">
        <v>370</v>
      </c>
      <c r="W8" s="8">
        <f>T8/V8</f>
        <v>15.486486486486486</v>
      </c>
      <c r="X8" s="21">
        <v>0</v>
      </c>
      <c r="Y8" s="22">
        <v>6</v>
      </c>
      <c r="Z8" s="21">
        <v>5</v>
      </c>
      <c r="AA8" s="22">
        <v>6</v>
      </c>
      <c r="AB8" s="21">
        <f>5.8+0.2</f>
        <v>6</v>
      </c>
      <c r="AC8" s="22">
        <f>5+0.34+0.33+0.33</f>
        <v>6</v>
      </c>
      <c r="AD8" s="21">
        <v>0</v>
      </c>
      <c r="AE8" s="9">
        <v>690</v>
      </c>
      <c r="AF8" s="9">
        <v>2197</v>
      </c>
      <c r="AG8" s="23">
        <f t="shared" ca="1" si="19"/>
        <v>1.4949986737878906</v>
      </c>
      <c r="AH8" s="23">
        <f t="shared" ca="1" si="20"/>
        <v>1.4949986737878906</v>
      </c>
      <c r="AI8" s="120">
        <f t="shared" ca="1" si="21"/>
        <v>5.4949986737878902</v>
      </c>
      <c r="AJ8" s="120">
        <f t="shared" ca="1" si="22"/>
        <v>5.4949986737878902</v>
      </c>
      <c r="AK8" s="8">
        <f t="shared" ca="1" si="23"/>
        <v>2.4356245026704588</v>
      </c>
      <c r="AL8" s="8">
        <f t="shared" ca="1" si="24"/>
        <v>2.2949986737878905</v>
      </c>
      <c r="AM8" s="8">
        <f t="shared" ca="1" si="25"/>
        <v>0.33959989390303125</v>
      </c>
      <c r="AN8" s="8">
        <f t="shared" ca="1" si="26"/>
        <v>0.27464990716515236</v>
      </c>
      <c r="AO8" s="20">
        <v>1</v>
      </c>
      <c r="AP8" s="20">
        <v>2</v>
      </c>
      <c r="AQ8" s="20">
        <v>2</v>
      </c>
      <c r="AR8" s="129">
        <f>IF(AP8=4,IF(AQ8=0,0.137+0.0697,0.137+0.02),IF(AP8=3,IF(AQ8=0,0.0958+0.0697,0.0958+0.02),IF(AP8=2,IF(AQ8=0,0.0415+0.0697,0.0415+0.02),IF(AP8=1,IF(AQ8=0,0.0294+0.0697,0.0294+0.02),IF(AP8=0,IF(AQ8=0,0.0063+0.0697,0.0063+0.02))))))</f>
        <v>6.1499999999999999E-2</v>
      </c>
      <c r="AS8" s="214">
        <v>5420</v>
      </c>
    </row>
    <row r="9" spans="1:45" x14ac:dyDescent="0.25">
      <c r="A9" s="15" t="s">
        <v>364</v>
      </c>
      <c r="B9" s="24" t="s">
        <v>194</v>
      </c>
      <c r="C9" s="121">
        <f ca="1">((33*112)-(E9*112)-(F9))/112</f>
        <v>14.839285714285714</v>
      </c>
      <c r="D9" s="216" t="s">
        <v>301</v>
      </c>
      <c r="E9" s="1">
        <v>18</v>
      </c>
      <c r="F9" s="2">
        <f ca="1">8-159+16-570-5+D2-D1-2-12-112</f>
        <v>18</v>
      </c>
      <c r="G9" s="3" t="s">
        <v>70</v>
      </c>
      <c r="H9" s="4">
        <v>2</v>
      </c>
      <c r="I9" s="5">
        <v>0.5</v>
      </c>
      <c r="J9" s="22">
        <f>LOG(I9)*4/3</f>
        <v>-0.40137332755197491</v>
      </c>
      <c r="K9" s="6">
        <f>(H9)*(H9)*(I9)</f>
        <v>2</v>
      </c>
      <c r="L9" s="6">
        <f>(H9+1)*(H9+1)*I9</f>
        <v>4.5</v>
      </c>
      <c r="M9" s="130">
        <v>43046</v>
      </c>
      <c r="N9" s="131">
        <f ca="1">IF((TODAY()-M9)&gt;335,1,((TODAY()-M9)^0.64)/(336^0.64))</f>
        <v>0.38624561461075513</v>
      </c>
      <c r="O9" s="25">
        <v>5.7</v>
      </c>
      <c r="P9" s="20">
        <f>O9*10+19</f>
        <v>76</v>
      </c>
      <c r="Q9" s="26">
        <v>6</v>
      </c>
      <c r="R9" s="115">
        <f>(Q9/7)^0.5</f>
        <v>0.92582009977255142</v>
      </c>
      <c r="S9" s="115">
        <f>IF(Q9=7,1,((Q9+0.99)/7)^0.5)</f>
        <v>0.99928545900129484</v>
      </c>
      <c r="T9" s="29">
        <v>2330</v>
      </c>
      <c r="U9" s="29">
        <f>T9-AS9</f>
        <v>-90</v>
      </c>
      <c r="V9" s="7">
        <v>450</v>
      </c>
      <c r="W9" s="8">
        <f>T9/V9</f>
        <v>5.177777777777778</v>
      </c>
      <c r="X9" s="21">
        <v>0</v>
      </c>
      <c r="Y9" s="22">
        <v>6</v>
      </c>
      <c r="Z9" s="21">
        <v>4</v>
      </c>
      <c r="AA9" s="22">
        <v>4</v>
      </c>
      <c r="AB9" s="21">
        <f>2.67+0.33+0.33*0.16+0.25</f>
        <v>3.3028</v>
      </c>
      <c r="AC9" s="22">
        <f>3+0.33+1/15+1/15+1/15+1/15</f>
        <v>3.5966666666666676</v>
      </c>
      <c r="AD9" s="21">
        <v>6</v>
      </c>
      <c r="AE9" s="9">
        <v>459</v>
      </c>
      <c r="AF9" s="9">
        <v>1975</v>
      </c>
      <c r="AG9" s="23">
        <f t="shared" ca="1" si="19"/>
        <v>6.4667351577032886</v>
      </c>
      <c r="AH9" s="23">
        <f t="shared" ca="1" si="20"/>
        <v>6.9848722870587796</v>
      </c>
      <c r="AI9" s="120">
        <f t="shared" ca="1" si="21"/>
        <v>3.6892748583856347</v>
      </c>
      <c r="AJ9" s="120">
        <f t="shared" ca="1" si="22"/>
        <v>3.98487228705878</v>
      </c>
      <c r="AK9" s="8">
        <f t="shared" ca="1" si="23"/>
        <v>1.4535626534473951</v>
      </c>
      <c r="AL9" s="8">
        <f t="shared" ca="1" si="24"/>
        <v>5.2638722870587795</v>
      </c>
      <c r="AM9" s="8">
        <f t="shared" ca="1" si="25"/>
        <v>0.35862311629803578</v>
      </c>
      <c r="AN9" s="8">
        <f t="shared" ca="1" si="26"/>
        <v>0.41894106009411464</v>
      </c>
      <c r="AO9" s="20">
        <v>2</v>
      </c>
      <c r="AP9" s="20">
        <v>0</v>
      </c>
      <c r="AQ9" s="20">
        <v>3</v>
      </c>
      <c r="AR9" s="129">
        <f>IF(AP9=4,IF(AQ9=0,0.137+0.0697,0.137+0.02),IF(AP9=3,IF(AQ9=0,0.0958+0.0697,0.0958+0.02),IF(AP9=2,IF(AQ9=0,0.0415+0.0697,0.0415+0.02),IF(AP9=1,IF(AQ9=0,0.0294+0.0697,0.0294+0.02),IF(AP9=0,IF(AQ9=0,0.0063+0.0697,0.0063+0.02))))))</f>
        <v>2.63E-2</v>
      </c>
      <c r="AS9">
        <v>2420</v>
      </c>
    </row>
    <row r="10" spans="1:45" x14ac:dyDescent="0.25">
      <c r="A10" s="15" t="s">
        <v>309</v>
      </c>
      <c r="B10" s="15" t="s">
        <v>194</v>
      </c>
      <c r="C10" s="121">
        <f t="shared" ref="C10" ca="1" si="27">((33*112)-(E10*112)-(F10))/112</f>
        <v>15.267857142857142</v>
      </c>
      <c r="D10" s="216" t="s">
        <v>299</v>
      </c>
      <c r="E10" s="1">
        <v>17</v>
      </c>
      <c r="F10" s="2">
        <f ca="1">8-159+16-570-5+D2-D1-2-60</f>
        <v>82</v>
      </c>
      <c r="G10" s="3" t="s">
        <v>296</v>
      </c>
      <c r="H10" s="4">
        <v>3</v>
      </c>
      <c r="I10" s="5">
        <v>1.3</v>
      </c>
      <c r="J10" s="22">
        <f t="shared" ref="J10" si="28">LOG(I10)*4/3</f>
        <v>0.15192446974244905</v>
      </c>
      <c r="K10" s="6">
        <f t="shared" ref="K10:K11" si="29">(H10)*(H10)*(I10)</f>
        <v>11.700000000000001</v>
      </c>
      <c r="L10" s="6">
        <f t="shared" ref="L10:L11" si="30">(H10+1)*(H10+1)*I10</f>
        <v>20.8</v>
      </c>
      <c r="M10" s="130">
        <v>43045</v>
      </c>
      <c r="N10" s="131">
        <f t="shared" ref="N10" ca="1" si="31">IF((TODAY()-M10)&gt;335,1,((TODAY()-M10)^0.64)/(336^0.64))</f>
        <v>0.38949055134365018</v>
      </c>
      <c r="O10" s="25">
        <v>5.4</v>
      </c>
      <c r="P10" s="20">
        <f t="shared" ref="P10:P11" si="32">O10*10+19</f>
        <v>73</v>
      </c>
      <c r="Q10" s="26">
        <v>7</v>
      </c>
      <c r="R10" s="115">
        <f t="shared" ref="R10" si="33">(Q10/7)^0.5</f>
        <v>1</v>
      </c>
      <c r="S10" s="115">
        <f t="shared" ref="S10" si="34">IF(Q10=7,1,((Q10+0.99)/7)^0.5)</f>
        <v>1</v>
      </c>
      <c r="T10" s="29">
        <v>1160</v>
      </c>
      <c r="U10" s="29">
        <f t="shared" ref="U10" si="35">T10-AS10</f>
        <v>10</v>
      </c>
      <c r="V10" s="7">
        <v>330</v>
      </c>
      <c r="W10" s="8">
        <f t="shared" ref="W10:W11" si="36">T10/V10</f>
        <v>3.5151515151515151</v>
      </c>
      <c r="X10" s="21">
        <v>0</v>
      </c>
      <c r="Y10" s="22">
        <v>5</v>
      </c>
      <c r="Z10" s="21">
        <v>3</v>
      </c>
      <c r="AA10" s="22">
        <v>4</v>
      </c>
      <c r="AB10" s="21">
        <f>2+(0.33*0.16)+0.33+(0.33*0.16)</f>
        <v>2.4356</v>
      </c>
      <c r="AC10" s="22">
        <f>3.73+1/15+1/15+1/15+1/15+1/15</f>
        <v>4.0633333333333344</v>
      </c>
      <c r="AD10" s="21">
        <v>3</v>
      </c>
      <c r="AE10" s="9">
        <v>381</v>
      </c>
      <c r="AF10" s="9">
        <v>1920</v>
      </c>
      <c r="AG10" s="23">
        <f t="shared" ca="1" si="19"/>
        <v>4.5414150210860988</v>
      </c>
      <c r="AH10" s="23">
        <f t="shared" ca="1" si="20"/>
        <v>4.5414150210860988</v>
      </c>
      <c r="AI10" s="120">
        <f t="shared" ca="1" si="21"/>
        <v>3.5414150210860993</v>
      </c>
      <c r="AJ10" s="120">
        <f t="shared" ca="1" si="22"/>
        <v>3.5414150210860993</v>
      </c>
      <c r="AK10" s="8">
        <f t="shared" ca="1" si="23"/>
        <v>1.4369306329072873</v>
      </c>
      <c r="AL10" s="8">
        <f t="shared" ca="1" si="24"/>
        <v>3.8604150210860997</v>
      </c>
      <c r="AM10" s="8">
        <f t="shared" ca="1" si="25"/>
        <v>0.33647986835355465</v>
      </c>
      <c r="AN10" s="8">
        <f t="shared" ca="1" si="26"/>
        <v>0.32789905147602694</v>
      </c>
      <c r="AO10" s="20">
        <v>3</v>
      </c>
      <c r="AP10" s="20">
        <v>1</v>
      </c>
      <c r="AQ10" s="20">
        <v>2</v>
      </c>
      <c r="AR10" s="129">
        <f t="shared" ref="AR10" si="37">IF(AP10=4,IF(AQ10=0,0.137+0.0697,0.137+0.02),IF(AP10=3,IF(AQ10=0,0.0958+0.0697,0.0958+0.02),IF(AP10=2,IF(AQ10=0,0.0415+0.0697,0.0415+0.02),IF(AP10=1,IF(AQ10=0,0.0294+0.0697,0.0294+0.02),IF(AP10=0,IF(AQ10=0,0.0063+0.0697,0.0063+0.02))))))</f>
        <v>4.9399999999999999E-2</v>
      </c>
      <c r="AS10">
        <v>1150</v>
      </c>
    </row>
    <row r="11" spans="1:45" x14ac:dyDescent="0.25">
      <c r="A11" s="15" t="s">
        <v>35</v>
      </c>
      <c r="B11" s="15" t="s">
        <v>194</v>
      </c>
      <c r="C11" s="121">
        <f ca="1">((33*112)-(E11*112)-(F11))/112</f>
        <v>15.455357142857142</v>
      </c>
      <c r="D11" s="223" t="s">
        <v>453</v>
      </c>
      <c r="E11" s="16">
        <v>17</v>
      </c>
      <c r="F11" s="2">
        <f ca="1">-35+D2-D1-67-112-112-112+87-112-112-112-112+6</f>
        <v>61</v>
      </c>
      <c r="G11" s="18" t="s">
        <v>45</v>
      </c>
      <c r="H11" s="40">
        <v>6</v>
      </c>
      <c r="I11" s="27">
        <v>1.1000000000000001</v>
      </c>
      <c r="J11" s="22">
        <f>LOG(I11)*4/3</f>
        <v>5.5190246877633437E-2</v>
      </c>
      <c r="K11" s="6">
        <f t="shared" si="29"/>
        <v>39.6</v>
      </c>
      <c r="L11" s="6">
        <f t="shared" si="30"/>
        <v>53.900000000000006</v>
      </c>
      <c r="M11" s="130">
        <v>43097</v>
      </c>
      <c r="N11" s="131">
        <f ca="1">IF((TODAY()-M11)&gt;335,1,((TODAY()-M11)^0.64)/(336^0.64))</f>
        <v>0.1895939470598198</v>
      </c>
      <c r="O11" s="25">
        <v>3.5</v>
      </c>
      <c r="P11" s="20">
        <f t="shared" si="32"/>
        <v>54</v>
      </c>
      <c r="Q11" s="20">
        <v>3</v>
      </c>
      <c r="R11" s="115">
        <f>(Q11/7)^0.5</f>
        <v>0.65465367070797709</v>
      </c>
      <c r="S11" s="115">
        <f>IF(Q11=7,1,((Q11+0.99)/7)^0.5)</f>
        <v>0.75498344352707503</v>
      </c>
      <c r="T11" s="29">
        <v>1090</v>
      </c>
      <c r="U11" s="29">
        <f>T11-AS11</f>
        <v>260</v>
      </c>
      <c r="V11" s="29">
        <v>350</v>
      </c>
      <c r="W11" s="8">
        <f t="shared" si="36"/>
        <v>3.1142857142857143</v>
      </c>
      <c r="X11" s="21">
        <v>0</v>
      </c>
      <c r="Y11" s="22">
        <v>6</v>
      </c>
      <c r="Z11" s="21">
        <v>3</v>
      </c>
      <c r="AA11" s="22">
        <v>3</v>
      </c>
      <c r="AB11" s="21">
        <v>3</v>
      </c>
      <c r="AC11" s="22">
        <f>5+0.25+0.25</f>
        <v>5.5</v>
      </c>
      <c r="AD11" s="21">
        <v>4</v>
      </c>
      <c r="AE11" s="9">
        <v>460</v>
      </c>
      <c r="AF11" s="9">
        <v>2039</v>
      </c>
      <c r="AG11" s="23">
        <f ca="1">(AD11+1+(LOG(I11)*4/3)+N11)*(Q11/7)^0.5</f>
        <v>3.4335172246323329</v>
      </c>
      <c r="AH11" s="23">
        <f ca="1">(AD11+1+N11+(LOG(I11)*4/3))*(IF(Q11=7, (Q11/7)^0.5, ((Q11+1)/7)^0.5))</f>
        <v>3.9646841878173875</v>
      </c>
      <c r="AI11" s="120">
        <f t="shared" ca="1" si="21"/>
        <v>2.1242098832163783</v>
      </c>
      <c r="AJ11" s="120">
        <f t="shared" ca="1" si="22"/>
        <v>2.4528262957804792</v>
      </c>
      <c r="AK11" s="8">
        <f t="shared" ca="1" si="23"/>
        <v>1.0420738327216332</v>
      </c>
      <c r="AL11" s="8">
        <f ca="1">(AD11+LOG(I11)*4/3+N11)*0.7+(AC11+LOG(I11)*4/3+N11)*0.3</f>
        <v>4.6947841939374531</v>
      </c>
      <c r="AM11" s="8">
        <f ca="1">(0.5*(AC11+LOG(I11)*4/3+N11)+ 0.3*(AD11+LOG(I11)*4/3+N11))/10</f>
        <v>0.41458273551499636</v>
      </c>
      <c r="AN11" s="8">
        <f ca="1">(0.4*(Y11+LOG(I11)*4/3+N11)+0.3*(AD11+LOG(I11)*4/3+N11))/10</f>
        <v>0.37713489357562174</v>
      </c>
      <c r="AO11" s="20">
        <v>2</v>
      </c>
      <c r="AP11" s="20">
        <v>3</v>
      </c>
      <c r="AQ11" s="20">
        <v>1</v>
      </c>
      <c r="AR11" s="129">
        <f>IF(AP11=4,IF(AQ11=0,0.137+0.0697,0.137+0.02),IF(AP11=3,IF(AQ11=0,0.0958+0.0697,0.0958+0.02),IF(AP11=2,IF(AQ11=0,0.0415+0.0697,0.0415+0.02),IF(AP11=1,IF(AQ11=0,0.0294+0.0697,0.0294+0.02),IF(AP11=0,IF(AQ11=0,0.0063+0.0697,0.0063+0.02))))))</f>
        <v>0.1158</v>
      </c>
      <c r="AS11">
        <v>830</v>
      </c>
    </row>
    <row r="12" spans="1:45" x14ac:dyDescent="0.25">
      <c r="A12" s="15" t="s">
        <v>293</v>
      </c>
      <c r="B12" s="15" t="s">
        <v>95</v>
      </c>
      <c r="C12" s="121">
        <f ca="1">((33*112)-(E12*112)-(F12))/112</f>
        <v>14.901785714285714</v>
      </c>
      <c r="D12" s="215" t="s">
        <v>295</v>
      </c>
      <c r="E12" s="16">
        <v>18</v>
      </c>
      <c r="F12" s="17">
        <f ca="1">8-159+16-570-5+D2-D1-2-19-112</f>
        <v>11</v>
      </c>
      <c r="G12" s="18" t="s">
        <v>296</v>
      </c>
      <c r="H12" s="4">
        <v>3</v>
      </c>
      <c r="I12" s="27">
        <v>0.5</v>
      </c>
      <c r="J12" s="22">
        <f>LOG(I12)*4/3</f>
        <v>-0.40137332755197491</v>
      </c>
      <c r="K12" s="6">
        <f>(H12)*(H12)*(I12)</f>
        <v>4.5</v>
      </c>
      <c r="L12" s="6">
        <f>(H12+1)*(H12+1)*I12</f>
        <v>8</v>
      </c>
      <c r="M12" s="130">
        <v>43045</v>
      </c>
      <c r="N12" s="131">
        <f ca="1">IF((TODAY()-M12)&gt;335,1,((TODAY()-M12)^0.64)/(336^0.64))</f>
        <v>0.38949055134365018</v>
      </c>
      <c r="O12" s="19">
        <v>5.3</v>
      </c>
      <c r="P12" s="20">
        <f>O12*10+19</f>
        <v>72</v>
      </c>
      <c r="Q12" s="20">
        <v>7</v>
      </c>
      <c r="R12" s="115">
        <f>(Q12/7)^0.5</f>
        <v>1</v>
      </c>
      <c r="S12" s="115">
        <f>IF(Q12=7,1,((Q12+0.99)/7)^0.5)</f>
        <v>1</v>
      </c>
      <c r="T12" s="29">
        <v>1750</v>
      </c>
      <c r="U12" s="29">
        <f>T12-AS12</f>
        <v>30</v>
      </c>
      <c r="V12" s="29">
        <v>370</v>
      </c>
      <c r="W12" s="8">
        <f>T12/V12</f>
        <v>4.7297297297297298</v>
      </c>
      <c r="X12" s="21">
        <v>0</v>
      </c>
      <c r="Y12" s="22">
        <v>3</v>
      </c>
      <c r="Z12" s="21">
        <v>6</v>
      </c>
      <c r="AA12" s="22">
        <v>3</v>
      </c>
      <c r="AB12" s="21">
        <f>3.25+0.25+0.25+0.25</f>
        <v>4</v>
      </c>
      <c r="AC12" s="22">
        <f>4.22+0.33+0.33+1/17+1/17+1/17*79/90+0.33*11/90</f>
        <v>5.0896143790849671</v>
      </c>
      <c r="AD12" s="21">
        <v>3</v>
      </c>
      <c r="AE12" s="9">
        <v>461</v>
      </c>
      <c r="AF12" s="9">
        <v>1941</v>
      </c>
      <c r="AG12" s="23">
        <f t="shared" ca="1" si="19"/>
        <v>3.9881172237916753</v>
      </c>
      <c r="AH12" s="23">
        <f t="shared" ca="1" si="20"/>
        <v>3.9881172237916753</v>
      </c>
      <c r="AI12" s="120">
        <f t="shared" ca="1" si="21"/>
        <v>5.9881172237916749</v>
      </c>
      <c r="AJ12" s="120">
        <f t="shared" ca="1" si="22"/>
        <v>5.9881172237916749</v>
      </c>
      <c r="AK12" s="8">
        <f t="shared" ca="1" si="23"/>
        <v>1.3705439589218782</v>
      </c>
      <c r="AL12" s="8">
        <f t="shared" ca="1" si="24"/>
        <v>3.6150015375171654</v>
      </c>
      <c r="AM12" s="8">
        <f t="shared" ca="1" si="25"/>
        <v>0.3435300968575824</v>
      </c>
      <c r="AN12" s="8">
        <f t="shared" ca="1" si="26"/>
        <v>0.20916820566541725</v>
      </c>
      <c r="AO12" s="20">
        <v>2</v>
      </c>
      <c r="AP12" s="20">
        <v>3</v>
      </c>
      <c r="AQ12" s="20">
        <v>2</v>
      </c>
      <c r="AR12" s="129">
        <f>IF(AP12=4,IF(AQ12=0,0.137+0.0697,0.137+0.02),IF(AP12=3,IF(AQ12=0,0.0958+0.0697,0.0958+0.02),IF(AP12=2,IF(AQ12=0,0.0415+0.0697,0.0415+0.02),IF(AP12=1,IF(AQ12=0,0.0294+0.0697,0.0294+0.02),IF(AP12=0,IF(AQ12=0,0.0063+0.0697,0.0063+0.02))))))</f>
        <v>0.1158</v>
      </c>
      <c r="AS12">
        <v>1720</v>
      </c>
    </row>
    <row r="13" spans="1:45" x14ac:dyDescent="0.25">
      <c r="A13" s="15" t="s">
        <v>367</v>
      </c>
      <c r="B13" s="24" t="s">
        <v>95</v>
      </c>
      <c r="C13" s="121">
        <f ca="1">((33*112)-(E13*112)-(F13))/112</f>
        <v>15.008928571428571</v>
      </c>
      <c r="D13" s="216" t="s">
        <v>300</v>
      </c>
      <c r="E13" s="1">
        <v>17</v>
      </c>
      <c r="F13" s="2">
        <f ca="1">8-159+16-570-5+D2-D1-2-31</f>
        <v>111</v>
      </c>
      <c r="G13" s="3" t="s">
        <v>0</v>
      </c>
      <c r="H13" s="4">
        <v>4</v>
      </c>
      <c r="I13" s="5">
        <v>0.5</v>
      </c>
      <c r="J13" s="22">
        <f>LOG(I13)*4/3</f>
        <v>-0.40137332755197491</v>
      </c>
      <c r="K13" s="6">
        <f>(H13)*(H13)*(I13)</f>
        <v>8</v>
      </c>
      <c r="L13" s="6">
        <f>(H13+1)*(H13+1)*I13</f>
        <v>12.5</v>
      </c>
      <c r="M13" s="130">
        <v>43046</v>
      </c>
      <c r="N13" s="131">
        <f ca="1">IF((TODAY()-M13)&gt;335,1,((TODAY()-M13)^0.64)/(336^0.64))</f>
        <v>0.38624561461075513</v>
      </c>
      <c r="O13" s="25">
        <v>5.2</v>
      </c>
      <c r="P13" s="20">
        <f>O13*10+19</f>
        <v>71</v>
      </c>
      <c r="Q13" s="26">
        <v>6</v>
      </c>
      <c r="R13" s="115">
        <f>(Q13/7)^0.5</f>
        <v>0.92582009977255142</v>
      </c>
      <c r="S13" s="115">
        <f>IF(Q13=7,1,((Q13+0.99)/7)^0.5)</f>
        <v>0.99928545900129484</v>
      </c>
      <c r="T13" s="29">
        <v>1200</v>
      </c>
      <c r="U13" s="29">
        <f>T13-AS13</f>
        <v>80</v>
      </c>
      <c r="V13" s="7">
        <v>330</v>
      </c>
      <c r="W13" s="8">
        <f>T13/V13</f>
        <v>3.6363636363636362</v>
      </c>
      <c r="X13" s="21">
        <v>0</v>
      </c>
      <c r="Y13" s="22">
        <v>2</v>
      </c>
      <c r="Z13" s="21">
        <v>5</v>
      </c>
      <c r="AA13" s="22">
        <v>3</v>
      </c>
      <c r="AB13" s="21">
        <f>2+(0.33*0.16)+(0.33*0.16)+(0.33*0.16)</f>
        <v>2.1583999999999999</v>
      </c>
      <c r="AC13" s="22">
        <f>5+1/20+1/20+1/20+1/20+1/20</f>
        <v>5.2499999999999991</v>
      </c>
      <c r="AD13" s="21">
        <v>5</v>
      </c>
      <c r="AE13" s="9">
        <v>367</v>
      </c>
      <c r="AF13" s="9">
        <v>1910</v>
      </c>
      <c r="AG13" s="23">
        <f t="shared" ca="1" si="19"/>
        <v>5.5409150579307376</v>
      </c>
      <c r="AH13" s="23">
        <f t="shared" ca="1" si="20"/>
        <v>5.9848722870587796</v>
      </c>
      <c r="AI13" s="120">
        <f t="shared" ca="1" si="21"/>
        <v>4.6150949581581857</v>
      </c>
      <c r="AJ13" s="120">
        <f t="shared" ca="1" si="22"/>
        <v>4.9848722870587796</v>
      </c>
      <c r="AK13" s="8">
        <f t="shared" ca="1" si="23"/>
        <v>0.72577547301619261</v>
      </c>
      <c r="AL13" s="8">
        <f t="shared" ca="1" si="24"/>
        <v>5.0598722870587789</v>
      </c>
      <c r="AM13" s="8">
        <f t="shared" ca="1" si="25"/>
        <v>0.41128978296470231</v>
      </c>
      <c r="AN13" s="8">
        <f t="shared" ca="1" si="26"/>
        <v>0.22894106009411458</v>
      </c>
      <c r="AO13" s="20">
        <v>4</v>
      </c>
      <c r="AP13" s="20">
        <v>2</v>
      </c>
      <c r="AQ13" s="20">
        <v>2</v>
      </c>
      <c r="AR13" s="129">
        <f>IF(AP13=4,IF(AQ13=0,0.137+0.0697,0.137+0.02),IF(AP13=3,IF(AQ13=0,0.0958+0.0697,0.0958+0.02),IF(AP13=2,IF(AQ13=0,0.0415+0.0697,0.0415+0.02),IF(AP13=1,IF(AQ13=0,0.0294+0.0697,0.0294+0.02),IF(AP13=0,IF(AQ13=0,0.0063+0.0697,0.0063+0.02))))))</f>
        <v>6.1499999999999999E-2</v>
      </c>
      <c r="AS13">
        <v>1120</v>
      </c>
    </row>
    <row r="14" spans="1:45" x14ac:dyDescent="0.25">
      <c r="A14" s="15" t="s">
        <v>371</v>
      </c>
      <c r="B14" s="15" t="s">
        <v>95</v>
      </c>
      <c r="C14" s="121">
        <f t="shared" ref="C14:C15" ca="1" si="38">((33*112)-(E14*112)-(F14))/112</f>
        <v>15.276785714285714</v>
      </c>
      <c r="D14" s="215" t="s">
        <v>302</v>
      </c>
      <c r="E14" s="16">
        <v>17</v>
      </c>
      <c r="F14" s="2">
        <f ca="1">8-159+16-570-5+D2-D1-2-12-49</f>
        <v>81</v>
      </c>
      <c r="G14" s="18" t="s">
        <v>177</v>
      </c>
      <c r="H14" s="4">
        <v>3</v>
      </c>
      <c r="I14" s="27">
        <v>0.5</v>
      </c>
      <c r="J14" s="22">
        <f t="shared" ref="J14:J15" si="39">LOG(I14)*4/3</f>
        <v>-0.40137332755197491</v>
      </c>
      <c r="K14" s="6">
        <f t="shared" ref="K14:K15" si="40">(H14)*(H14)*(I14)</f>
        <v>4.5</v>
      </c>
      <c r="L14" s="6">
        <f t="shared" ref="L14:L15" si="41">(H14+1)*(H14+1)*I14</f>
        <v>8</v>
      </c>
      <c r="M14" s="130">
        <v>43046</v>
      </c>
      <c r="N14" s="131">
        <f t="shared" ref="N14:N15" ca="1" si="42">IF((TODAY()-M14)&gt;335,1,((TODAY()-M14)^0.64)/(336^0.64))</f>
        <v>0.38624561461075513</v>
      </c>
      <c r="O14" s="19">
        <v>4.2</v>
      </c>
      <c r="P14" s="20">
        <f t="shared" ref="P14:P15" si="43">O14*10+19</f>
        <v>61</v>
      </c>
      <c r="Q14" s="26">
        <v>7</v>
      </c>
      <c r="R14" s="115">
        <f t="shared" ref="R14:R15" si="44">(Q14/7)^0.5</f>
        <v>1</v>
      </c>
      <c r="S14" s="115">
        <f t="shared" ref="S14:S15" si="45">IF(Q14=7,1,((Q14+0.99)/7)^0.5)</f>
        <v>1</v>
      </c>
      <c r="T14" s="29">
        <v>700</v>
      </c>
      <c r="U14" s="29">
        <f t="shared" ref="U14:U16" si="46">T14-AS14</f>
        <v>10</v>
      </c>
      <c r="V14" s="29">
        <v>270</v>
      </c>
      <c r="W14" s="8">
        <f t="shared" ref="W14:W15" si="47">T14/V14</f>
        <v>2.5925925925925926</v>
      </c>
      <c r="X14" s="21">
        <v>0</v>
      </c>
      <c r="Y14" s="22">
        <v>3</v>
      </c>
      <c r="Z14" s="21">
        <v>4</v>
      </c>
      <c r="AA14" s="22">
        <v>4</v>
      </c>
      <c r="AB14" s="21">
        <f>3+(0.25*0.16*31/90)+(0.25*0.16*3/90)</f>
        <v>3.0151111111111111</v>
      </c>
      <c r="AC14" s="22">
        <f>4+1/17+1/17</f>
        <v>4.117647058823529</v>
      </c>
      <c r="AD14" s="21">
        <v>1.3</v>
      </c>
      <c r="AE14" s="9">
        <v>352</v>
      </c>
      <c r="AF14" s="9">
        <v>1986</v>
      </c>
      <c r="AG14" s="23">
        <f t="shared" ca="1" si="19"/>
        <v>2.2848722870587803</v>
      </c>
      <c r="AH14" s="23">
        <f t="shared" ca="1" si="20"/>
        <v>2.2848722870587799</v>
      </c>
      <c r="AI14" s="120">
        <f t="shared" ca="1" si="21"/>
        <v>3.98487228705878</v>
      </c>
      <c r="AJ14" s="120">
        <f t="shared" ca="1" si="22"/>
        <v>3.98487228705878</v>
      </c>
      <c r="AK14" s="8">
        <f t="shared" ca="1" si="23"/>
        <v>1.1231048854248202</v>
      </c>
      <c r="AL14" s="8">
        <f t="shared" ca="1" si="24"/>
        <v>2.1301664047058391</v>
      </c>
      <c r="AM14" s="8">
        <f t="shared" ca="1" si="25"/>
        <v>0.24367213590587888</v>
      </c>
      <c r="AN14" s="8">
        <f t="shared" ca="1" si="26"/>
        <v>0.15794106009411463</v>
      </c>
      <c r="AO14" s="20">
        <v>1</v>
      </c>
      <c r="AP14" s="20">
        <v>3</v>
      </c>
      <c r="AQ14" s="20">
        <v>1</v>
      </c>
      <c r="AR14" s="129">
        <f t="shared" ref="AR14:AR15" si="48">IF(AP14=4,IF(AQ14=0,0.137+0.0697,0.137+0.02),IF(AP14=3,IF(AQ14=0,0.0958+0.0697,0.0958+0.02),IF(AP14=2,IF(AQ14=0,0.0415+0.0697,0.0415+0.02),IF(AP14=1,IF(AQ14=0,0.0294+0.0697,0.0294+0.02),IF(AP14=0,IF(AQ14=0,0.0063+0.0697,0.0063+0.02))))))</f>
        <v>0.1158</v>
      </c>
      <c r="AS14">
        <v>690</v>
      </c>
    </row>
    <row r="15" spans="1:45" x14ac:dyDescent="0.25">
      <c r="A15" s="15" t="s">
        <v>583</v>
      </c>
      <c r="B15" s="15" t="s">
        <v>95</v>
      </c>
      <c r="C15" s="121">
        <f t="shared" ca="1" si="38"/>
        <v>13.857142857142858</v>
      </c>
      <c r="D15" s="215" t="s">
        <v>584</v>
      </c>
      <c r="E15" s="16">
        <v>19</v>
      </c>
      <c r="F15" s="2">
        <f ca="1">8-159+16-570-5+D2-D1-2-12-49-65</f>
        <v>16</v>
      </c>
      <c r="G15" s="18"/>
      <c r="H15" s="4">
        <v>5</v>
      </c>
      <c r="I15" s="27">
        <v>1</v>
      </c>
      <c r="J15" s="22">
        <f t="shared" si="39"/>
        <v>0</v>
      </c>
      <c r="K15" s="6">
        <f t="shared" si="40"/>
        <v>25</v>
      </c>
      <c r="L15" s="6">
        <f t="shared" si="41"/>
        <v>36</v>
      </c>
      <c r="M15" s="130">
        <v>43108</v>
      </c>
      <c r="N15" s="131">
        <f t="shared" ca="1" si="42"/>
        <v>0.13081718674960124</v>
      </c>
      <c r="O15" s="19">
        <v>3.5</v>
      </c>
      <c r="P15" s="20">
        <f t="shared" si="43"/>
        <v>54</v>
      </c>
      <c r="Q15" s="26">
        <v>5</v>
      </c>
      <c r="R15" s="115">
        <f t="shared" si="44"/>
        <v>0.84515425472851657</v>
      </c>
      <c r="S15" s="115">
        <f t="shared" si="45"/>
        <v>0.92504826128926143</v>
      </c>
      <c r="T15" s="29">
        <v>960</v>
      </c>
      <c r="U15" s="29">
        <f t="shared" si="46"/>
        <v>20</v>
      </c>
      <c r="V15" s="29">
        <v>330</v>
      </c>
      <c r="W15" s="8">
        <f t="shared" si="47"/>
        <v>2.9090909090909092</v>
      </c>
      <c r="X15" s="21">
        <v>0</v>
      </c>
      <c r="Y15" s="22">
        <v>4</v>
      </c>
      <c r="Z15" s="21">
        <v>5</v>
      </c>
      <c r="AA15" s="22">
        <v>2</v>
      </c>
      <c r="AB15" s="21">
        <v>3</v>
      </c>
      <c r="AC15" s="22">
        <f>5+1/20</f>
        <v>5.05</v>
      </c>
      <c r="AD15" s="21">
        <v>2</v>
      </c>
      <c r="AE15" s="9">
        <v>414</v>
      </c>
      <c r="AF15" s="9">
        <v>1728</v>
      </c>
      <c r="AG15" s="23">
        <f t="shared" ca="1" si="19"/>
        <v>2.64602346615859</v>
      </c>
      <c r="AH15" s="23">
        <f t="shared" ca="1" si="20"/>
        <v>2.8985734802061343</v>
      </c>
      <c r="AI15" s="120">
        <f t="shared" ca="1" si="21"/>
        <v>4.3363319756156233</v>
      </c>
      <c r="AJ15" s="120">
        <f t="shared" ca="1" si="22"/>
        <v>4.7502136797512371</v>
      </c>
      <c r="AK15" s="8">
        <f t="shared" ref="AK15" ca="1" si="49">(((Y15+LOG(I15)*4/3+N15)+(AB15+LOG(I15)*4/3+N15)*2)/8)*(Q15/7)^0.5</f>
        <v>1.0979030816505357</v>
      </c>
      <c r="AL15" s="8">
        <f t="shared" ref="AL15" ca="1" si="50">(AD15+LOG(I15)*4/3+N15)*0.7+(AC15+LOG(I15)*4/3+N15)*0.3</f>
        <v>3.0458171867496011</v>
      </c>
      <c r="AM15" s="8">
        <f t="shared" ref="AM15" ca="1" si="51">(0.5*(AC15+LOG(I15)*4/3+N15)+ 0.3*(AD15+LOG(I15)*4/3+N15))/10</f>
        <v>0.32296537493996808</v>
      </c>
      <c r="AN15" s="8">
        <f t="shared" ca="1" si="26"/>
        <v>0.22915720307247209</v>
      </c>
      <c r="AO15" s="20">
        <v>2</v>
      </c>
      <c r="AP15" s="20">
        <v>2</v>
      </c>
      <c r="AQ15" s="20">
        <v>2</v>
      </c>
      <c r="AR15" s="129">
        <f t="shared" si="48"/>
        <v>6.1499999999999999E-2</v>
      </c>
      <c r="AS15" s="193">
        <v>940</v>
      </c>
    </row>
    <row r="16" spans="1:45" x14ac:dyDescent="0.25">
      <c r="A16" s="15" t="s">
        <v>31</v>
      </c>
      <c r="B16" s="15" t="s">
        <v>71</v>
      </c>
      <c r="C16" s="121">
        <f ca="1">((33*112)-(E16*112)-(F16))/112</f>
        <v>15.267857142857142</v>
      </c>
      <c r="D16" s="222" t="s">
        <v>294</v>
      </c>
      <c r="E16" s="16">
        <v>17</v>
      </c>
      <c r="F16" s="17">
        <f ca="1">8-159+16-570-5+D2-D1-62</f>
        <v>82</v>
      </c>
      <c r="G16" s="18" t="s">
        <v>45</v>
      </c>
      <c r="H16" s="4">
        <v>1</v>
      </c>
      <c r="I16" s="27">
        <v>1.4</v>
      </c>
      <c r="J16" s="22">
        <f>LOG(I16)*4/3</f>
        <v>0.19483738090431735</v>
      </c>
      <c r="K16" s="6">
        <f>(H16)*(H16)*(I16)</f>
        <v>1.4</v>
      </c>
      <c r="L16" s="6">
        <f>(H16+1)*(H16+1)*I16</f>
        <v>5.6</v>
      </c>
      <c r="M16" s="130">
        <v>43046</v>
      </c>
      <c r="N16" s="131">
        <v>1.5</v>
      </c>
      <c r="O16" s="19">
        <v>5.0999999999999996</v>
      </c>
      <c r="P16" s="20">
        <f>O16*10+19</f>
        <v>70</v>
      </c>
      <c r="Q16" s="20">
        <v>6</v>
      </c>
      <c r="R16" s="115">
        <f>(Q16/7)^0.5</f>
        <v>0.92582009977255142</v>
      </c>
      <c r="S16" s="115">
        <f>IF(Q16=7,1,((Q16+0.99)/7)^0.5)</f>
        <v>0.99928545900129484</v>
      </c>
      <c r="T16" s="29">
        <v>3080</v>
      </c>
      <c r="U16" s="29">
        <f t="shared" si="46"/>
        <v>270</v>
      </c>
      <c r="V16" s="29">
        <v>350</v>
      </c>
      <c r="W16" s="8">
        <f>T16/V16</f>
        <v>8.8000000000000007</v>
      </c>
      <c r="X16" s="21">
        <v>0</v>
      </c>
      <c r="Y16" s="22">
        <v>2</v>
      </c>
      <c r="Z16" s="21">
        <v>5.7</v>
      </c>
      <c r="AA16" s="22">
        <v>5.5</v>
      </c>
      <c r="AB16" s="21">
        <f>4.75+0.25+0.25+0.25</f>
        <v>5.5</v>
      </c>
      <c r="AC16" s="22">
        <f>4+0.34+0.33+0.33</f>
        <v>5</v>
      </c>
      <c r="AD16" s="21">
        <v>5</v>
      </c>
      <c r="AE16" s="9">
        <v>480</v>
      </c>
      <c r="AF16" s="9">
        <v>2007</v>
      </c>
      <c r="AG16" s="23">
        <f t="shared" si="19"/>
        <v>7.1240351117223932</v>
      </c>
      <c r="AH16" s="23">
        <f t="shared" si="20"/>
        <v>7.6948373809043176</v>
      </c>
      <c r="AI16" s="120">
        <f t="shared" si="21"/>
        <v>6.8462890817906281</v>
      </c>
      <c r="AJ16" s="120">
        <f t="shared" si="22"/>
        <v>7.3948373809043177</v>
      </c>
      <c r="AK16" s="8">
        <f t="shared" si="23"/>
        <v>2.0928756045380528</v>
      </c>
      <c r="AL16" s="8">
        <f t="shared" si="24"/>
        <v>6.6948373809043176</v>
      </c>
      <c r="AM16" s="8">
        <f t="shared" si="25"/>
        <v>0.53558699047234537</v>
      </c>
      <c r="AN16" s="8">
        <f t="shared" si="26"/>
        <v>0.34863861666330226</v>
      </c>
      <c r="AO16" s="20">
        <v>4</v>
      </c>
      <c r="AP16" s="20">
        <v>3</v>
      </c>
      <c r="AQ16" s="20">
        <v>2</v>
      </c>
      <c r="AR16" s="129">
        <f>IF(AP16=4,IF(AQ16=0,0.137+0.0697,0.137+0.02),IF(AP16=3,IF(AQ16=0,0.0958+0.0697,0.0958+0.02),IF(AP16=2,IF(AQ16=0,0.0415+0.0697,0.0415+0.02),IF(AP16=1,IF(AQ16=0,0.0294+0.0697,0.0294+0.02),IF(AP16=0,IF(AQ16=0,0.0063+0.0697,0.0063+0.02))))))</f>
        <v>0.1158</v>
      </c>
      <c r="AS16">
        <v>2810</v>
      </c>
    </row>
    <row r="17" spans="1:45" x14ac:dyDescent="0.25">
      <c r="A17" s="15" t="s">
        <v>36</v>
      </c>
      <c r="B17" s="15" t="s">
        <v>71</v>
      </c>
      <c r="C17" s="121">
        <f ca="1">((33*112)-(E17*112)-(F17))/112</f>
        <v>15.267857142857142</v>
      </c>
      <c r="D17" s="222" t="s">
        <v>384</v>
      </c>
      <c r="E17" s="16">
        <v>17</v>
      </c>
      <c r="F17" s="2">
        <f ca="1">8-159+16-570-5+D2-D1-2-31-25-4</f>
        <v>82</v>
      </c>
      <c r="G17" s="18" t="s">
        <v>296</v>
      </c>
      <c r="H17" s="40">
        <v>6</v>
      </c>
      <c r="I17" s="27">
        <v>1.2</v>
      </c>
      <c r="J17" s="22">
        <f>LOG(I17)*4/3</f>
        <v>0.10557499473016642</v>
      </c>
      <c r="K17" s="6">
        <f>(H17)*(H17)*(I17)</f>
        <v>43.199999999999996</v>
      </c>
      <c r="L17" s="6">
        <f>(H17+1)*(H17+1)*I17</f>
        <v>58.8</v>
      </c>
      <c r="M17" s="130">
        <v>43054</v>
      </c>
      <c r="N17" s="131">
        <f ca="1">IF((TODAY()-M17)&gt;335,1,((TODAY()-M17)^0.64)/(336^0.64))</f>
        <v>0.35970673264589692</v>
      </c>
      <c r="O17" s="19">
        <v>5</v>
      </c>
      <c r="P17" s="20">
        <f>O17*10+19</f>
        <v>69</v>
      </c>
      <c r="Q17" s="26">
        <v>6</v>
      </c>
      <c r="R17" s="115">
        <f>(Q17/7)^0.5</f>
        <v>0.92582009977255142</v>
      </c>
      <c r="S17" s="115">
        <f>IF(Q17=7,1,((Q17+0.99)/7)^0.5)</f>
        <v>0.99928545900129484</v>
      </c>
      <c r="T17" s="29">
        <v>1800</v>
      </c>
      <c r="U17" s="29">
        <f>T17-AS17</f>
        <v>160</v>
      </c>
      <c r="V17" s="29">
        <v>290</v>
      </c>
      <c r="W17" s="8">
        <f>T17/V17</f>
        <v>6.2068965517241379</v>
      </c>
      <c r="X17" s="21">
        <v>0</v>
      </c>
      <c r="Y17" s="22">
        <v>3</v>
      </c>
      <c r="Z17" s="21">
        <v>5</v>
      </c>
      <c r="AA17" s="22">
        <v>4</v>
      </c>
      <c r="AB17" s="21">
        <f>4+0.25</f>
        <v>4.25</v>
      </c>
      <c r="AC17" s="22">
        <f>4+0.34+0.33+0.33+0.33*85/90</f>
        <v>5.3116666666666665</v>
      </c>
      <c r="AD17" s="21">
        <v>3</v>
      </c>
      <c r="AE17" s="9">
        <v>444</v>
      </c>
      <c r="AF17" s="9">
        <v>1983</v>
      </c>
      <c r="AG17" s="23">
        <f t="shared" ca="1" si="19"/>
        <v>4.1340475743518574</v>
      </c>
      <c r="AH17" s="23">
        <f t="shared" ca="1" si="20"/>
        <v>4.4652817273760634</v>
      </c>
      <c r="AI17" s="120">
        <f t="shared" ca="1" si="21"/>
        <v>5.0598676741244093</v>
      </c>
      <c r="AJ17" s="120">
        <f t="shared" ca="1" si="22"/>
        <v>5.4652817273760634</v>
      </c>
      <c r="AK17" s="8">
        <f t="shared" ca="1" si="23"/>
        <v>1.4924040841461623</v>
      </c>
      <c r="AL17" s="8">
        <f t="shared" ca="1" si="24"/>
        <v>4.1587817273760628</v>
      </c>
      <c r="AM17" s="8">
        <f t="shared" ca="1" si="25"/>
        <v>0.39280587152341839</v>
      </c>
      <c r="AN17" s="8">
        <f t="shared" ca="1" si="26"/>
        <v>0.24256972091632445</v>
      </c>
      <c r="AO17" s="20">
        <v>2</v>
      </c>
      <c r="AP17" s="20">
        <v>2</v>
      </c>
      <c r="AQ17" s="20">
        <v>1</v>
      </c>
      <c r="AR17" s="129">
        <f>IF(AP17=4,IF(AQ17=0,0.137+0.0697,0.137+0.02),IF(AP17=3,IF(AQ17=0,0.0958+0.0697,0.0958+0.02),IF(AP17=2,IF(AQ17=0,0.0415+0.0697,0.0415+0.02),IF(AP17=1,IF(AQ17=0,0.0294+0.0697,0.0294+0.02),IF(AP17=0,IF(AQ17=0,0.0063+0.0697,0.0063+0.02))))))</f>
        <v>6.1499999999999999E-2</v>
      </c>
      <c r="AS17" s="193">
        <v>1640</v>
      </c>
    </row>
    <row r="18" spans="1:45" x14ac:dyDescent="0.25">
      <c r="A18" s="15" t="s">
        <v>365</v>
      </c>
      <c r="B18" s="15" t="s">
        <v>71</v>
      </c>
      <c r="C18" s="121">
        <f t="shared" ref="C18:C22" ca="1" si="52">((33*112)-(E18*112)-(F18))/112</f>
        <v>15.196428571428571</v>
      </c>
      <c r="D18" s="215" t="s">
        <v>303</v>
      </c>
      <c r="E18" s="16">
        <v>17</v>
      </c>
      <c r="F18" s="2">
        <f ca="1">8-159+16-570-5+D2-D1-2-12-49+9</f>
        <v>90</v>
      </c>
      <c r="G18" s="18" t="s">
        <v>45</v>
      </c>
      <c r="H18" s="4">
        <v>3</v>
      </c>
      <c r="I18" s="27">
        <v>1.1000000000000001</v>
      </c>
      <c r="J18" s="22">
        <f t="shared" ref="J18:J22" si="53">LOG(I18)*4/3</f>
        <v>5.5190246877633437E-2</v>
      </c>
      <c r="K18" s="6">
        <f t="shared" ref="K18:K22" si="54">(H18)*(H18)*(I18)</f>
        <v>9.9</v>
      </c>
      <c r="L18" s="6">
        <f t="shared" ref="L18:L22" si="55">(H18+1)*(H18+1)*I18</f>
        <v>17.600000000000001</v>
      </c>
      <c r="M18" s="130">
        <v>43046</v>
      </c>
      <c r="N18" s="131">
        <f t="shared" ref="N18" ca="1" si="56">IF((TODAY()-M18)&gt;335,1,((TODAY()-M18)^0.64)/(336^0.64))</f>
        <v>0.38624561461075513</v>
      </c>
      <c r="O18" s="19">
        <v>5.0999999999999996</v>
      </c>
      <c r="P18" s="20">
        <f t="shared" ref="P18:P22" si="57">O18*10+19</f>
        <v>70</v>
      </c>
      <c r="Q18" s="26">
        <v>6</v>
      </c>
      <c r="R18" s="115">
        <f t="shared" ref="R18:R22" si="58">(Q18/7)^0.5</f>
        <v>0.92582009977255142</v>
      </c>
      <c r="S18" s="115">
        <f t="shared" ref="S18:S22" si="59">IF(Q18=7,1,((Q18+0.99)/7)^0.5)</f>
        <v>0.99928545900129484</v>
      </c>
      <c r="T18" s="29">
        <v>740</v>
      </c>
      <c r="U18" s="29">
        <f t="shared" ref="U18" si="60">T18-AS18</f>
        <v>10</v>
      </c>
      <c r="V18" s="29">
        <v>270</v>
      </c>
      <c r="W18" s="8">
        <f t="shared" ref="W18:W22" si="61">T18/V18</f>
        <v>2.7407407407407409</v>
      </c>
      <c r="X18" s="21">
        <v>0</v>
      </c>
      <c r="Y18" s="22">
        <v>4</v>
      </c>
      <c r="Z18" s="21">
        <v>2</v>
      </c>
      <c r="AA18" s="22">
        <v>5</v>
      </c>
      <c r="AB18" s="21">
        <f>3.67+(0.25*0.16)+0.25+0.25*0.16</f>
        <v>4</v>
      </c>
      <c r="AC18" s="22">
        <f>4+1/17+1/17+1/17+1/17*12/90+1/17</f>
        <v>4.2431372549019599</v>
      </c>
      <c r="AD18" s="21">
        <v>4</v>
      </c>
      <c r="AE18" s="9">
        <v>393</v>
      </c>
      <c r="AF18" s="9">
        <v>1960</v>
      </c>
      <c r="AG18" s="23">
        <f t="shared" ca="1" si="19"/>
        <v>5.0377906921891187</v>
      </c>
      <c r="AH18" s="23">
        <f t="shared" ca="1" si="20"/>
        <v>5.4414358614883884</v>
      </c>
      <c r="AI18" s="120">
        <f t="shared" ca="1" si="21"/>
        <v>2.2603303928714649</v>
      </c>
      <c r="AJ18" s="120">
        <f t="shared" ca="1" si="22"/>
        <v>2.4414358614883884</v>
      </c>
      <c r="AK18" s="8">
        <f t="shared" ca="1" si="23"/>
        <v>1.5419889721562128</v>
      </c>
      <c r="AL18" s="8">
        <f t="shared" ca="1" si="24"/>
        <v>4.514377037958976</v>
      </c>
      <c r="AM18" s="8">
        <f t="shared" ca="1" si="25"/>
        <v>0.36747173166416908</v>
      </c>
      <c r="AN18" s="8">
        <f t="shared" ca="1" si="26"/>
        <v>0.31090051030418719</v>
      </c>
      <c r="AO18" s="20">
        <v>3</v>
      </c>
      <c r="AP18" s="20">
        <v>4</v>
      </c>
      <c r="AQ18" s="20">
        <v>3</v>
      </c>
      <c r="AR18" s="129">
        <f t="shared" ref="AR18" si="62">IF(AP18=4,IF(AQ18=0,0.137+0.0697,0.137+0.02),IF(AP18=3,IF(AQ18=0,0.0958+0.0697,0.0958+0.02),IF(AP18=2,IF(AQ18=0,0.0415+0.0697,0.0415+0.02),IF(AP18=1,IF(AQ18=0,0.0294+0.0697,0.0294+0.02),IF(AP18=0,IF(AQ18=0,0.0063+0.0697,0.0063+0.02))))))</f>
        <v>0.157</v>
      </c>
      <c r="AS18">
        <v>730</v>
      </c>
    </row>
    <row r="19" spans="1:45" x14ac:dyDescent="0.25">
      <c r="A19" s="15" t="s">
        <v>307</v>
      </c>
      <c r="B19" s="24" t="s">
        <v>44</v>
      </c>
      <c r="C19" s="121">
        <f t="shared" ca="1" si="52"/>
        <v>15.285714285714286</v>
      </c>
      <c r="D19" s="216" t="s">
        <v>298</v>
      </c>
      <c r="E19" s="1">
        <v>17</v>
      </c>
      <c r="F19" s="2">
        <f ca="1">8-159+16-570-5+D2-D1-2-62</f>
        <v>80</v>
      </c>
      <c r="G19" s="3" t="s">
        <v>0</v>
      </c>
      <c r="H19" s="4">
        <v>4</v>
      </c>
      <c r="I19" s="5">
        <v>1.1000000000000001</v>
      </c>
      <c r="J19" s="22">
        <f t="shared" si="53"/>
        <v>5.5190246877633437E-2</v>
      </c>
      <c r="K19" s="6">
        <f t="shared" si="54"/>
        <v>17.600000000000001</v>
      </c>
      <c r="L19" s="6">
        <f t="shared" si="55"/>
        <v>27.500000000000004</v>
      </c>
      <c r="M19" s="130">
        <v>43045</v>
      </c>
      <c r="N19" s="131">
        <f ca="1">IF((TODAY()-M19)&gt;335,1,((TODAY()-M19)^0.64)/(336^0.64))</f>
        <v>0.38949055134365018</v>
      </c>
      <c r="O19" s="25">
        <v>5.2</v>
      </c>
      <c r="P19" s="20">
        <f t="shared" si="57"/>
        <v>71</v>
      </c>
      <c r="Q19" s="26">
        <v>4</v>
      </c>
      <c r="R19" s="115">
        <f t="shared" si="58"/>
        <v>0.7559289460184544</v>
      </c>
      <c r="S19" s="115">
        <f t="shared" si="59"/>
        <v>0.84430867747355465</v>
      </c>
      <c r="T19" s="29">
        <v>1000</v>
      </c>
      <c r="U19" s="29">
        <f>T19-AS19</f>
        <v>0</v>
      </c>
      <c r="V19" s="7">
        <v>310</v>
      </c>
      <c r="W19" s="8">
        <f t="shared" si="61"/>
        <v>3.225806451612903</v>
      </c>
      <c r="X19" s="21">
        <v>1</v>
      </c>
      <c r="Y19" s="22">
        <v>4</v>
      </c>
      <c r="Z19" s="21">
        <v>2</v>
      </c>
      <c r="AA19" s="22">
        <v>3</v>
      </c>
      <c r="AB19" s="21">
        <f>3.75+0.25+0.25+0.25</f>
        <v>4.5</v>
      </c>
      <c r="AC19" s="22">
        <f>5+1/20+1/20+1/20*5/90+1/20+1/20</f>
        <v>5.2027777777777775</v>
      </c>
      <c r="AD19" s="21">
        <v>6</v>
      </c>
      <c r="AE19" s="9">
        <v>407</v>
      </c>
      <c r="AF19" s="9">
        <v>1994</v>
      </c>
      <c r="AG19" s="23">
        <f ca="1">(AD19+1+(LOG(I19)*4/3)+N19)*(Q19/7)^0.5</f>
        <v>5.6276497092432409</v>
      </c>
      <c r="AH19" s="23">
        <f ca="1">(AD19+1+N19+(LOG(I19)*4/3))*(IF(Q19=7, (Q19/7)^0.5, ((Q19+1)/7)^0.5))</f>
        <v>6.2919036517124072</v>
      </c>
      <c r="AI19" s="120">
        <f ca="1">(Z19+N19+(LOG(I19)*4/3))*(Q19/7)^0.5</f>
        <v>1.8480049791509687</v>
      </c>
      <c r="AJ19" s="120">
        <f ca="1">(Z19+N19+(LOG(I19)*4/3))*(IF(Q19=7, (Q19/7)^0.5, ((Q19+1)/7)^0.5))</f>
        <v>2.066132378069824</v>
      </c>
      <c r="AK19" s="8">
        <f ca="1">(((Y19+LOG(I19)*4/3+N19)+(AB19+LOG(I19)*4/3+N19)*2)/8)*(Q19/7)^0.5</f>
        <v>1.3544396949477608</v>
      </c>
      <c r="AL19" s="8">
        <f ca="1">(AD19+LOG(I19)*4/3+N19)*0.7+(AC19+LOG(I19)*4/3+N19)*0.3</f>
        <v>6.2055141315546161</v>
      </c>
      <c r="AM19" s="8">
        <f ca="1">(0.5*(AC19+LOG(I19)*4/3+N19)+ 0.3*(AD19+LOG(I19)*4/3+N19))/10</f>
        <v>0.4757133527465916</v>
      </c>
      <c r="AN19" s="8">
        <f ca="1">(0.4*(Y19+LOG(I19)*4/3+N19)+0.3*(AD19+LOG(I19)*4/3+N19))/10</f>
        <v>0.37112765587548985</v>
      </c>
      <c r="AO19" s="20">
        <v>1</v>
      </c>
      <c r="AP19" s="20">
        <v>1</v>
      </c>
      <c r="AQ19" s="20">
        <v>2</v>
      </c>
      <c r="AR19" s="129">
        <f>IF(AP19=4,IF(AQ19=0,0.137+0.0697,0.137+0.02),IF(AP19=3,IF(AQ19=0,0.0958+0.0697,0.0958+0.02),IF(AP19=2,IF(AQ19=0,0.0415+0.0697,0.0415+0.02),IF(AP19=1,IF(AQ19=0,0.0294+0.0697,0.0294+0.02),IF(AP19=0,IF(AQ19=0,0.0063+0.0697,0.0063+0.02))))))</f>
        <v>4.9399999999999999E-2</v>
      </c>
      <c r="AS19">
        <v>1000</v>
      </c>
    </row>
    <row r="20" spans="1:45" x14ac:dyDescent="0.25">
      <c r="A20" s="15" t="s">
        <v>366</v>
      </c>
      <c r="B20" s="15" t="s">
        <v>44</v>
      </c>
      <c r="C20" s="121">
        <f t="shared" ca="1" si="52"/>
        <v>14.901785714285714</v>
      </c>
      <c r="D20" s="215" t="s">
        <v>305</v>
      </c>
      <c r="E20" s="16">
        <v>18</v>
      </c>
      <c r="F20" s="2">
        <f ca="1">8-159+16-570-5+D2-D1-2-12-49+9-11+44-112</f>
        <v>11</v>
      </c>
      <c r="G20" s="18" t="s">
        <v>70</v>
      </c>
      <c r="H20" s="4">
        <v>3</v>
      </c>
      <c r="I20" s="27">
        <v>0.5</v>
      </c>
      <c r="J20" s="22">
        <f t="shared" si="53"/>
        <v>-0.40137332755197491</v>
      </c>
      <c r="K20" s="6">
        <f t="shared" si="54"/>
        <v>4.5</v>
      </c>
      <c r="L20" s="6">
        <f t="shared" si="55"/>
        <v>8</v>
      </c>
      <c r="M20" s="130">
        <v>43046</v>
      </c>
      <c r="N20" s="131">
        <f t="shared" ref="N20:N21" ca="1" si="63">IF((TODAY()-M20)&gt;335,1,((TODAY()-M20)^0.64)/(336^0.64))</f>
        <v>0.38624561461075513</v>
      </c>
      <c r="O20" s="19">
        <v>5.3</v>
      </c>
      <c r="P20" s="20">
        <f t="shared" si="57"/>
        <v>72</v>
      </c>
      <c r="Q20" s="26">
        <v>5</v>
      </c>
      <c r="R20" s="115">
        <f t="shared" si="58"/>
        <v>0.84515425472851657</v>
      </c>
      <c r="S20" s="115">
        <f t="shared" si="59"/>
        <v>0.92504826128926143</v>
      </c>
      <c r="T20" s="29">
        <v>2060</v>
      </c>
      <c r="U20" s="29">
        <f t="shared" ref="U20:U22" si="64">T20-AS20</f>
        <v>-230</v>
      </c>
      <c r="V20" s="29">
        <v>370</v>
      </c>
      <c r="W20" s="8">
        <f t="shared" si="61"/>
        <v>5.5675675675675675</v>
      </c>
      <c r="X20" s="21">
        <v>0</v>
      </c>
      <c r="Y20" s="22">
        <v>5</v>
      </c>
      <c r="Z20" s="21">
        <v>2</v>
      </c>
      <c r="AA20" s="22">
        <v>3</v>
      </c>
      <c r="AB20" s="21">
        <f>4+0.25+0.25+0.25</f>
        <v>4.75</v>
      </c>
      <c r="AC20" s="22">
        <f>6+1/23+1/23+1/23+1/23+1/23</f>
        <v>6.2173913043478271</v>
      </c>
      <c r="AD20" s="21">
        <v>3</v>
      </c>
      <c r="AE20" s="9">
        <v>451</v>
      </c>
      <c r="AF20" s="9">
        <v>1977</v>
      </c>
      <c r="AG20" s="23">
        <f t="shared" ref="AG20:AG22" ca="1" si="65">(AD20+1+(LOG(I20)*4/3)+N20)*(Q20/7)^0.5</f>
        <v>3.3678317679574832</v>
      </c>
      <c r="AH20" s="23">
        <f t="shared" ref="AH20:AH22" ca="1" si="66">(AD20+1+N20+(LOG(I20)*4/3))*(IF(Q20=7, (Q20/7)^0.5, ((Q20+1)/7)^0.5))</f>
        <v>3.6892748583856347</v>
      </c>
      <c r="AI20" s="120">
        <f t="shared" ref="AI20:AI22" ca="1" si="67">(Z20+N20+(LOG(I20)*4/3))*(Q20/7)^0.5</f>
        <v>1.6775232585004494</v>
      </c>
      <c r="AJ20" s="120">
        <f t="shared" ref="AJ20:AJ22" ca="1" si="68">(Z20+N20+(LOG(I20)*4/3))*(IF(Q20=7, (Q20/7)^0.5, ((Q20+1)/7)^0.5))</f>
        <v>1.8376346588405321</v>
      </c>
      <c r="AK20" s="8">
        <f t="shared" ref="AK20:AK22" ca="1" si="69">(((Y20+LOG(I20)*4/3+N20)+(AB20+LOG(I20)*4/3+N20)*2)/8)*(Q20/7)^0.5</f>
        <v>1.5270476175867174</v>
      </c>
      <c r="AL20" s="8">
        <f t="shared" ref="AL20:AL22" ca="1" si="70">(AD20+LOG(I20)*4/3+N20)*0.7+(AC20+LOG(I20)*4/3+N20)*0.3</f>
        <v>3.9500896783631281</v>
      </c>
      <c r="AM20" s="8">
        <f t="shared" ref="AM20:AM22" ca="1" si="71">(0.5*(AC20+LOG(I20)*4/3+N20)+ 0.3*(AD20+LOG(I20)*4/3+N20))/10</f>
        <v>0.39965934818209375</v>
      </c>
      <c r="AN20" s="8">
        <f t="shared" ref="AN20:AN22" ca="1" si="72">(0.4*(Y20+LOG(I20)*4/3+N20)+0.3*(AD20+LOG(I20)*4/3+N20))/10</f>
        <v>0.28894106009411458</v>
      </c>
      <c r="AO20" s="20">
        <v>2</v>
      </c>
      <c r="AP20" s="20">
        <v>3</v>
      </c>
      <c r="AQ20" s="20">
        <v>1</v>
      </c>
      <c r="AR20" s="129">
        <f t="shared" ref="AR20:AR22" si="73">IF(AP20=4,IF(AQ20=0,0.137+0.0697,0.137+0.02),IF(AP20=3,IF(AQ20=0,0.0958+0.0697,0.0958+0.02),IF(AP20=2,IF(AQ20=0,0.0415+0.0697,0.0415+0.02),IF(AP20=1,IF(AQ20=0,0.0294+0.0697,0.0294+0.02),IF(AP20=0,IF(AQ20=0,0.0063+0.0697,0.0063+0.02))))))</f>
        <v>0.1158</v>
      </c>
      <c r="AS20">
        <v>2290</v>
      </c>
    </row>
    <row r="21" spans="1:45" x14ac:dyDescent="0.25">
      <c r="A21" s="15" t="s">
        <v>368</v>
      </c>
      <c r="B21" s="15" t="s">
        <v>44</v>
      </c>
      <c r="C21" s="121">
        <f t="shared" ca="1" si="52"/>
        <v>15.294642857142858</v>
      </c>
      <c r="D21" s="215" t="s">
        <v>304</v>
      </c>
      <c r="E21" s="16">
        <v>17</v>
      </c>
      <c r="F21" s="2">
        <f ca="1">8-159+16-570-5+D2-D1-2-12-49+9-11</f>
        <v>79</v>
      </c>
      <c r="G21" s="18" t="s">
        <v>296</v>
      </c>
      <c r="H21" s="4">
        <v>4</v>
      </c>
      <c r="I21" s="27">
        <v>0.5</v>
      </c>
      <c r="J21" s="22">
        <f t="shared" si="53"/>
        <v>-0.40137332755197491</v>
      </c>
      <c r="K21" s="6">
        <f t="shared" si="54"/>
        <v>8</v>
      </c>
      <c r="L21" s="6">
        <f t="shared" si="55"/>
        <v>12.5</v>
      </c>
      <c r="M21" s="130">
        <v>43046</v>
      </c>
      <c r="N21" s="131">
        <f t="shared" ca="1" si="63"/>
        <v>0.38624561461075513</v>
      </c>
      <c r="O21" s="19">
        <v>5</v>
      </c>
      <c r="P21" s="20">
        <f t="shared" si="57"/>
        <v>69</v>
      </c>
      <c r="Q21" s="26">
        <v>6</v>
      </c>
      <c r="R21" s="115">
        <f t="shared" si="58"/>
        <v>0.92582009977255142</v>
      </c>
      <c r="S21" s="115">
        <f t="shared" si="59"/>
        <v>0.99928545900129484</v>
      </c>
      <c r="T21" s="29">
        <v>680</v>
      </c>
      <c r="U21" s="29">
        <f t="shared" si="64"/>
        <v>10</v>
      </c>
      <c r="V21" s="29">
        <v>290</v>
      </c>
      <c r="W21" s="8">
        <f t="shared" si="61"/>
        <v>2.3448275862068964</v>
      </c>
      <c r="X21" s="21">
        <v>0</v>
      </c>
      <c r="Y21" s="22">
        <v>4</v>
      </c>
      <c r="Z21" s="21">
        <v>2</v>
      </c>
      <c r="AA21" s="22">
        <v>2</v>
      </c>
      <c r="AB21" s="21">
        <f>3+(0.25*0.16)+(0.25*0.16*3/90)+0.25*3/90</f>
        <v>3.0496666666666665</v>
      </c>
      <c r="AC21" s="22">
        <f>5+1/20+1/20*5/90+1/20+1/20</f>
        <v>5.1527777777777777</v>
      </c>
      <c r="AD21" s="21">
        <v>2.5</v>
      </c>
      <c r="AE21" s="9">
        <v>334</v>
      </c>
      <c r="AF21" s="9">
        <v>1923</v>
      </c>
      <c r="AG21" s="23">
        <f t="shared" ca="1" si="65"/>
        <v>3.2263648084993597</v>
      </c>
      <c r="AH21" s="23">
        <f t="shared" ca="1" si="66"/>
        <v>3.48487228705878</v>
      </c>
      <c r="AI21" s="120">
        <f t="shared" ca="1" si="67"/>
        <v>1.8376346588405321</v>
      </c>
      <c r="AJ21" s="120">
        <f t="shared" ca="1" si="68"/>
        <v>1.98487228705878</v>
      </c>
      <c r="AK21" s="8">
        <f t="shared" ca="1" si="69"/>
        <v>1.1635186465236511</v>
      </c>
      <c r="AL21" s="8">
        <f t="shared" ca="1" si="70"/>
        <v>3.2807056203921134</v>
      </c>
      <c r="AM21" s="8">
        <f t="shared" ca="1" si="71"/>
        <v>0.33142867185359126</v>
      </c>
      <c r="AN21" s="8">
        <f t="shared" ca="1" si="72"/>
        <v>0.23394106009411461</v>
      </c>
      <c r="AO21" s="20">
        <v>1</v>
      </c>
      <c r="AP21" s="20">
        <v>2</v>
      </c>
      <c r="AQ21" s="20">
        <v>1</v>
      </c>
      <c r="AR21" s="129">
        <f t="shared" si="73"/>
        <v>6.1499999999999999E-2</v>
      </c>
      <c r="AS21">
        <v>670</v>
      </c>
    </row>
    <row r="22" spans="1:45" x14ac:dyDescent="0.25">
      <c r="A22" s="15" t="s">
        <v>43</v>
      </c>
      <c r="B22" s="15" t="s">
        <v>44</v>
      </c>
      <c r="C22" s="121">
        <f t="shared" ca="1" si="52"/>
        <v>15.616071428571429</v>
      </c>
      <c r="D22" s="216" t="s">
        <v>450</v>
      </c>
      <c r="E22" s="1">
        <v>17</v>
      </c>
      <c r="F22" s="2">
        <f ca="1">58++D2-D1-112-112-112-112-112-112-112-85</f>
        <v>43</v>
      </c>
      <c r="G22" s="3"/>
      <c r="H22" s="4">
        <v>0</v>
      </c>
      <c r="I22" s="5">
        <v>1.3</v>
      </c>
      <c r="J22" s="22">
        <f t="shared" si="53"/>
        <v>0.15192446974244905</v>
      </c>
      <c r="K22" s="6">
        <f t="shared" si="54"/>
        <v>0</v>
      </c>
      <c r="L22" s="6">
        <f t="shared" si="55"/>
        <v>1.3</v>
      </c>
      <c r="M22" s="130">
        <v>43090</v>
      </c>
      <c r="N22" s="131">
        <v>1.5</v>
      </c>
      <c r="O22" s="25">
        <v>3.5</v>
      </c>
      <c r="P22" s="20">
        <f t="shared" si="57"/>
        <v>54</v>
      </c>
      <c r="Q22" s="26">
        <v>5</v>
      </c>
      <c r="R22" s="115">
        <f t="shared" si="58"/>
        <v>0.84515425472851657</v>
      </c>
      <c r="S22" s="115">
        <f t="shared" si="59"/>
        <v>0.92504826128926143</v>
      </c>
      <c r="T22" s="29">
        <v>2340</v>
      </c>
      <c r="U22" s="29">
        <f t="shared" si="64"/>
        <v>270</v>
      </c>
      <c r="V22" s="7">
        <v>370</v>
      </c>
      <c r="W22" s="8">
        <f t="shared" si="61"/>
        <v>6.3243243243243246</v>
      </c>
      <c r="X22" s="21">
        <v>0</v>
      </c>
      <c r="Y22" s="22">
        <v>3</v>
      </c>
      <c r="Z22" s="21">
        <v>2</v>
      </c>
      <c r="AA22" s="22">
        <v>5</v>
      </c>
      <c r="AB22" s="21">
        <v>5</v>
      </c>
      <c r="AC22" s="22">
        <f>6+0.25+0.25+0.25+0.25</f>
        <v>7</v>
      </c>
      <c r="AD22" s="21">
        <v>4</v>
      </c>
      <c r="AE22" s="9">
        <v>498</v>
      </c>
      <c r="AF22" s="9">
        <v>2081</v>
      </c>
      <c r="AG22" s="23">
        <f t="shared" si="65"/>
        <v>5.6219022677355621</v>
      </c>
      <c r="AH22" s="23">
        <f t="shared" si="66"/>
        <v>6.1584853762564302</v>
      </c>
      <c r="AI22" s="120">
        <f t="shared" si="67"/>
        <v>3.0864395035500127</v>
      </c>
      <c r="AJ22" s="120">
        <f t="shared" si="68"/>
        <v>3.381025076938776</v>
      </c>
      <c r="AK22" s="8">
        <f t="shared" si="69"/>
        <v>1.8969247867187069</v>
      </c>
      <c r="AL22" s="8">
        <f t="shared" si="70"/>
        <v>6.5519244697424481</v>
      </c>
      <c r="AM22" s="8">
        <f t="shared" si="71"/>
        <v>0.60215395757939594</v>
      </c>
      <c r="AN22" s="8">
        <f t="shared" si="72"/>
        <v>0.3556347128819714</v>
      </c>
      <c r="AO22" s="20">
        <v>2</v>
      </c>
      <c r="AP22" s="20">
        <v>2</v>
      </c>
      <c r="AQ22" s="20">
        <v>2</v>
      </c>
      <c r="AR22" s="129">
        <f t="shared" si="73"/>
        <v>6.1499999999999999E-2</v>
      </c>
      <c r="AS22">
        <v>2070</v>
      </c>
    </row>
    <row r="23" spans="1:45" x14ac:dyDescent="0.25">
      <c r="A23" s="15"/>
      <c r="B23" s="15"/>
      <c r="C23" s="121"/>
      <c r="D23" s="28" t="s">
        <v>183</v>
      </c>
      <c r="E23" s="16"/>
      <c r="F23" s="17"/>
      <c r="G23" s="18"/>
      <c r="H23" s="4"/>
      <c r="I23" s="27"/>
      <c r="J23" s="22"/>
      <c r="K23" s="6"/>
      <c r="L23" s="6"/>
      <c r="M23" s="130"/>
      <c r="N23" s="131"/>
      <c r="O23" s="19"/>
      <c r="P23" s="20"/>
      <c r="Q23" s="20"/>
      <c r="R23" s="115"/>
      <c r="S23" s="115"/>
      <c r="T23" s="29"/>
      <c r="U23" s="29"/>
      <c r="V23" s="29"/>
      <c r="W23" s="8"/>
      <c r="X23" s="21"/>
      <c r="Y23" s="22"/>
      <c r="Z23" s="21"/>
      <c r="AA23" s="22"/>
      <c r="AB23" s="21"/>
      <c r="AC23" s="22"/>
      <c r="AD23" s="21"/>
      <c r="AE23" s="9"/>
      <c r="AF23" s="9"/>
      <c r="AG23" s="23"/>
      <c r="AH23" s="23"/>
      <c r="AI23" s="120"/>
      <c r="AJ23" s="120"/>
      <c r="AK23" s="8"/>
      <c r="AL23" s="8"/>
      <c r="AM23" s="8"/>
      <c r="AN23" s="8"/>
      <c r="AO23" s="20">
        <v>0</v>
      </c>
      <c r="AP23" s="20">
        <v>4</v>
      </c>
      <c r="AQ23" s="20">
        <v>0</v>
      </c>
      <c r="AR23" s="129">
        <f t="shared" ref="AR23" si="74">IF(AP23=4,IF(AQ23=0,0.137+0.0697,0.137+0.02),IF(AP23=3,IF(AQ23=0,0.0958+0.0697,0.0958+0.02),IF(AP23=2,IF(AQ23=0,0.0415+0.0697,0.0415+0.02),IF(AP23=1,IF(AQ23=0,0.0294+0.0697,0.0294+0.02),IF(AP23=0,IF(AQ23=0,0.0063+0.0697,0.0063+0.02))))))</f>
        <v>0.20669999999999999</v>
      </c>
    </row>
    <row r="24" spans="1:45" x14ac:dyDescent="0.25">
      <c r="V24" s="69"/>
    </row>
    <row r="26" spans="1:45" x14ac:dyDescent="0.25">
      <c r="V26" s="69"/>
    </row>
  </sheetData>
  <conditionalFormatting sqref="U2">
    <cfRule type="dataBar" priority="470">
      <dataBar>
        <cfvo type="min"/>
        <cfvo type="max"/>
        <color rgb="FF63C384"/>
      </dataBar>
      <extLst>
        <ext xmlns:x14="http://schemas.microsoft.com/office/spreadsheetml/2009/9/main" uri="{B025F937-C7B1-47D3-B67F-A62EFF666E3E}">
          <x14:id>{1A3317A4-2E15-4A61-81B2-0B5998394877}</x14:id>
        </ext>
      </extLst>
    </cfRule>
  </conditionalFormatting>
  <conditionalFormatting sqref="I23">
    <cfRule type="cellIs" dxfId="24" priority="99" operator="lessThan">
      <formula>6</formula>
    </cfRule>
  </conditionalFormatting>
  <conditionalFormatting sqref="N23">
    <cfRule type="cellIs" dxfId="23" priority="98" operator="lessThan">
      <formula>0.75</formula>
    </cfRule>
  </conditionalFormatting>
  <conditionalFormatting sqref="P23">
    <cfRule type="cellIs" dxfId="22" priority="96" operator="greaterThan">
      <formula>90</formula>
    </cfRule>
    <cfRule type="cellIs" dxfId="21" priority="97" operator="lessThan">
      <formula>85</formula>
    </cfRule>
  </conditionalFormatting>
  <conditionalFormatting sqref="I4:I14 I16:I22">
    <cfRule type="cellIs" dxfId="20" priority="40" operator="lessThan">
      <formula>6</formula>
    </cfRule>
  </conditionalFormatting>
  <conditionalFormatting sqref="N4:N14 N16:N22">
    <cfRule type="cellIs" dxfId="19" priority="39" operator="lessThan">
      <formula>0.75</formula>
    </cfRule>
  </conditionalFormatting>
  <conditionalFormatting sqref="P4:P14 P16:P22">
    <cfRule type="cellIs" dxfId="18" priority="37" operator="greaterThan">
      <formula>90</formula>
    </cfRule>
    <cfRule type="cellIs" dxfId="17" priority="38" operator="lessThan">
      <formula>85</formula>
    </cfRule>
  </conditionalFormatting>
  <conditionalFormatting sqref="C4:C22">
    <cfRule type="colorScale" priority="41">
      <colorScale>
        <cfvo type="min"/>
        <cfvo type="max"/>
        <color rgb="FFFFEF9C"/>
        <color rgb="FF63BE7B"/>
      </colorScale>
    </cfRule>
  </conditionalFormatting>
  <conditionalFormatting sqref="C23">
    <cfRule type="colorScale" priority="5007">
      <colorScale>
        <cfvo type="min"/>
        <cfvo type="max"/>
        <color rgb="FFFFEF9C"/>
        <color rgb="FF63BE7B"/>
      </colorScale>
    </cfRule>
  </conditionalFormatting>
  <conditionalFormatting sqref="I15">
    <cfRule type="cellIs" dxfId="16" priority="20" operator="lessThan">
      <formula>6</formula>
    </cfRule>
  </conditionalFormatting>
  <conditionalFormatting sqref="N15">
    <cfRule type="cellIs" dxfId="15" priority="19" operator="lessThan">
      <formula>0.75</formula>
    </cfRule>
  </conditionalFormatting>
  <conditionalFormatting sqref="P15">
    <cfRule type="cellIs" dxfId="14" priority="17" operator="greaterThan">
      <formula>90</formula>
    </cfRule>
    <cfRule type="cellIs" dxfId="13" priority="18" operator="lessThan">
      <formula>85</formula>
    </cfRule>
  </conditionalFormatting>
  <conditionalFormatting sqref="R4:S22">
    <cfRule type="colorScale" priority="14">
      <colorScale>
        <cfvo type="min"/>
        <cfvo type="percentile" val="50"/>
        <cfvo type="max"/>
        <color rgb="FFF8696B"/>
        <color rgb="FFFFEB84"/>
        <color rgb="FF63BE7B"/>
      </colorScale>
    </cfRule>
  </conditionalFormatting>
  <conditionalFormatting sqref="T4:T22">
    <cfRule type="dataBar" priority="13">
      <dataBar>
        <cfvo type="min"/>
        <cfvo type="max"/>
        <color rgb="FF63C384"/>
      </dataBar>
      <extLst>
        <ext xmlns:x14="http://schemas.microsoft.com/office/spreadsheetml/2009/9/main" uri="{B025F937-C7B1-47D3-B67F-A62EFF666E3E}">
          <x14:id>{B13E782C-D89A-4C61-96EC-C08A047138FE}</x14:id>
        </ext>
      </extLst>
    </cfRule>
  </conditionalFormatting>
  <conditionalFormatting sqref="U4:U22">
    <cfRule type="dataBar" priority="12">
      <dataBar>
        <cfvo type="min"/>
        <cfvo type="max"/>
        <color rgb="FF63C384"/>
      </dataBar>
      <extLst>
        <ext xmlns:x14="http://schemas.microsoft.com/office/spreadsheetml/2009/9/main" uri="{B025F937-C7B1-47D3-B67F-A62EFF666E3E}">
          <x14:id>{8A6F6FBC-D49C-4DBA-A001-836503F14D7E}</x14:id>
        </ext>
      </extLst>
    </cfRule>
  </conditionalFormatting>
  <conditionalFormatting sqref="V4:V22">
    <cfRule type="dataBar" priority="11">
      <dataBar>
        <cfvo type="min"/>
        <cfvo type="max"/>
        <color rgb="FFFF555A"/>
      </dataBar>
      <extLst>
        <ext xmlns:x14="http://schemas.microsoft.com/office/spreadsheetml/2009/9/main" uri="{B025F937-C7B1-47D3-B67F-A62EFF666E3E}">
          <x14:id>{8A701A28-BEE7-4685-A106-1E21A5D50016}</x14:id>
        </ext>
      </extLst>
    </cfRule>
  </conditionalFormatting>
  <conditionalFormatting sqref="W4:W22">
    <cfRule type="dataBar" priority="10">
      <dataBar>
        <cfvo type="min"/>
        <cfvo type="max"/>
        <color rgb="FFFFB628"/>
      </dataBar>
      <extLst>
        <ext xmlns:x14="http://schemas.microsoft.com/office/spreadsheetml/2009/9/main" uri="{B025F937-C7B1-47D3-B67F-A62EFF666E3E}">
          <x14:id>{F0566193-AC02-4D5F-9039-FDC364A68C94}</x14:id>
        </ext>
      </extLst>
    </cfRule>
  </conditionalFormatting>
  <conditionalFormatting sqref="X4:AD22">
    <cfRule type="colorScale" priority="9">
      <colorScale>
        <cfvo type="min"/>
        <cfvo type="max"/>
        <color rgb="FFFCFCFF"/>
        <color rgb="FFF8696B"/>
      </colorScale>
    </cfRule>
  </conditionalFormatting>
  <conditionalFormatting sqref="AE4:AE22">
    <cfRule type="dataBar" priority="8">
      <dataBar>
        <cfvo type="min"/>
        <cfvo type="max"/>
        <color rgb="FF638EC6"/>
      </dataBar>
      <extLst>
        <ext xmlns:x14="http://schemas.microsoft.com/office/spreadsheetml/2009/9/main" uri="{B025F937-C7B1-47D3-B67F-A62EFF666E3E}">
          <x14:id>{6F8A194B-C353-48E9-914E-6C281505D972}</x14:id>
        </ext>
      </extLst>
    </cfRule>
  </conditionalFormatting>
  <conditionalFormatting sqref="AF4:AF22">
    <cfRule type="dataBar" priority="7">
      <dataBar>
        <cfvo type="min"/>
        <cfvo type="max"/>
        <color rgb="FF638EC6"/>
      </dataBar>
      <extLst>
        <ext xmlns:x14="http://schemas.microsoft.com/office/spreadsheetml/2009/9/main" uri="{B025F937-C7B1-47D3-B67F-A62EFF666E3E}">
          <x14:id>{39454924-5FFD-4BA1-95CE-A7F67257BF61}</x14:id>
        </ext>
      </extLst>
    </cfRule>
  </conditionalFormatting>
  <conditionalFormatting sqref="AG4:AH22">
    <cfRule type="colorScale" priority="6">
      <colorScale>
        <cfvo type="min"/>
        <cfvo type="percentile" val="50"/>
        <cfvo type="max"/>
        <color rgb="FFF8696B"/>
        <color rgb="FFFCFCFF"/>
        <color rgb="FF63BE7B"/>
      </colorScale>
    </cfRule>
  </conditionalFormatting>
  <conditionalFormatting sqref="AI4:AJ22">
    <cfRule type="colorScale" priority="5">
      <colorScale>
        <cfvo type="min"/>
        <cfvo type="percentile" val="50"/>
        <cfvo type="max"/>
        <color rgb="FFF8696B"/>
        <color rgb="FFFFEB84"/>
        <color rgb="FF63BE7B"/>
      </colorScale>
    </cfRule>
  </conditionalFormatting>
  <conditionalFormatting sqref="AK4:AK22">
    <cfRule type="colorScale" priority="4">
      <colorScale>
        <cfvo type="min"/>
        <cfvo type="percentile" val="50"/>
        <cfvo type="max"/>
        <color rgb="FFF8696B"/>
        <color rgb="FFFCFCFF"/>
        <color rgb="FF63BE7B"/>
      </colorScale>
    </cfRule>
  </conditionalFormatting>
  <conditionalFormatting sqref="AL4:AL22">
    <cfRule type="colorScale" priority="3">
      <colorScale>
        <cfvo type="min"/>
        <cfvo type="percentile" val="50"/>
        <cfvo type="max"/>
        <color rgb="FFF8696B"/>
        <color rgb="FFFFEB84"/>
        <color rgb="FF63BE7B"/>
      </colorScale>
    </cfRule>
  </conditionalFormatting>
  <conditionalFormatting sqref="AM4:AN22">
    <cfRule type="colorScale" priority="2">
      <colorScale>
        <cfvo type="min"/>
        <cfvo type="percentile" val="50"/>
        <cfvo type="max"/>
        <color rgb="FFF8696B"/>
        <color rgb="FFFCFCFF"/>
        <color rgb="FF63BE7B"/>
      </colorScale>
    </cfRule>
  </conditionalFormatting>
  <conditionalFormatting sqref="AR4:AR22">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1A3317A4-2E15-4A61-81B2-0B5998394877}">
            <x14:dataBar minLength="0" maxLength="100" border="1" negativeBarBorderColorSameAsPositive="0">
              <x14:cfvo type="autoMin"/>
              <x14:cfvo type="autoMax"/>
              <x14:borderColor rgb="FF63C384"/>
              <x14:negativeFillColor rgb="FFFF0000"/>
              <x14:negativeBorderColor rgb="FFFF0000"/>
              <x14:axisColor rgb="FF000000"/>
            </x14:dataBar>
          </x14:cfRule>
          <xm:sqref>U2</xm:sqref>
        </x14:conditionalFormatting>
        <x14:conditionalFormatting xmlns:xm="http://schemas.microsoft.com/office/excel/2006/main">
          <x14:cfRule type="dataBar" id="{B13E782C-D89A-4C61-96EC-C08A047138FE}">
            <x14:dataBar minLength="0" maxLength="100" border="1" negativeBarBorderColorSameAsPositive="0">
              <x14:cfvo type="autoMin"/>
              <x14:cfvo type="autoMax"/>
              <x14:borderColor rgb="FF63C384"/>
              <x14:negativeFillColor rgb="FFFF0000"/>
              <x14:negativeBorderColor rgb="FFFF0000"/>
              <x14:axisColor rgb="FF000000"/>
            </x14:dataBar>
          </x14:cfRule>
          <xm:sqref>T4:T22</xm:sqref>
        </x14:conditionalFormatting>
        <x14:conditionalFormatting xmlns:xm="http://schemas.microsoft.com/office/excel/2006/main">
          <x14:cfRule type="dataBar" id="{8A6F6FBC-D49C-4DBA-A001-836503F14D7E}">
            <x14:dataBar minLength="0" maxLength="100" border="1" negativeBarBorderColorSameAsPositive="0">
              <x14:cfvo type="autoMin"/>
              <x14:cfvo type="autoMax"/>
              <x14:borderColor rgb="FF63C384"/>
              <x14:negativeFillColor rgb="FFFF0000"/>
              <x14:negativeBorderColor rgb="FFFF0000"/>
              <x14:axisColor rgb="FF000000"/>
            </x14:dataBar>
          </x14:cfRule>
          <xm:sqref>U4:U22</xm:sqref>
        </x14:conditionalFormatting>
        <x14:conditionalFormatting xmlns:xm="http://schemas.microsoft.com/office/excel/2006/main">
          <x14:cfRule type="dataBar" id="{8A701A28-BEE7-4685-A106-1E21A5D50016}">
            <x14:dataBar minLength="0" maxLength="100" border="1" negativeBarBorderColorSameAsPositive="0">
              <x14:cfvo type="autoMin"/>
              <x14:cfvo type="autoMax"/>
              <x14:borderColor rgb="FFFF555A"/>
              <x14:negativeFillColor rgb="FFFF0000"/>
              <x14:negativeBorderColor rgb="FFFF0000"/>
              <x14:axisColor rgb="FF000000"/>
            </x14:dataBar>
          </x14:cfRule>
          <xm:sqref>V4:V22</xm:sqref>
        </x14:conditionalFormatting>
        <x14:conditionalFormatting xmlns:xm="http://schemas.microsoft.com/office/excel/2006/main">
          <x14:cfRule type="dataBar" id="{F0566193-AC02-4D5F-9039-FDC364A68C94}">
            <x14:dataBar minLength="0" maxLength="100" border="1" negativeBarBorderColorSameAsPositive="0">
              <x14:cfvo type="autoMin"/>
              <x14:cfvo type="autoMax"/>
              <x14:borderColor rgb="FFFFB628"/>
              <x14:negativeFillColor rgb="FFFF0000"/>
              <x14:negativeBorderColor rgb="FFFF0000"/>
              <x14:axisColor rgb="FF000000"/>
            </x14:dataBar>
          </x14:cfRule>
          <xm:sqref>W4:W22</xm:sqref>
        </x14:conditionalFormatting>
        <x14:conditionalFormatting xmlns:xm="http://schemas.microsoft.com/office/excel/2006/main">
          <x14:cfRule type="dataBar" id="{6F8A194B-C353-48E9-914E-6C281505D972}">
            <x14:dataBar minLength="0" maxLength="100" border="1" negativeBarBorderColorSameAsPositive="0">
              <x14:cfvo type="autoMin"/>
              <x14:cfvo type="autoMax"/>
              <x14:borderColor rgb="FF638EC6"/>
              <x14:negativeFillColor rgb="FFFF0000"/>
              <x14:negativeBorderColor rgb="FFFF0000"/>
              <x14:axisColor rgb="FF000000"/>
            </x14:dataBar>
          </x14:cfRule>
          <xm:sqref>AE4:AE22</xm:sqref>
        </x14:conditionalFormatting>
        <x14:conditionalFormatting xmlns:xm="http://schemas.microsoft.com/office/excel/2006/main">
          <x14:cfRule type="dataBar" id="{39454924-5FFD-4BA1-95CE-A7F67257BF61}">
            <x14:dataBar minLength="0" maxLength="100" border="1" negativeBarBorderColorSameAsPositive="0">
              <x14:cfvo type="autoMin"/>
              <x14:cfvo type="autoMax"/>
              <x14:borderColor rgb="FF638EC6"/>
              <x14:negativeFillColor rgb="FFFF0000"/>
              <x14:negativeBorderColor rgb="FFFF0000"/>
              <x14:axisColor rgb="FF000000"/>
            </x14:dataBar>
          </x14:cfRule>
          <xm:sqref>AF4:AF22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S31"/>
  <sheetViews>
    <sheetView zoomScale="90" zoomScaleNormal="90" workbookViewId="0">
      <selection activeCell="J20" sqref="J20"/>
    </sheetView>
  </sheetViews>
  <sheetFormatPr baseColWidth="10" defaultColWidth="11.42578125" defaultRowHeight="15" x14ac:dyDescent="0.25"/>
  <cols>
    <col min="1" max="1" width="18.85546875" bestFit="1" customWidth="1"/>
    <col min="2" max="2" width="5.42578125" bestFit="1" customWidth="1"/>
    <col min="3" max="3" width="3" bestFit="1" customWidth="1"/>
    <col min="4" max="4" width="4.85546875" bestFit="1" customWidth="1"/>
    <col min="5" max="6" width="6" bestFit="1" customWidth="1"/>
    <col min="7" max="8" width="4.85546875" bestFit="1" customWidth="1"/>
    <col min="9" max="10" width="7.7109375" bestFit="1" customWidth="1"/>
    <col min="12" max="12" width="48.140625" bestFit="1" customWidth="1"/>
    <col min="14" max="14" width="7.7109375" bestFit="1" customWidth="1"/>
    <col min="15" max="15" width="22" bestFit="1" customWidth="1"/>
    <col min="16" max="17" width="6" bestFit="1" customWidth="1"/>
    <col min="18" max="18" width="8.7109375" customWidth="1"/>
    <col min="19" max="19" width="4.85546875" bestFit="1" customWidth="1"/>
  </cols>
  <sheetData>
    <row r="1" spans="1:19" x14ac:dyDescent="0.25">
      <c r="A1" s="30">
        <v>43062</v>
      </c>
      <c r="E1" s="200" t="s">
        <v>338</v>
      </c>
      <c r="F1" s="201" t="s">
        <v>339</v>
      </c>
      <c r="G1" s="202"/>
      <c r="H1" s="202"/>
      <c r="I1" s="203" t="s">
        <v>338</v>
      </c>
      <c r="J1" s="204" t="s">
        <v>339</v>
      </c>
      <c r="K1" s="89"/>
      <c r="P1" s="200" t="s">
        <v>338</v>
      </c>
      <c r="Q1" s="201" t="s">
        <v>339</v>
      </c>
      <c r="R1" s="200"/>
      <c r="S1" s="201"/>
    </row>
    <row r="2" spans="1:19" x14ac:dyDescent="0.25">
      <c r="A2" s="205" t="s">
        <v>3</v>
      </c>
      <c r="B2" s="205" t="s">
        <v>340</v>
      </c>
      <c r="C2" s="205" t="s">
        <v>341</v>
      </c>
      <c r="D2" s="205" t="s">
        <v>18</v>
      </c>
      <c r="E2" s="200" t="s">
        <v>8</v>
      </c>
      <c r="F2" s="201" t="s">
        <v>8</v>
      </c>
      <c r="G2" s="202" t="s">
        <v>7</v>
      </c>
      <c r="H2" s="202" t="s">
        <v>7</v>
      </c>
      <c r="I2" s="203" t="s">
        <v>342</v>
      </c>
      <c r="J2" s="204" t="s">
        <v>342</v>
      </c>
      <c r="K2" s="89"/>
      <c r="P2" s="200" t="s">
        <v>8</v>
      </c>
      <c r="Q2" s="201" t="s">
        <v>8</v>
      </c>
      <c r="R2" s="200" t="s">
        <v>7</v>
      </c>
      <c r="S2" s="201" t="s">
        <v>7</v>
      </c>
    </row>
    <row r="3" spans="1:19" x14ac:dyDescent="0.25">
      <c r="A3" s="206" t="str">
        <f>PLANTILLA!D4</f>
        <v>Alberto Ercilla</v>
      </c>
      <c r="B3" s="207">
        <f>PLANTILLA!E4</f>
        <v>22</v>
      </c>
      <c r="C3" s="207">
        <f>PLANTILLA!H4</f>
        <v>4</v>
      </c>
      <c r="D3" s="208">
        <f>PLANTILLA!I4</f>
        <v>2.2999999999999998</v>
      </c>
      <c r="E3" s="209">
        <f>D3</f>
        <v>2.2999999999999998</v>
      </c>
      <c r="F3" s="209">
        <f>E3+0.1</f>
        <v>2.4</v>
      </c>
      <c r="G3" s="209">
        <f>C3</f>
        <v>4</v>
      </c>
      <c r="H3" s="209">
        <f>G3+0.99</f>
        <v>4.99</v>
      </c>
      <c r="I3" s="210">
        <f>G3*G3*E3</f>
        <v>36.799999999999997</v>
      </c>
      <c r="J3" s="210">
        <f>H3*H3*F3</f>
        <v>59.760240000000003</v>
      </c>
      <c r="K3" s="211"/>
      <c r="N3" s="52" t="s">
        <v>342</v>
      </c>
      <c r="O3" t="str">
        <f>A4</f>
        <v>Marc Dolz</v>
      </c>
      <c r="P3" s="212">
        <f>E4</f>
        <v>1</v>
      </c>
      <c r="Q3" s="212">
        <f t="shared" ref="Q3:S3" si="0">F4</f>
        <v>1.1000000000000001</v>
      </c>
      <c r="R3" s="212">
        <f t="shared" si="0"/>
        <v>3</v>
      </c>
      <c r="S3" s="212">
        <f t="shared" si="0"/>
        <v>3.99</v>
      </c>
    </row>
    <row r="4" spans="1:19" x14ac:dyDescent="0.25">
      <c r="A4" s="206" t="str">
        <f>PLANTILLA!D5</f>
        <v>Marc Dolz</v>
      </c>
      <c r="B4" s="207">
        <f>PLANTILLA!E5</f>
        <v>17</v>
      </c>
      <c r="C4" s="207">
        <f>PLANTILLA!H5</f>
        <v>3</v>
      </c>
      <c r="D4" s="208">
        <f>PLANTILLA!I5</f>
        <v>1</v>
      </c>
      <c r="E4" s="209">
        <f t="shared" ref="E4:E21" si="1">D4</f>
        <v>1</v>
      </c>
      <c r="F4" s="209">
        <f t="shared" ref="F4:F21" si="2">E4+0.1</f>
        <v>1.1000000000000001</v>
      </c>
      <c r="G4" s="209">
        <f t="shared" ref="G4:G21" si="3">C4</f>
        <v>3</v>
      </c>
      <c r="H4" s="209">
        <f t="shared" ref="H4:H21" si="4">G4+0.99</f>
        <v>3.99</v>
      </c>
      <c r="I4" s="210">
        <f t="shared" ref="I4:I21" si="5">G4*G4*E4</f>
        <v>9</v>
      </c>
      <c r="J4" s="210">
        <f t="shared" ref="J4:J21" si="6">H4*H4*F4</f>
        <v>17.512110000000003</v>
      </c>
      <c r="K4" s="211"/>
      <c r="O4" t="str">
        <f>A5</f>
        <v>Manuel Parejo</v>
      </c>
      <c r="P4" s="212">
        <f>E5</f>
        <v>1.1000000000000001</v>
      </c>
      <c r="Q4" s="212">
        <f>F5</f>
        <v>1.2000000000000002</v>
      </c>
      <c r="R4" s="212">
        <f>G5</f>
        <v>1</v>
      </c>
      <c r="S4" s="212">
        <f>H5</f>
        <v>1.99</v>
      </c>
    </row>
    <row r="5" spans="1:19" x14ac:dyDescent="0.25">
      <c r="A5" s="206" t="str">
        <f>PLANTILLA!D6</f>
        <v>Manuel Parejo</v>
      </c>
      <c r="B5" s="207">
        <f>PLANTILLA!E6</f>
        <v>17</v>
      </c>
      <c r="C5" s="207">
        <f>PLANTILLA!H6</f>
        <v>1</v>
      </c>
      <c r="D5" s="208">
        <f>PLANTILLA!I6</f>
        <v>1.1000000000000001</v>
      </c>
      <c r="E5" s="209">
        <f t="shared" si="1"/>
        <v>1.1000000000000001</v>
      </c>
      <c r="F5" s="209">
        <f t="shared" si="2"/>
        <v>1.2000000000000002</v>
      </c>
      <c r="G5" s="209">
        <f t="shared" si="3"/>
        <v>1</v>
      </c>
      <c r="H5" s="209">
        <f t="shared" si="4"/>
        <v>1.99</v>
      </c>
      <c r="I5" s="210">
        <f t="shared" si="5"/>
        <v>1.1000000000000001</v>
      </c>
      <c r="J5" s="210">
        <f t="shared" si="6"/>
        <v>4.7521200000000006</v>
      </c>
      <c r="K5" s="211"/>
      <c r="L5" s="139"/>
      <c r="O5" t="str">
        <f>A8</f>
        <v>Roberto Montero</v>
      </c>
      <c r="P5" s="212">
        <f>E8</f>
        <v>0.5</v>
      </c>
      <c r="Q5" s="212">
        <f>F8</f>
        <v>0.6</v>
      </c>
      <c r="R5" s="212">
        <f>G8</f>
        <v>2</v>
      </c>
      <c r="S5" s="212">
        <f>H8</f>
        <v>2.99</v>
      </c>
    </row>
    <row r="6" spans="1:19" x14ac:dyDescent="0.25">
      <c r="A6" s="206" t="str">
        <f>PLANTILLA!D7</f>
        <v>Valeri Gomis</v>
      </c>
      <c r="B6" s="207">
        <f>PLANTILLA!E7</f>
        <v>17</v>
      </c>
      <c r="C6" s="207">
        <f>PLANTILLA!H7</f>
        <v>6</v>
      </c>
      <c r="D6" s="208">
        <f>PLANTILLA!I7</f>
        <v>1.4</v>
      </c>
      <c r="E6" s="209">
        <f t="shared" si="1"/>
        <v>1.4</v>
      </c>
      <c r="F6" s="209">
        <f t="shared" si="2"/>
        <v>1.5</v>
      </c>
      <c r="G6" s="209">
        <f t="shared" si="3"/>
        <v>6</v>
      </c>
      <c r="H6" s="209">
        <f t="shared" si="4"/>
        <v>6.99</v>
      </c>
      <c r="I6" s="210">
        <f t="shared" si="5"/>
        <v>50.4</v>
      </c>
      <c r="J6" s="210">
        <f t="shared" si="6"/>
        <v>73.290150000000011</v>
      </c>
      <c r="K6" s="211"/>
      <c r="O6" t="str">
        <f>A11</f>
        <v>Fernando Gazón</v>
      </c>
      <c r="P6" s="212">
        <f>E11</f>
        <v>0.5</v>
      </c>
      <c r="Q6" s="212">
        <f t="shared" ref="Q6:S6" si="7">F11</f>
        <v>0.6</v>
      </c>
      <c r="R6" s="212">
        <f t="shared" si="7"/>
        <v>3</v>
      </c>
      <c r="S6" s="212">
        <f t="shared" si="7"/>
        <v>3.99</v>
      </c>
    </row>
    <row r="7" spans="1:19" x14ac:dyDescent="0.25">
      <c r="A7" s="206" t="str">
        <f>PLANTILLA!D8</f>
        <v>J. G. de Minaya</v>
      </c>
      <c r="B7" s="207">
        <f>PLANTILLA!E8</f>
        <v>17</v>
      </c>
      <c r="C7" s="207">
        <f>PLANTILLA!H8</f>
        <v>0</v>
      </c>
      <c r="D7" s="208">
        <f>PLANTILLA!I8</f>
        <v>1.5</v>
      </c>
      <c r="E7" s="209">
        <f t="shared" si="1"/>
        <v>1.5</v>
      </c>
      <c r="F7" s="209">
        <f t="shared" si="2"/>
        <v>1.6</v>
      </c>
      <c r="G7" s="209">
        <f t="shared" si="3"/>
        <v>0</v>
      </c>
      <c r="H7" s="209">
        <f t="shared" si="4"/>
        <v>0.99</v>
      </c>
      <c r="I7" s="210">
        <f t="shared" si="5"/>
        <v>0</v>
      </c>
      <c r="J7" s="210">
        <f t="shared" si="6"/>
        <v>1.56816</v>
      </c>
      <c r="K7" s="211"/>
      <c r="O7" t="str">
        <f>A3</f>
        <v>Alberto Ercilla</v>
      </c>
      <c r="P7" s="212">
        <f>E3</f>
        <v>2.2999999999999998</v>
      </c>
      <c r="Q7" s="212">
        <f>F3</f>
        <v>2.4</v>
      </c>
      <c r="R7" s="212">
        <f>G3</f>
        <v>4</v>
      </c>
      <c r="S7" s="212">
        <f>H3</f>
        <v>4.99</v>
      </c>
    </row>
    <row r="8" spans="1:19" x14ac:dyDescent="0.25">
      <c r="A8" s="206" t="str">
        <f>PLANTILLA!D9</f>
        <v>Roberto Montero</v>
      </c>
      <c r="B8" s="207">
        <f>PLANTILLA!E9</f>
        <v>18</v>
      </c>
      <c r="C8" s="207">
        <f>PLANTILLA!H9</f>
        <v>2</v>
      </c>
      <c r="D8" s="208">
        <f>PLANTILLA!I9</f>
        <v>0.5</v>
      </c>
      <c r="E8" s="209">
        <f t="shared" si="1"/>
        <v>0.5</v>
      </c>
      <c r="F8" s="209">
        <f t="shared" si="2"/>
        <v>0.6</v>
      </c>
      <c r="G8" s="209">
        <f t="shared" si="3"/>
        <v>2</v>
      </c>
      <c r="H8" s="209">
        <f t="shared" si="4"/>
        <v>2.99</v>
      </c>
      <c r="I8" s="210">
        <f t="shared" si="5"/>
        <v>2</v>
      </c>
      <c r="J8" s="210">
        <f t="shared" si="6"/>
        <v>5.3640600000000003</v>
      </c>
      <c r="K8" s="211"/>
      <c r="O8" t="str">
        <f>A13</f>
        <v>Julio Calle</v>
      </c>
      <c r="P8" s="212">
        <f>E13</f>
        <v>0.5</v>
      </c>
      <c r="Q8" s="212">
        <f>F13</f>
        <v>0.6</v>
      </c>
      <c r="R8" s="212">
        <f>G13</f>
        <v>3</v>
      </c>
      <c r="S8" s="212">
        <f>H13</f>
        <v>3.99</v>
      </c>
    </row>
    <row r="9" spans="1:19" x14ac:dyDescent="0.25">
      <c r="A9" s="206" t="str">
        <f>PLANTILLA!D10</f>
        <v>Eckardt Hägerling</v>
      </c>
      <c r="B9" s="207">
        <f>PLANTILLA!E10</f>
        <v>17</v>
      </c>
      <c r="C9" s="207">
        <f>PLANTILLA!H10</f>
        <v>3</v>
      </c>
      <c r="D9" s="208">
        <f>PLANTILLA!I10</f>
        <v>1.3</v>
      </c>
      <c r="E9" s="209">
        <f t="shared" si="1"/>
        <v>1.3</v>
      </c>
      <c r="F9" s="209">
        <f t="shared" si="2"/>
        <v>1.4000000000000001</v>
      </c>
      <c r="G9" s="209">
        <f t="shared" si="3"/>
        <v>3</v>
      </c>
      <c r="H9" s="209">
        <f t="shared" si="4"/>
        <v>3.99</v>
      </c>
      <c r="I9" s="210">
        <f t="shared" si="5"/>
        <v>11.700000000000001</v>
      </c>
      <c r="J9" s="210">
        <f t="shared" si="6"/>
        <v>22.288140000000006</v>
      </c>
      <c r="K9" s="211"/>
      <c r="O9" t="str">
        <f>A16</f>
        <v>Paulo Beltrán</v>
      </c>
      <c r="P9" s="212">
        <f>E16</f>
        <v>1.1000000000000001</v>
      </c>
      <c r="Q9" s="212">
        <f>F16</f>
        <v>1.2000000000000002</v>
      </c>
      <c r="R9" s="212">
        <f>G16</f>
        <v>3</v>
      </c>
      <c r="S9" s="212">
        <f>H16</f>
        <v>3.99</v>
      </c>
    </row>
    <row r="10" spans="1:19" x14ac:dyDescent="0.25">
      <c r="A10" s="206" t="str">
        <f>PLANTILLA!D11</f>
        <v>Raul Riquelme</v>
      </c>
      <c r="B10" s="207">
        <f>PLANTILLA!E11</f>
        <v>17</v>
      </c>
      <c r="C10" s="207">
        <f>PLANTILLA!H11</f>
        <v>6</v>
      </c>
      <c r="D10" s="208">
        <f>PLANTILLA!I11</f>
        <v>1.1000000000000001</v>
      </c>
      <c r="E10" s="209">
        <f t="shared" si="1"/>
        <v>1.1000000000000001</v>
      </c>
      <c r="F10" s="209">
        <f t="shared" si="2"/>
        <v>1.2000000000000002</v>
      </c>
      <c r="G10" s="209">
        <f t="shared" si="3"/>
        <v>6</v>
      </c>
      <c r="H10" s="209">
        <f t="shared" si="4"/>
        <v>6.99</v>
      </c>
      <c r="I10" s="210">
        <f t="shared" si="5"/>
        <v>39.6</v>
      </c>
      <c r="J10" s="210">
        <f t="shared" si="6"/>
        <v>58.632120000000015</v>
      </c>
      <c r="K10" s="211"/>
      <c r="O10" t="str">
        <f>A14</f>
        <v>Enrique Cubas</v>
      </c>
      <c r="P10" s="212">
        <f>E14</f>
        <v>1.4</v>
      </c>
      <c r="Q10" s="212">
        <f>F14</f>
        <v>1.5</v>
      </c>
      <c r="R10" s="212">
        <f>G14</f>
        <v>1</v>
      </c>
      <c r="S10" s="212">
        <f>H14</f>
        <v>1.99</v>
      </c>
    </row>
    <row r="11" spans="1:19" x14ac:dyDescent="0.25">
      <c r="A11" s="206" t="str">
        <f>PLANTILLA!D12</f>
        <v>Fernando Gazón</v>
      </c>
      <c r="B11" s="207">
        <f>PLANTILLA!E12</f>
        <v>18</v>
      </c>
      <c r="C11" s="207">
        <f>PLANTILLA!H12</f>
        <v>3</v>
      </c>
      <c r="D11" s="208">
        <f>PLANTILLA!I12</f>
        <v>0.5</v>
      </c>
      <c r="E11" s="209">
        <f t="shared" si="1"/>
        <v>0.5</v>
      </c>
      <c r="F11" s="209">
        <f t="shared" si="2"/>
        <v>0.6</v>
      </c>
      <c r="G11" s="209">
        <f t="shared" si="3"/>
        <v>3</v>
      </c>
      <c r="H11" s="209">
        <f t="shared" si="4"/>
        <v>3.99</v>
      </c>
      <c r="I11" s="210">
        <f t="shared" si="5"/>
        <v>4.5</v>
      </c>
      <c r="J11" s="210">
        <f t="shared" si="6"/>
        <v>9.5520600000000009</v>
      </c>
      <c r="K11" s="211"/>
      <c r="O11" t="str">
        <f>A10</f>
        <v>Raul Riquelme</v>
      </c>
      <c r="P11" s="212">
        <f>E10</f>
        <v>1.1000000000000001</v>
      </c>
      <c r="Q11" s="212">
        <f>F10</f>
        <v>1.2000000000000002</v>
      </c>
      <c r="R11" s="212">
        <f>G10</f>
        <v>6</v>
      </c>
      <c r="S11" s="212">
        <f>H10</f>
        <v>6.99</v>
      </c>
    </row>
    <row r="12" spans="1:19" x14ac:dyDescent="0.25">
      <c r="A12" s="206" t="str">
        <f>PLANTILLA!D13</f>
        <v>Roberto Abenoza</v>
      </c>
      <c r="B12" s="207">
        <f>PLANTILLA!E13</f>
        <v>17</v>
      </c>
      <c r="C12" s="207">
        <f>PLANTILLA!H13</f>
        <v>4</v>
      </c>
      <c r="D12" s="208">
        <f>PLANTILLA!I13</f>
        <v>0.5</v>
      </c>
      <c r="E12" s="209">
        <f t="shared" si="1"/>
        <v>0.5</v>
      </c>
      <c r="F12" s="209">
        <f t="shared" si="2"/>
        <v>0.6</v>
      </c>
      <c r="G12" s="209">
        <f t="shared" si="3"/>
        <v>4</v>
      </c>
      <c r="H12" s="209">
        <f t="shared" si="4"/>
        <v>4.99</v>
      </c>
      <c r="I12" s="210">
        <f t="shared" si="5"/>
        <v>8</v>
      </c>
      <c r="J12" s="210">
        <f t="shared" si="6"/>
        <v>14.940060000000001</v>
      </c>
      <c r="K12" s="211"/>
      <c r="O12" t="str">
        <f>A7</f>
        <v>J. G. de Minaya</v>
      </c>
      <c r="P12" s="212">
        <f>E7</f>
        <v>1.5</v>
      </c>
      <c r="Q12" s="212">
        <f t="shared" ref="Q12:S12" si="8">F7</f>
        <v>1.6</v>
      </c>
      <c r="R12" s="212">
        <f t="shared" si="8"/>
        <v>0</v>
      </c>
      <c r="S12" s="212">
        <f t="shared" si="8"/>
        <v>0.99</v>
      </c>
    </row>
    <row r="13" spans="1:19" x14ac:dyDescent="0.25">
      <c r="A13" s="206" t="str">
        <f>PLANTILLA!D14</f>
        <v>Julio Calle</v>
      </c>
      <c r="B13" s="207">
        <f>PLANTILLA!E14</f>
        <v>17</v>
      </c>
      <c r="C13" s="207">
        <f>PLANTILLA!H14</f>
        <v>3</v>
      </c>
      <c r="D13" s="208">
        <f>PLANTILLA!I14</f>
        <v>0.5</v>
      </c>
      <c r="E13" s="209">
        <f t="shared" si="1"/>
        <v>0.5</v>
      </c>
      <c r="F13" s="209">
        <f t="shared" si="2"/>
        <v>0.6</v>
      </c>
      <c r="G13" s="209">
        <f t="shared" si="3"/>
        <v>3</v>
      </c>
      <c r="H13" s="209">
        <f t="shared" si="4"/>
        <v>3.99</v>
      </c>
      <c r="I13" s="210">
        <f t="shared" si="5"/>
        <v>4.5</v>
      </c>
      <c r="J13" s="210">
        <f t="shared" si="6"/>
        <v>9.5520600000000009</v>
      </c>
      <c r="K13" s="211"/>
      <c r="O13" t="str">
        <f>A12</f>
        <v>Roberto Abenoza</v>
      </c>
      <c r="P13" s="212">
        <f>E12</f>
        <v>0.5</v>
      </c>
      <c r="Q13" s="212">
        <f>F12</f>
        <v>0.6</v>
      </c>
      <c r="R13" s="212">
        <f>G12</f>
        <v>4</v>
      </c>
      <c r="S13" s="212">
        <f>H12</f>
        <v>4.99</v>
      </c>
    </row>
    <row r="14" spans="1:19" x14ac:dyDescent="0.25">
      <c r="A14" s="206" t="str">
        <f>PLANTILLA!D16</f>
        <v>Enrique Cubas</v>
      </c>
      <c r="B14" s="207">
        <f>PLANTILLA!E16</f>
        <v>17</v>
      </c>
      <c r="C14" s="207">
        <f>PLANTILLA!H16</f>
        <v>1</v>
      </c>
      <c r="D14" s="208">
        <f>PLANTILLA!I16</f>
        <v>1.4</v>
      </c>
      <c r="E14" s="209">
        <f t="shared" si="1"/>
        <v>1.4</v>
      </c>
      <c r="F14" s="209">
        <f t="shared" si="2"/>
        <v>1.5</v>
      </c>
      <c r="G14" s="209">
        <f t="shared" si="3"/>
        <v>1</v>
      </c>
      <c r="H14" s="209">
        <f t="shared" si="4"/>
        <v>1.99</v>
      </c>
      <c r="I14" s="210">
        <f t="shared" si="5"/>
        <v>1.4</v>
      </c>
      <c r="J14" s="210">
        <f t="shared" si="6"/>
        <v>5.94015</v>
      </c>
      <c r="K14" s="211"/>
      <c r="P14" s="37">
        <f>SUM(P4:P13)/10</f>
        <v>1.05</v>
      </c>
      <c r="Q14" s="37">
        <f>SUM(Q4:Q13)/10</f>
        <v>1.1499999999999999</v>
      </c>
      <c r="R14" s="37"/>
      <c r="S14" s="37"/>
    </row>
    <row r="15" spans="1:19" x14ac:dyDescent="0.25">
      <c r="A15" s="206" t="str">
        <f>PLANTILLA!D17</f>
        <v>J. G. Peñuela</v>
      </c>
      <c r="B15" s="207">
        <f>PLANTILLA!E17</f>
        <v>17</v>
      </c>
      <c r="C15" s="207">
        <f>PLANTILLA!H17</f>
        <v>6</v>
      </c>
      <c r="D15" s="208">
        <f>PLANTILLA!I17</f>
        <v>1.2</v>
      </c>
      <c r="E15" s="209">
        <f t="shared" si="1"/>
        <v>1.2</v>
      </c>
      <c r="F15" s="209">
        <f t="shared" si="2"/>
        <v>1.3</v>
      </c>
      <c r="G15" s="209">
        <f t="shared" si="3"/>
        <v>6</v>
      </c>
      <c r="H15" s="209">
        <f t="shared" si="4"/>
        <v>6.99</v>
      </c>
      <c r="I15" s="210">
        <f t="shared" si="5"/>
        <v>43.199999999999996</v>
      </c>
      <c r="J15" s="210">
        <f t="shared" si="6"/>
        <v>63.518130000000006</v>
      </c>
      <c r="K15" s="211"/>
    </row>
    <row r="16" spans="1:19" x14ac:dyDescent="0.25">
      <c r="A16" s="206" t="str">
        <f>PLANTILLA!D18</f>
        <v>Paulo Beltrán</v>
      </c>
      <c r="B16" s="207">
        <f>PLANTILLA!E18</f>
        <v>17</v>
      </c>
      <c r="C16" s="207">
        <f>PLANTILLA!H18</f>
        <v>3</v>
      </c>
      <c r="D16" s="208">
        <f>PLANTILLA!I18</f>
        <v>1.1000000000000001</v>
      </c>
      <c r="E16" s="209">
        <f t="shared" si="1"/>
        <v>1.1000000000000001</v>
      </c>
      <c r="F16" s="209">
        <f t="shared" si="2"/>
        <v>1.2000000000000002</v>
      </c>
      <c r="G16" s="209">
        <f t="shared" si="3"/>
        <v>3</v>
      </c>
      <c r="H16" s="209">
        <f t="shared" si="4"/>
        <v>3.99</v>
      </c>
      <c r="I16" s="210">
        <f t="shared" si="5"/>
        <v>9.9</v>
      </c>
      <c r="J16" s="210">
        <f t="shared" si="6"/>
        <v>19.104120000000005</v>
      </c>
      <c r="K16" s="211"/>
      <c r="L16" s="71" t="s">
        <v>343</v>
      </c>
      <c r="O16" t="s">
        <v>344</v>
      </c>
      <c r="P16" s="32">
        <f>SUM(P3:P13)</f>
        <v>11.5</v>
      </c>
      <c r="Q16" s="32">
        <f>SUM(Q3:Q13)</f>
        <v>12.599999999999998</v>
      </c>
      <c r="R16" s="32"/>
    </row>
    <row r="17" spans="1:18" x14ac:dyDescent="0.25">
      <c r="A17" s="206" t="str">
        <f>PLANTILLA!D20</f>
        <v>Nicolás Eans</v>
      </c>
      <c r="B17" s="207">
        <f>PLANTILLA!E20</f>
        <v>18</v>
      </c>
      <c r="C17" s="207">
        <f>PLANTILLA!H20</f>
        <v>3</v>
      </c>
      <c r="D17" s="208">
        <f>PLANTILLA!I20</f>
        <v>0.5</v>
      </c>
      <c r="E17" s="209">
        <f t="shared" si="1"/>
        <v>0.5</v>
      </c>
      <c r="F17" s="209">
        <f t="shared" si="2"/>
        <v>0.6</v>
      </c>
      <c r="G17" s="209">
        <f t="shared" si="3"/>
        <v>3</v>
      </c>
      <c r="H17" s="209">
        <f t="shared" si="4"/>
        <v>3.99</v>
      </c>
      <c r="I17" s="210">
        <f t="shared" si="5"/>
        <v>4.5</v>
      </c>
      <c r="J17" s="210">
        <f t="shared" si="6"/>
        <v>9.5520600000000009</v>
      </c>
      <c r="K17" s="211"/>
      <c r="O17" t="s">
        <v>345</v>
      </c>
      <c r="P17" s="37">
        <f>P16/17</f>
        <v>0.67647058823529416</v>
      </c>
      <c r="Q17" s="37">
        <f>Q16/17</f>
        <v>0.74117647058823521</v>
      </c>
      <c r="R17" s="37"/>
    </row>
    <row r="18" spans="1:18" x14ac:dyDescent="0.25">
      <c r="A18" s="206" t="str">
        <f>PLANTILLA!D21</f>
        <v>Noel Fuster</v>
      </c>
      <c r="B18" s="207">
        <f>PLANTILLA!E21</f>
        <v>17</v>
      </c>
      <c r="C18" s="207">
        <f>PLANTILLA!H21</f>
        <v>4</v>
      </c>
      <c r="D18" s="208">
        <f>PLANTILLA!I21</f>
        <v>0.5</v>
      </c>
      <c r="E18" s="209">
        <f t="shared" si="1"/>
        <v>0.5</v>
      </c>
      <c r="F18" s="209">
        <f t="shared" si="2"/>
        <v>0.6</v>
      </c>
      <c r="G18" s="209">
        <f t="shared" si="3"/>
        <v>4</v>
      </c>
      <c r="H18" s="209">
        <f t="shared" si="4"/>
        <v>4.99</v>
      </c>
      <c r="I18" s="210">
        <f t="shared" si="5"/>
        <v>8</v>
      </c>
      <c r="J18" s="210">
        <f t="shared" si="6"/>
        <v>14.940060000000001</v>
      </c>
      <c r="K18" s="211"/>
      <c r="L18" s="71" t="s">
        <v>346</v>
      </c>
      <c r="O18" t="s">
        <v>347</v>
      </c>
      <c r="P18" s="32">
        <f>R3^2</f>
        <v>9</v>
      </c>
      <c r="Q18" s="32">
        <f>S3^2</f>
        <v>15.920100000000001</v>
      </c>
      <c r="R18" s="32"/>
    </row>
    <row r="19" spans="1:18" x14ac:dyDescent="0.25">
      <c r="A19" s="206" t="str">
        <f>PLANTILLA!D22</f>
        <v>Casildo Abraldes</v>
      </c>
      <c r="B19" s="207">
        <f>PLANTILLA!E22</f>
        <v>17</v>
      </c>
      <c r="C19" s="207">
        <f>PLANTILLA!H22</f>
        <v>0</v>
      </c>
      <c r="D19" s="208">
        <f>PLANTILLA!I22</f>
        <v>1.3</v>
      </c>
      <c r="E19" s="209">
        <f t="shared" si="1"/>
        <v>1.3</v>
      </c>
      <c r="F19" s="209">
        <f t="shared" si="2"/>
        <v>1.4000000000000001</v>
      </c>
      <c r="G19" s="209">
        <f t="shared" si="3"/>
        <v>0</v>
      </c>
      <c r="H19" s="209">
        <f t="shared" si="4"/>
        <v>0.99</v>
      </c>
      <c r="I19" s="210">
        <f t="shared" si="5"/>
        <v>0</v>
      </c>
      <c r="J19" s="210">
        <f t="shared" si="6"/>
        <v>1.3721400000000001</v>
      </c>
      <c r="K19" s="211"/>
      <c r="L19" s="71" t="s">
        <v>348</v>
      </c>
      <c r="O19" t="s">
        <v>349</v>
      </c>
      <c r="P19" s="32">
        <f>P18*P3</f>
        <v>9</v>
      </c>
      <c r="Q19" s="32">
        <f>Q18*Q3</f>
        <v>17.512110000000003</v>
      </c>
      <c r="R19" s="32"/>
    </row>
    <row r="20" spans="1:18" x14ac:dyDescent="0.25">
      <c r="A20" s="206" t="e">
        <f>PLANTILLA!#REF!</f>
        <v>#REF!</v>
      </c>
      <c r="B20" s="207" t="e">
        <f>PLANTILLA!#REF!</f>
        <v>#REF!</v>
      </c>
      <c r="C20" s="207" t="e">
        <f>PLANTILLA!#REF!</f>
        <v>#REF!</v>
      </c>
      <c r="D20" s="208" t="e">
        <f>PLANTILLA!#REF!</f>
        <v>#REF!</v>
      </c>
      <c r="E20" s="209" t="e">
        <f t="shared" si="1"/>
        <v>#REF!</v>
      </c>
      <c r="F20" s="209" t="e">
        <f t="shared" si="2"/>
        <v>#REF!</v>
      </c>
      <c r="G20" s="209" t="e">
        <f t="shared" si="3"/>
        <v>#REF!</v>
      </c>
      <c r="H20" s="209" t="e">
        <f t="shared" si="4"/>
        <v>#REF!</v>
      </c>
      <c r="I20" s="210" t="e">
        <f t="shared" si="5"/>
        <v>#REF!</v>
      </c>
      <c r="J20" s="210" t="e">
        <f t="shared" si="6"/>
        <v>#REF!</v>
      </c>
      <c r="K20" s="211"/>
      <c r="L20" s="71" t="s">
        <v>350</v>
      </c>
      <c r="O20" t="s">
        <v>351</v>
      </c>
      <c r="P20" s="37">
        <f>(P19^(2/3))/30</f>
        <v>0.14422495703074084</v>
      </c>
      <c r="Q20" s="37">
        <f>(Q19^(2/3))/30</f>
        <v>0.22478693358879417</v>
      </c>
      <c r="R20" s="37"/>
    </row>
    <row r="21" spans="1:18" x14ac:dyDescent="0.25">
      <c r="A21" s="206" t="str">
        <f>PLANTILLA!D23</f>
        <v>A. Ilisie</v>
      </c>
      <c r="B21" s="207">
        <f>PLANTILLA!E23</f>
        <v>0</v>
      </c>
      <c r="C21" s="207">
        <f>PLANTILLA!H23</f>
        <v>0</v>
      </c>
      <c r="D21" s="208">
        <f>PLANTILLA!I23</f>
        <v>0</v>
      </c>
      <c r="E21" s="209">
        <f t="shared" si="1"/>
        <v>0</v>
      </c>
      <c r="F21" s="209">
        <f t="shared" si="2"/>
        <v>0.1</v>
      </c>
      <c r="G21" s="209">
        <f t="shared" si="3"/>
        <v>0</v>
      </c>
      <c r="H21" s="209">
        <f t="shared" si="4"/>
        <v>0.99</v>
      </c>
      <c r="I21" s="210">
        <f t="shared" si="5"/>
        <v>0</v>
      </c>
      <c r="J21" s="210">
        <f t="shared" si="6"/>
        <v>9.801E-2</v>
      </c>
      <c r="K21" s="211"/>
      <c r="L21" s="71" t="s">
        <v>352</v>
      </c>
      <c r="O21" s="110" t="s">
        <v>169</v>
      </c>
      <c r="P21" s="157">
        <f>P17+P20</f>
        <v>0.82069554526603494</v>
      </c>
      <c r="Q21" s="157">
        <f>Q17+Q20</f>
        <v>0.96596340417702942</v>
      </c>
    </row>
    <row r="22" spans="1:18" x14ac:dyDescent="0.25">
      <c r="A22" s="206"/>
      <c r="B22" s="207"/>
      <c r="C22" s="207"/>
      <c r="D22" s="208"/>
      <c r="E22" s="209"/>
      <c r="F22" s="209"/>
      <c r="G22" s="209"/>
      <c r="H22" s="209"/>
      <c r="I22" s="210"/>
      <c r="J22" s="210"/>
      <c r="K22" s="211"/>
      <c r="L22" t="s">
        <v>353</v>
      </c>
    </row>
    <row r="23" spans="1:18" x14ac:dyDescent="0.25">
      <c r="A23" s="206"/>
      <c r="B23" s="207"/>
      <c r="C23" s="207"/>
      <c r="D23" s="208"/>
      <c r="E23" s="209"/>
      <c r="F23" s="209"/>
      <c r="G23" s="209"/>
      <c r="H23" s="209"/>
      <c r="I23" s="210"/>
      <c r="J23" s="210"/>
      <c r="K23" s="211"/>
      <c r="O23" s="30"/>
    </row>
    <row r="24" spans="1:18" x14ac:dyDescent="0.25">
      <c r="A24" s="206"/>
      <c r="B24" s="207"/>
      <c r="C24" s="207"/>
      <c r="D24" s="208"/>
      <c r="E24" s="209"/>
      <c r="F24" s="209"/>
      <c r="G24" s="209"/>
      <c r="H24" s="209"/>
      <c r="I24" s="210"/>
      <c r="J24" s="210"/>
    </row>
    <row r="25" spans="1:18" x14ac:dyDescent="0.25">
      <c r="A25" s="206"/>
      <c r="B25" s="207"/>
      <c r="C25" s="207"/>
      <c r="D25" s="208"/>
      <c r="E25" s="209"/>
      <c r="F25" s="209"/>
      <c r="G25" s="209"/>
      <c r="H25" s="209"/>
      <c r="I25" s="210"/>
      <c r="J25" s="210"/>
    </row>
    <row r="26" spans="1:18" x14ac:dyDescent="0.25">
      <c r="A26" s="206"/>
      <c r="B26" s="207"/>
      <c r="C26" s="207"/>
      <c r="D26" s="208"/>
      <c r="E26" s="209"/>
      <c r="F26" s="209"/>
      <c r="G26" s="209"/>
      <c r="H26" s="209"/>
      <c r="I26" s="210"/>
      <c r="J26" s="210"/>
    </row>
    <row r="27" spans="1:18" x14ac:dyDescent="0.25">
      <c r="A27" s="206"/>
      <c r="B27" s="207"/>
      <c r="C27" s="207"/>
      <c r="D27" s="208"/>
      <c r="E27" s="209"/>
      <c r="F27" s="209"/>
      <c r="G27" s="209"/>
      <c r="H27" s="209"/>
      <c r="I27" s="210"/>
      <c r="J27" s="210"/>
    </row>
    <row r="28" spans="1:18" x14ac:dyDescent="0.25">
      <c r="A28" s="206"/>
      <c r="B28" s="207"/>
      <c r="C28" s="207"/>
      <c r="D28" s="208"/>
      <c r="E28" s="209"/>
      <c r="F28" s="209"/>
      <c r="G28" s="209"/>
      <c r="H28" s="209"/>
      <c r="I28" s="210"/>
      <c r="J28" s="210"/>
    </row>
    <row r="29" spans="1:18" x14ac:dyDescent="0.25">
      <c r="A29" s="206"/>
      <c r="B29" s="207"/>
      <c r="C29" s="207"/>
      <c r="D29" s="208"/>
      <c r="E29" s="209"/>
      <c r="F29" s="209"/>
      <c r="G29" s="209"/>
      <c r="H29" s="209"/>
      <c r="I29" s="210"/>
      <c r="J29" s="210"/>
    </row>
    <row r="30" spans="1:18" x14ac:dyDescent="0.25">
      <c r="A30" s="206"/>
      <c r="B30" s="207"/>
      <c r="C30" s="207"/>
      <c r="D30" s="208"/>
      <c r="E30" s="209"/>
      <c r="F30" s="209"/>
      <c r="G30" s="209"/>
      <c r="H30" s="209"/>
      <c r="I30" s="210"/>
      <c r="J30" s="210"/>
    </row>
    <row r="31" spans="1:18" x14ac:dyDescent="0.25">
      <c r="A31" s="206"/>
      <c r="B31" s="207"/>
      <c r="C31" s="207"/>
      <c r="D31" s="208"/>
      <c r="E31" s="209"/>
      <c r="F31" s="209"/>
      <c r="G31" s="209"/>
      <c r="H31" s="209"/>
      <c r="I31" s="210"/>
      <c r="J31" s="210"/>
    </row>
  </sheetData>
  <conditionalFormatting sqref="I3:J31">
    <cfRule type="cellIs" dxfId="12" priority="1" operator="between">
      <formula>70</formula>
      <formula>100</formula>
    </cfRule>
    <cfRule type="cellIs" dxfId="11" priority="2" operator="greaterThan">
      <formula>100</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tabColor rgb="FF00B0F0"/>
  </sheetPr>
  <dimension ref="A1:CE32"/>
  <sheetViews>
    <sheetView workbookViewId="0">
      <pane xSplit="8" ySplit="2" topLeftCell="I3" activePane="bottomRight" state="frozen"/>
      <selection pane="topRight" activeCell="I1" sqref="I1"/>
      <selection pane="bottomLeft" activeCell="A3" sqref="A3"/>
      <selection pane="bottomRight" activeCell="L16" sqref="L16"/>
    </sheetView>
  </sheetViews>
  <sheetFormatPr baseColWidth="10" defaultColWidth="11.42578125" defaultRowHeight="15" x14ac:dyDescent="0.25"/>
  <cols>
    <col min="1" max="1" width="19.7109375" bestFit="1" customWidth="1"/>
    <col min="2" max="2" width="5.42578125" bestFit="1" customWidth="1"/>
    <col min="3" max="3" width="5.5703125" bestFit="1" customWidth="1"/>
    <col min="4" max="4" width="5.42578125" style="65" bestFit="1" customWidth="1"/>
    <col min="5" max="5" width="13" bestFit="1" customWidth="1"/>
    <col min="6" max="6" width="4.5703125" bestFit="1" customWidth="1"/>
    <col min="7" max="7" width="5.42578125" bestFit="1" customWidth="1"/>
    <col min="8" max="8" width="5.7109375" bestFit="1" customWidth="1"/>
    <col min="9" max="9" width="7.42578125" bestFit="1" customWidth="1"/>
    <col min="10" max="10" width="4.5703125" bestFit="1" customWidth="1"/>
    <col min="11" max="17" width="5.5703125" bestFit="1" customWidth="1"/>
    <col min="18" max="18" width="4.85546875" bestFit="1" customWidth="1"/>
    <col min="19" max="20" width="6.140625" bestFit="1" customWidth="1"/>
    <col min="21" max="22" width="7.85546875" bestFit="1" customWidth="1"/>
    <col min="23" max="23" width="7.7109375" bestFit="1" customWidth="1"/>
    <col min="24" max="24" width="7.85546875" bestFit="1" customWidth="1"/>
    <col min="25" max="25" width="7.42578125" bestFit="1" customWidth="1"/>
    <col min="26" max="26" width="10" bestFit="1" customWidth="1"/>
    <col min="27" max="27" width="7.85546875" bestFit="1" customWidth="1"/>
    <col min="28" max="28" width="7.42578125" bestFit="1" customWidth="1"/>
    <col min="29" max="29" width="5.140625" bestFit="1" customWidth="1"/>
    <col min="30" max="30" width="7.42578125" bestFit="1" customWidth="1"/>
    <col min="31" max="31" width="7.85546875" bestFit="1" customWidth="1"/>
    <col min="32" max="32" width="7.42578125" bestFit="1" customWidth="1"/>
    <col min="33" max="33" width="5.140625" bestFit="1" customWidth="1"/>
    <col min="34" max="34" width="9.7109375" bestFit="1" customWidth="1"/>
    <col min="35" max="35" width="7.85546875" bestFit="1" customWidth="1"/>
    <col min="36" max="36" width="5.140625" bestFit="1" customWidth="1"/>
    <col min="37" max="37" width="6.42578125" bestFit="1" customWidth="1"/>
    <col min="38" max="38" width="7.42578125" bestFit="1" customWidth="1"/>
    <col min="39" max="41" width="7.85546875" bestFit="1" customWidth="1"/>
    <col min="42" max="42" width="7.42578125" bestFit="1" customWidth="1"/>
    <col min="43" max="43" width="7.85546875" bestFit="1" customWidth="1"/>
    <col min="44" max="44" width="7.42578125" bestFit="1" customWidth="1"/>
    <col min="45" max="45" width="5.5703125" bestFit="1" customWidth="1"/>
    <col min="46" max="46" width="6.42578125" bestFit="1" customWidth="1"/>
    <col min="47" max="47" width="6.85546875" bestFit="1" customWidth="1"/>
    <col min="48" max="48" width="6.42578125" bestFit="1" customWidth="1"/>
    <col min="49" max="49" width="7.42578125" bestFit="1" customWidth="1"/>
    <col min="50" max="50" width="7.85546875" bestFit="1" customWidth="1"/>
    <col min="51" max="51" width="7.42578125" bestFit="1" customWidth="1"/>
    <col min="52" max="52" width="5.5703125" bestFit="1" customWidth="1"/>
    <col min="53" max="53" width="6.42578125" bestFit="1" customWidth="1"/>
    <col min="54" max="54" width="6.85546875" bestFit="1" customWidth="1"/>
    <col min="55" max="55" width="6.42578125" bestFit="1" customWidth="1"/>
    <col min="56" max="56" width="7.42578125" bestFit="1" customWidth="1"/>
    <col min="57" max="57" width="7.85546875" bestFit="1" customWidth="1"/>
    <col min="58" max="58" width="5.5703125" bestFit="1" customWidth="1"/>
    <col min="59" max="59" width="6.42578125" bestFit="1" customWidth="1"/>
    <col min="60" max="60" width="6.85546875" bestFit="1" customWidth="1"/>
    <col min="61" max="61" width="7.42578125" bestFit="1" customWidth="1"/>
    <col min="62" max="62" width="7.85546875" bestFit="1" customWidth="1"/>
    <col min="63" max="63" width="5.140625" bestFit="1" customWidth="1"/>
    <col min="64" max="64" width="6.42578125" bestFit="1" customWidth="1"/>
    <col min="65" max="65" width="6.85546875" bestFit="1" customWidth="1"/>
    <col min="66" max="66" width="7.42578125" bestFit="1" customWidth="1"/>
    <col min="67" max="67" width="7.85546875" bestFit="1" customWidth="1"/>
    <col min="68" max="68" width="5.140625" bestFit="1" customWidth="1"/>
    <col min="69" max="69" width="6.42578125" bestFit="1" customWidth="1"/>
    <col min="70" max="70" width="6.85546875" bestFit="1" customWidth="1"/>
    <col min="71" max="71" width="7.42578125" bestFit="1" customWidth="1"/>
    <col min="72" max="72" width="7.85546875" bestFit="1" customWidth="1"/>
    <col min="73" max="73" width="6" customWidth="1"/>
    <col min="74" max="74" width="6.42578125" bestFit="1" customWidth="1"/>
    <col min="75" max="75" width="6.85546875" bestFit="1" customWidth="1"/>
    <col min="76" max="76" width="5.140625" bestFit="1" customWidth="1"/>
    <col min="77" max="77" width="6.42578125" bestFit="1" customWidth="1"/>
    <col min="78" max="78" width="6.85546875" bestFit="1" customWidth="1"/>
    <col min="79" max="80" width="6.42578125" bestFit="1" customWidth="1"/>
    <col min="81" max="81" width="6.85546875" bestFit="1" customWidth="1"/>
    <col min="82" max="82" width="6.42578125" bestFit="1" customWidth="1"/>
    <col min="83" max="83" width="5.140625" bestFit="1" customWidth="1"/>
  </cols>
  <sheetData>
    <row r="1" spans="1:83" x14ac:dyDescent="0.25">
      <c r="A1" s="30"/>
      <c r="W1" t="s">
        <v>72</v>
      </c>
      <c r="Z1" t="s">
        <v>73</v>
      </c>
      <c r="AD1" t="s">
        <v>74</v>
      </c>
      <c r="AH1" t="s">
        <v>75</v>
      </c>
      <c r="AL1" t="s">
        <v>76</v>
      </c>
      <c r="AP1" t="s">
        <v>77</v>
      </c>
      <c r="AW1" t="s">
        <v>78</v>
      </c>
      <c r="BD1" t="s">
        <v>48</v>
      </c>
      <c r="BI1" t="s">
        <v>79</v>
      </c>
      <c r="BN1" t="s">
        <v>80</v>
      </c>
      <c r="BS1" t="s">
        <v>81</v>
      </c>
      <c r="BX1" t="s">
        <v>82</v>
      </c>
      <c r="CB1" t="s">
        <v>44</v>
      </c>
    </row>
    <row r="2" spans="1:83" x14ac:dyDescent="0.25">
      <c r="A2" s="41" t="s">
        <v>3</v>
      </c>
      <c r="B2" s="41" t="s">
        <v>83</v>
      </c>
      <c r="C2" s="41" t="s">
        <v>5</v>
      </c>
      <c r="D2" s="107" t="s">
        <v>84</v>
      </c>
      <c r="E2" s="41" t="s">
        <v>85</v>
      </c>
      <c r="F2" s="49" t="s">
        <v>86</v>
      </c>
      <c r="G2" s="49" t="s">
        <v>98</v>
      </c>
      <c r="H2" s="49" t="s">
        <v>99</v>
      </c>
      <c r="I2" s="50" t="s">
        <v>100</v>
      </c>
      <c r="J2" s="42" t="s">
        <v>87</v>
      </c>
      <c r="K2" s="42" t="s">
        <v>28</v>
      </c>
      <c r="L2" s="42" t="s">
        <v>30</v>
      </c>
      <c r="M2" s="42" t="s">
        <v>88</v>
      </c>
      <c r="N2" s="42" t="s">
        <v>71</v>
      </c>
      <c r="O2" s="42" t="s">
        <v>89</v>
      </c>
      <c r="P2" s="42" t="s">
        <v>90</v>
      </c>
      <c r="Q2" s="42" t="s">
        <v>47</v>
      </c>
      <c r="R2" s="43" t="s">
        <v>22</v>
      </c>
      <c r="S2" s="43" t="s">
        <v>91</v>
      </c>
      <c r="T2" s="43" t="s">
        <v>92</v>
      </c>
      <c r="U2" s="43" t="s">
        <v>26</v>
      </c>
      <c r="V2" s="43" t="s">
        <v>27</v>
      </c>
      <c r="W2" s="44" t="s">
        <v>93</v>
      </c>
      <c r="X2" s="44" t="s">
        <v>94</v>
      </c>
      <c r="Y2" s="44" t="s">
        <v>93</v>
      </c>
      <c r="Z2" s="45" t="s">
        <v>93</v>
      </c>
      <c r="AA2" s="45" t="s">
        <v>94</v>
      </c>
      <c r="AB2" s="45" t="s">
        <v>93</v>
      </c>
      <c r="AC2" s="45" t="s">
        <v>95</v>
      </c>
      <c r="AD2" s="45" t="s">
        <v>93</v>
      </c>
      <c r="AE2" s="45" t="s">
        <v>94</v>
      </c>
      <c r="AF2" s="45" t="s">
        <v>93</v>
      </c>
      <c r="AG2" s="45" t="s">
        <v>95</v>
      </c>
      <c r="AH2" s="44" t="s">
        <v>93</v>
      </c>
      <c r="AI2" s="44" t="s">
        <v>94</v>
      </c>
      <c r="AJ2" s="44" t="s">
        <v>95</v>
      </c>
      <c r="AK2" s="44" t="s">
        <v>96</v>
      </c>
      <c r="AL2" s="44" t="s">
        <v>93</v>
      </c>
      <c r="AM2" s="44" t="s">
        <v>94</v>
      </c>
      <c r="AN2" s="44" t="s">
        <v>95</v>
      </c>
      <c r="AO2" s="44" t="s">
        <v>96</v>
      </c>
      <c r="AP2" s="44" t="s">
        <v>93</v>
      </c>
      <c r="AQ2" s="44" t="s">
        <v>94</v>
      </c>
      <c r="AR2" s="44" t="s">
        <v>93</v>
      </c>
      <c r="AS2" s="44" t="s">
        <v>95</v>
      </c>
      <c r="AT2" s="44" t="s">
        <v>96</v>
      </c>
      <c r="AU2" s="44" t="s">
        <v>97</v>
      </c>
      <c r="AV2" s="44" t="s">
        <v>96</v>
      </c>
      <c r="AW2" s="44" t="s">
        <v>93</v>
      </c>
      <c r="AX2" s="44" t="s">
        <v>94</v>
      </c>
      <c r="AY2" s="44" t="s">
        <v>93</v>
      </c>
      <c r="AZ2" s="44" t="s">
        <v>95</v>
      </c>
      <c r="BA2" s="44" t="s">
        <v>96</v>
      </c>
      <c r="BB2" s="44" t="s">
        <v>97</v>
      </c>
      <c r="BC2" s="44" t="s">
        <v>96</v>
      </c>
      <c r="BD2" s="45" t="s">
        <v>93</v>
      </c>
      <c r="BE2" s="45" t="s">
        <v>94</v>
      </c>
      <c r="BF2" s="45" t="s">
        <v>95</v>
      </c>
      <c r="BG2" s="45" t="s">
        <v>96</v>
      </c>
      <c r="BH2" s="45" t="s">
        <v>97</v>
      </c>
      <c r="BI2" s="45" t="s">
        <v>93</v>
      </c>
      <c r="BJ2" s="45" t="s">
        <v>94</v>
      </c>
      <c r="BK2" s="45" t="s">
        <v>95</v>
      </c>
      <c r="BL2" s="45" t="s">
        <v>96</v>
      </c>
      <c r="BM2" s="45" t="s">
        <v>97</v>
      </c>
      <c r="BN2" s="44" t="s">
        <v>93</v>
      </c>
      <c r="BO2" s="44" t="s">
        <v>94</v>
      </c>
      <c r="BP2" s="44" t="s">
        <v>95</v>
      </c>
      <c r="BQ2" s="44" t="s">
        <v>96</v>
      </c>
      <c r="BR2" s="44" t="s">
        <v>97</v>
      </c>
      <c r="BS2" s="44" t="s">
        <v>93</v>
      </c>
      <c r="BT2" s="44" t="s">
        <v>94</v>
      </c>
      <c r="BU2" s="44" t="s">
        <v>95</v>
      </c>
      <c r="BV2" s="44" t="s">
        <v>96</v>
      </c>
      <c r="BW2" s="44" t="s">
        <v>97</v>
      </c>
      <c r="BX2" s="45" t="s">
        <v>95</v>
      </c>
      <c r="BY2" s="45" t="s">
        <v>96</v>
      </c>
      <c r="BZ2" s="45" t="s">
        <v>97</v>
      </c>
      <c r="CA2" s="45" t="s">
        <v>96</v>
      </c>
      <c r="CB2" s="44" t="s">
        <v>96</v>
      </c>
      <c r="CC2" s="44" t="s">
        <v>97</v>
      </c>
      <c r="CD2" s="44" t="s">
        <v>96</v>
      </c>
      <c r="CE2" s="44" t="s">
        <v>95</v>
      </c>
    </row>
    <row r="3" spans="1:83" x14ac:dyDescent="0.25">
      <c r="A3" t="str">
        <f>PLANTILLA!D4</f>
        <v>Alberto Ercilla</v>
      </c>
      <c r="B3">
        <f>PLANTILLA!E4</f>
        <v>22</v>
      </c>
      <c r="C3" s="33">
        <f ca="1">PLANTILLA!F4</f>
        <v>29</v>
      </c>
      <c r="D3" s="65" t="str">
        <f>PLANTILLA!G4</f>
        <v>IMP</v>
      </c>
      <c r="E3" s="30">
        <f>PLANTILLA!M4</f>
        <v>43097</v>
      </c>
      <c r="F3" s="47">
        <f>PLANTILLA!Q4</f>
        <v>5</v>
      </c>
      <c r="G3" s="48">
        <f>(F3/7)^0.5</f>
        <v>0.84515425472851657</v>
      </c>
      <c r="H3" s="48">
        <f>IF(F3=7,1,((F3+0.99)/7)^0.5)</f>
        <v>0.92504826128926143</v>
      </c>
      <c r="I3" s="51">
        <f t="shared" ref="I3" ca="1" si="0">IF(TODAY()-E3&gt;335,1,((TODAY()-E3)^0.5)/336^0.5)</f>
        <v>0.27277236279499051</v>
      </c>
      <c r="J3" s="39">
        <f>PLANTILLA!I4</f>
        <v>2.2999999999999998</v>
      </c>
      <c r="K3" s="46">
        <f>PLANTILLA!X4</f>
        <v>0</v>
      </c>
      <c r="L3" s="46">
        <f>PLANTILLA!Y4</f>
        <v>7</v>
      </c>
      <c r="M3" s="46">
        <f>PLANTILLA!Z4</f>
        <v>2</v>
      </c>
      <c r="N3" s="46">
        <f>PLANTILLA!AA4</f>
        <v>5</v>
      </c>
      <c r="O3" s="46">
        <f>PLANTILLA!AB4</f>
        <v>7</v>
      </c>
      <c r="P3" s="46">
        <f>PLANTILLA!AC4</f>
        <v>5.1428571428571423</v>
      </c>
      <c r="Q3" s="46">
        <f>PLANTILLA!AD4</f>
        <v>4</v>
      </c>
      <c r="R3" s="46">
        <f>((2*(O3+1))+(L3+1))/8</f>
        <v>3</v>
      </c>
      <c r="S3" s="46">
        <f>(0.5*P3+ 0.3*Q3)/10</f>
        <v>0.37714285714285711</v>
      </c>
      <c r="T3" s="46">
        <f>(0.4*L3+0.3*Q3)/10</f>
        <v>0.4</v>
      </c>
      <c r="U3" s="46">
        <f ca="1">IF(TODAY()-E3&gt;335,(Q3+1+(LOG(J3)*4/3))*(F3/7)^0.5,(Q3+((TODAY()-E3)^0.5)/(336^0.5)+(LOG(J3)*4/3))*(F3/7)^0.5)</f>
        <v>4.0187728347879466</v>
      </c>
      <c r="V3" s="46">
        <f ca="1">IF(F3=7,U3,IF(TODAY()-E3&gt;335,(Q3+1+(LOG(J3)*4/3))*((F3+0.99)/7)^0.5,(Q3+((TODAY()-E3)^0.5)/(336^0.5)+(LOG(J3)*4/3))*((F3+0.99)/7)^0.5))</f>
        <v>4.3986749194456509</v>
      </c>
      <c r="W3" s="37">
        <f ca="1">IF(TODAY()-E3&gt;335,((K3+1+(LOG(J3)*4/3))*0.597)+((L3+1+(LOG(J3)*4/3))*0.276),((K3+(((TODAY()-E3)^0.5)/(336^0.5))+(LOG(J3)*4/3))*0.597)+((L3+(((TODAY()-E3)^0.5)/(336^0.5))+(LOG(J3)*4/3))*0.276))</f>
        <v>2.5911814738445051</v>
      </c>
      <c r="X3" s="37">
        <f ca="1">IF(TODAY()-E3&gt;335,((K3+1+(LOG(J3)*4/3))*0.866)+((L3+1+(LOG(J3)*4/3))*0.425),((K3+(((TODAY()-E3)^0.5)/(336^0.5))+(LOG(J3)*4/3))*0.866)+((L3+(((TODAY()-E3)^0.5)/(336^0.5))+(LOG(J3)*4/3))*0.425))</f>
        <v>3.9498033020999492</v>
      </c>
      <c r="Y3" s="37">
        <f ca="1">W3</f>
        <v>2.5911814738445051</v>
      </c>
      <c r="Z3" s="37">
        <f ca="1">IF(TODAY()-E3&gt;335,((L3+1+(LOG(J3)*4/3))*0.516),((L3+(((TODAY()-E3)^0.5)/(336^0.516))+(LOG(J3)*4/3))*0.516))</f>
        <v>3.989110265841096</v>
      </c>
      <c r="AA3" s="37">
        <f ca="1">IF(TODAY()-E3&gt;335,((L3+1+(LOG(J3)*4/3))*1),((L3+(((TODAY()-E3)^0.5)/(336^0.5))+(LOG(J3)*4/3))*1))</f>
        <v>7.755076144151781</v>
      </c>
      <c r="AB3" s="37">
        <f ca="1">Z3/2</f>
        <v>1.994555132920548</v>
      </c>
      <c r="AC3" s="37">
        <f ca="1">IF(TODAY()-E3&gt;335,((M3+1+(LOG(J3)*4/3))*0.238),((M3+(((TODAY()-E3)^0.5)/(336^0.238))+(LOG(J3)*4/3))*0.238))</f>
        <v>0.88883081076641013</v>
      </c>
      <c r="AD3" s="37">
        <f ca="1">IF(TODAY()-E3&gt;335,((L3+1+(LOG(J3)*4/3))*0.378),((L3+(((TODAY()-E3)^0.5)/(336^0.516))+(LOG(J3)*4/3))*0.378))</f>
        <v>2.9222551947440585</v>
      </c>
      <c r="AE3" s="37">
        <f ca="1">IF(TODAY()-E3&gt;335,((L3+1+(LOG(J3)*4/3))*0.723),((L3+(((TODAY()-E3)^0.5)/(336^0.5))+(LOG(J3)*4/3))*0.723))</f>
        <v>5.6069200522217377</v>
      </c>
      <c r="AF3" s="37">
        <f ca="1">AD3/2</f>
        <v>1.4611275973720292</v>
      </c>
      <c r="AG3" s="37">
        <f ca="1">IF(TODAY()-E3&gt;335,((M3+1+(LOG(J3)*4/3))*0.385),((M3+(((TODAY()-E3)^0.5)/(336^0.238))+(LOG(J3)*4/3))*0.385))</f>
        <v>1.4378145468280166</v>
      </c>
      <c r="AH3" s="37">
        <f ca="1">IF(TODAY()-E3&gt;335,((L3+1+(LOG(J3)*4/3))*0.92),((L3+(((TODAY()-E3)^0.5)/(336^0.5))+(LOG(J3)*4/3))*0.92))</f>
        <v>7.1346700526196392</v>
      </c>
      <c r="AI3" s="37">
        <f ca="1">IF(TODAY()-E3&gt;335,((L3+1+(LOG(J3)*4/3))*0.414),((L3+(((TODAY()-E3)^0.5)/(336^0.414))+(LOG(J3)*4/3))*0.414))</f>
        <v>3.2839107300722383</v>
      </c>
      <c r="AJ3" s="37">
        <f ca="1">IF(TODAY()-E3&gt;335,((M3+1+(LOG(J3)*4/3))*0.167),((M3+(((TODAY()-E3)^0.5)/(336^0.5))+(LOG(J3)*4/3))*0.167))</f>
        <v>0.46009771607334737</v>
      </c>
      <c r="AK3" s="37">
        <f ca="1">IF(TODAY()-E3&gt;335,((N3+1+(LOG(J3)*4/3))*0.588),((N3+(((TODAY()-E3)^0.5)/(336^0.5))+(LOG(J3)*4/3))*0.588))</f>
        <v>3.3839847727612469</v>
      </c>
      <c r="AL3" s="37">
        <f ca="1">IF(TODAY()-E3&gt;335,((L3+1+(LOG(J3)*4/3))*0.754),((L3+(((TODAY()-E3)^0.5)/(336^0.5))+(LOG(J3)*4/3))*0.754))</f>
        <v>5.8473274126904426</v>
      </c>
      <c r="AM3" s="37">
        <f ca="1">IF(TODAY()-E3&gt;335,((L3+1+(LOG(J3)*4/3))*0.708),((L3+(((TODAY()-E3)^0.5)/(336^0.414))+(LOG(J3)*4/3))*0.708))</f>
        <v>5.6159632775148429</v>
      </c>
      <c r="AN3" s="37">
        <f ca="1">IF(TODAY()-E3&gt;335,((Q3+1+(LOG(J3)*4/3))*0.167),((Q3+(((TODAY()-E3)^0.5)/(336^0.5))+(LOG(J3)*4/3))*0.167))</f>
        <v>0.79409771607334745</v>
      </c>
      <c r="AO3" s="37">
        <f ca="1">IF(TODAY()-E3&gt;335,((R3+1+(LOG(J3)*4/3))*0.288),((R3+(((TODAY()-E3)^0.5)/(336^0.5))+(LOG(J3)*4/3))*0.288))</f>
        <v>1.0814619295157126</v>
      </c>
      <c r="AP3" s="37">
        <f ca="1">IF(TODAY()-E3&gt;335,((L3+1+(LOG(J3)*4/3))*0.27),((L3+(((TODAY()-E3)^0.5)/(336^0.5))+(LOG(J3)*4/3))*0.27))</f>
        <v>2.093870558920981</v>
      </c>
      <c r="AQ3" s="37">
        <f ca="1">IF(TODAY()-E3&gt;335,((L3+1+(LOG(J3)*4/3))*0.594),((L3+(((TODAY()-E3)^0.5)/(336^0.5))+(LOG(J3)*4/3))*0.594))</f>
        <v>4.606515229626158</v>
      </c>
      <c r="AR3" s="37">
        <f ca="1">AP3/2</f>
        <v>1.0469352794604905</v>
      </c>
      <c r="AS3" s="37">
        <f ca="1">IF(TODAY()-E3&gt;335,((M3+1+(LOG(J3)*4/3))*0.944),((M3+(((TODAY()-E3)^0.5)/(336^0.5))+(LOG(J3)*4/3))*0.944))</f>
        <v>2.6007918800792806</v>
      </c>
      <c r="AT3" s="37">
        <f ca="1">IF(TODAY()-E3&gt;335,((O3+1+(LOG(J3)*4/3))*0.13),((O3+(((TODAY()-E3)^0.5)/(336^0.5))+(LOG(J3)*4/3))*0.13))</f>
        <v>1.0081598987397316</v>
      </c>
      <c r="AU3" s="37">
        <f ca="1">IF(TODAY()-E3&gt;335,((P3+1+(LOG(J3)*4/3))*0.173)+((O3+1+(LOG(J3)*4/3))*0.12),((P3+(((TODAY()-E3)^0.5)/(336^0.5))+(LOG(J3)*4/3))*0.173)+((O3+(((TODAY()-E3)^0.5)/(336^0.5))+(LOG(J3)*4/3))*0.12))</f>
        <v>1.9509515959507573</v>
      </c>
      <c r="AV3" s="37">
        <f ca="1">AT3/2</f>
        <v>0.50407994936986578</v>
      </c>
      <c r="AW3" s="37">
        <f ca="1">IF(TODAY()-E3&gt;335,((L3+1+(LOG(J3)*4/3))*0.189),((L3+(((TODAY()-E3)^0.5)/(336^0.5))+(LOG(J3)*4/3))*0.189))</f>
        <v>1.4657093912446866</v>
      </c>
      <c r="AX3" s="37">
        <f ca="1">IF(TODAY()-E3&gt;335,((L3+1+(LOG(J3)*4/3))*0.4),((L3+(((TODAY()-E3)^0.5)/(336^0.5))+(LOG(J3)*4/3))*0.4))</f>
        <v>3.1020304576607125</v>
      </c>
      <c r="AY3" s="37">
        <f ca="1">AW3/2</f>
        <v>0.73285469562234329</v>
      </c>
      <c r="AZ3" s="37">
        <f ca="1">IF(TODAY()-E3&gt;335,((M3+1+(LOG(J3)*4/3))*1),((M3+(((TODAY()-E3)^0.5)/(336^0.5))+(LOG(J3)*4/3))*1))</f>
        <v>2.7550761441517806</v>
      </c>
      <c r="BA3" s="37">
        <f ca="1">IF(TODAY()-E3&gt;335,((O3+1+(LOG(J3)*4/3))*0.253),((O3+(((TODAY()-E3)^0.5)/(336^0.5))+(LOG(J3)*4/3))*0.253))</f>
        <v>1.9620342644704005</v>
      </c>
      <c r="BB3" s="37">
        <f ca="1">IF(TODAY()-E3&gt;335,((P3+1+(LOG(J3)*4/3))*0.21)+((O3+1+(LOG(J3)*4/3))*0.341),((P3+(((TODAY()-E3)^0.5)/(336^0.5))+(LOG(J3)*4/3))*0.21)+((O3+(((TODAY()-E3)^0.5)/(336^0.5))+(LOG(J3)*4/3))*0.341))</f>
        <v>3.8830469554276315</v>
      </c>
      <c r="BC3" s="37">
        <f ca="1">BA3/2</f>
        <v>0.98101713223520026</v>
      </c>
      <c r="BD3" s="37">
        <f ca="1">IF(TODAY()-E3&gt;335,((L3+1+(LOG(J3)*4/3))*0.291),((L3+(((TODAY()-E3)^0.5)/(336^0.5))+(LOG(J3)*4/3))*0.291))</f>
        <v>2.256727157948168</v>
      </c>
      <c r="BE3" s="37">
        <f ca="1">IF(TODAY()-E3&gt;335,((L3+1+(LOG(J3)*4/3))*0.348),((L3+(((TODAY()-E3)^0.5)/(336^0.5))+(LOG(J3)*4/3))*0.348))</f>
        <v>2.6987664981648196</v>
      </c>
      <c r="BF3" s="37">
        <f ca="1">IF(TODAY()-E3&gt;335,((M3+1+(LOG(J3)*4/3))*0.881),((M3+(((TODAY()-E3)^0.5)/(336^0.5))+(LOG(J3)*4/3))*0.881))</f>
        <v>2.4272220829977189</v>
      </c>
      <c r="BG3" s="37">
        <f ca="1">IF(TODAY()-E3&gt;335,((N3+1+(LOG(J3)*4/3))*0.574)+((O3+1+(LOG(J3)*4/3))*0.315),((N3+(((TODAY()-E3)^0.5)/(336^0.5))+(LOG(J3)*4/3))*0.574)+((O3+(((TODAY()-E3)^0.5)/(336^0.5))+(LOG(J3)*4/3))*0.315))</f>
        <v>5.7462626921509337</v>
      </c>
      <c r="BH3" s="37">
        <f ca="1">IF(TODAY()-E3&gt;335,((O3+1+(LOG(J3)*4/3))*0.241),((O3+(((TODAY()-E3)^0.5)/(336^0.5))+(LOG(J3)*4/3))*0.241))</f>
        <v>1.8689733507405792</v>
      </c>
      <c r="BI3" s="37">
        <f ca="1">IF(TODAY()-E3&gt;335,((L3+1+(LOG(J3)*4/3))*0.485),((L3+(((TODAY()-E3)^0.5)/(336^0.5))+(LOG(J3)*4/3))*0.485))</f>
        <v>3.7612119299136135</v>
      </c>
      <c r="BJ3" s="37">
        <f ca="1">IF(TODAY()-E3&gt;335,((L3+1+(LOG(J3)*4/3))*0.264),((L3+(((TODAY()-E3)^0.5)/(336^0.5))+(LOG(J3)*4/3))*0.264))</f>
        <v>2.0473401020560704</v>
      </c>
      <c r="BK3" s="37">
        <f ca="1">IF(TODAY()-E3&gt;335,((M3+1+(LOG(J3)*4/3))*0.381),((M3+(((TODAY()-E3)^0.5)/(336^0.5))+(LOG(J3)*4/3))*0.381))</f>
        <v>1.0496840109218284</v>
      </c>
      <c r="BL3" s="37">
        <f ca="1">IF(TODAY()-E3&gt;335,((N3+1+(LOG(J3)*4/3))*0.673)+((O3+1+(LOG(J3)*4/3))*0.201),((N3+(((TODAY()-E3)^0.5)/(336^0.5))+(LOG(J3)*4/3))*0.673)+((O3+(((TODAY()-E3)^0.5)/(336^0.5))+(LOG(J3)*4/3))*0.201))</f>
        <v>5.4319365499886567</v>
      </c>
      <c r="BM3" s="37">
        <f ca="1">IF(TODAY()-E3&gt;335,((O3+1+(LOG(J3)*4/3))*0.052),((O3+(((TODAY()-E3)^0.5)/(336^0.5))+(LOG(J3)*4/3))*0.052))</f>
        <v>0.40326395949589261</v>
      </c>
      <c r="BN3" s="37">
        <f ca="1">IF(TODAY()-E3&gt;335,((L3+1+(LOG(J3)*4/3))*0.18),((L3+(((TODAY()-E3)^0.5)/(336^0.5))+(LOG(J3)*4/3))*0.18))</f>
        <v>1.3959137059473206</v>
      </c>
      <c r="BO3" s="37">
        <f ca="1">IF(TODAY()-E3&gt;335,((L3+1+(LOG(J3)*4/3))*0.068),((L3+(((TODAY()-E3)^0.5)/(336^0.5))+(LOG(J3)*4/3))*0.068))</f>
        <v>0.52734517780232115</v>
      </c>
      <c r="BP3" s="37">
        <f ca="1">IF(TODAY()-E3&gt;335,((M3+1+(LOG(J3)*4/3))*0.305),((M3+(((TODAY()-E3)^0.5)/(336^0.5))+(LOG(J3)*4/3))*0.305))</f>
        <v>0.84029822396629306</v>
      </c>
      <c r="BQ3" s="37">
        <f ca="1">IF(TODAY()-E3&gt;335,((N3+1+(LOG(J3)*4/3))*1)+((O3+1+(LOG(J3)*4/3))*0.286),((N3+(((TODAY()-E3)^0.5)/(336^0.5))+(LOG(J3)*4/3))*1)+((O3+(((TODAY()-E3)^0.5)/(336^0.5))+(LOG(J3)*4/3))*0.286))</f>
        <v>7.9730279213791899</v>
      </c>
      <c r="BR3" s="37">
        <f ca="1">IF(TODAY()-E3&gt;335,((O3+1+(LOG(J3)*4/3))*0.135),((O3+(((TODAY()-E3)^0.5)/(336^0.5))+(LOG(J3)*4/3))*0.135))</f>
        <v>1.0469352794604905</v>
      </c>
      <c r="BS3" s="37">
        <f ca="1">IF(TODAY()-E3&gt;335,((L3+1+(LOG(J3)*4/3))*0.284),((L3+(((TODAY()-E3)^0.5)/(336^0.5))+(LOG(J3)*4/3))*0.284))</f>
        <v>2.2024416249391057</v>
      </c>
      <c r="BT3" s="37">
        <f ca="1">IF(TODAY()-E3&gt;335,((L3+1+(LOG(J3)*4/3))*0.244),((L3+(((TODAY()-E3)^0.5)/(336^0.5))+(LOG(J3)*4/3))*0.244))</f>
        <v>1.8922385791730345</v>
      </c>
      <c r="BU3" s="37">
        <f ca="1">IF(TODAY()-E3&gt;335,((M3+1+(LOG(J3)*4/3))*0.631),((M3+(((TODAY()-E3)^0.5)/(336^0.5))+(LOG(J3)*4/3))*0.631))</f>
        <v>1.7384530469597737</v>
      </c>
      <c r="BV3" s="37">
        <f ca="1">IF(TODAY()-E3&gt;335,((N3+1+(LOG(J3)*4/3))*0.702)+((O3+1+(LOG(J3)*4/3))*0.193),((N3+(((TODAY()-E3)^0.5)/(336^0.5))+(LOG(J3)*4/3))*0.702)+((O3+(((TODAY()-E3)^0.5)/(336^0.5))+(LOG(J3)*4/3))*0.193))</f>
        <v>5.5367931490158444</v>
      </c>
      <c r="BW3" s="37">
        <f ca="1">IF(TODAY()-E3&gt;335,((O3+1+(LOG(J3)*4/3))*0.148),((O3+(((TODAY()-E3)^0.5)/(336^0.5))+(LOG(J3)*4/3))*0.148))</f>
        <v>1.1477512693344636</v>
      </c>
      <c r="BX3" s="37">
        <f ca="1">IF(TODAY()-E3&gt;335,((M3+1+(LOG(J3)*4/3))*0.406),((M3+(((TODAY()-E3)^0.5)/(336^0.5))+(LOG(J3)*4/3))*0.406))</f>
        <v>1.118560914525623</v>
      </c>
      <c r="BY3" s="37">
        <f ca="1">IF(D3="TEC",IF(TODAY()-E3&gt;335,((N3+1+(LOG(J3)*4/3))*0.15)+((O3+1+(LOG(J3)*4/3))*0.324)+((P3+1+(LOG(J3)*4/3))*0.127),((N3+(((TODAY()-E3)^0.5)/(336^0.5))+(LOG(J3)*4/3))*0.15)+((O3+(((TODAY()-E3)^0.5)/(336^0.5))+(LOG(J3)*4/3))*0.324)+((P3+(((TODAY()-E3)^0.5)/(336^0.5))+(LOG(J3)*4/3))*0.127)),IF(TODAY()-E3&gt;335,((N3+1+(LOG(J3)*4/3))*0.144)+((O3+1+(LOG(J3)*4/3))*0.25)+((P3+1+(LOG(J3)*4/3))*0.127),((N3+(((TODAY()-E3)^0.5)/(336^0.5))+(LOG(J3)*4/3))*0.144)+((O3+(((TODAY()-E3)^0.5)/(336^0.5))+(LOG(J3)*4/3))*0.25)+((P3+(((TODAY()-E3)^0.5)/(336^0.5))+(LOG(J3)*4/3))*0.127)))</f>
        <v>3.516537528245935</v>
      </c>
      <c r="BZ3" s="37">
        <f ca="1">IF(D3="TEC",IF(TODAY()-E3&gt;335,((O3+1+(LOG(J3)*4/3))*0.543)+((P3+1+(LOG(J3)*4/3))*0.583),((O3+(((TODAY()-E3)^0.5)/(336^0.5))+(LOG(J3)*4/3))*0.543)+((P3+(((TODAY()-E3)^0.5)/(336^0.5))+(LOG(J3)*4/3))*0.583)),IF(TODAY()-E3&gt;335,((O3+1+(LOG(J3)*4/3))*0.543)+((P3+1+(LOG(J3)*4/3))*0.583),((O3+(((TODAY()-E3)^0.5)/(336^0.5))+(LOG(J3)*4/3))*0.543)+((P3+(((TODAY()-E3)^0.5)/(336^0.5))+(LOG(J3)*4/3))*0.583)))</f>
        <v>7.6495014526006191</v>
      </c>
      <c r="CA3" s="37">
        <f ca="1">BY3</f>
        <v>3.516537528245935</v>
      </c>
      <c r="CB3" s="37">
        <f ca="1">IF(TODAY()-E3&gt;335,((P3+1+(LOG(J3)*4/3))*0.26)+((N3+1+(LOG(J3)*4/3))*0.221)+((O3+1+(LOG(J3)*4/3))*0.142),((P3+(((TODAY()-E3)^0.5)/(336^0.5))+(LOG(J3)*4/3))*0.26)+((N3+(((TODAY()-E3)^0.5)/(336^0.5))+(LOG(J3)*4/3))*0.221)+((P3+(((TODAY()-E3)^0.5)/(336^0.5))+(LOG(J3)*4/3))*0.142))</f>
        <v>3.6428410092351307</v>
      </c>
      <c r="CC3" s="37">
        <f ca="1">IF(TODAY()-E3&gt;335,((P3+1+(LOG(J3)*4/3))*1)+((O3+1+(LOG(J3)*4/3))*0.369),((P3+(((TODAY()-E3)^0.5)/(336^0.5))+(LOG(J3)*4/3))*1)+((O3+(((TODAY()-E3)^0.5)/(336^0.5))+(LOG(J3)*4/3))*0.369))</f>
        <v>8.7595563842009305</v>
      </c>
      <c r="CD3" s="37">
        <f ca="1">CB3</f>
        <v>3.6428410092351307</v>
      </c>
      <c r="CE3" s="37">
        <f ca="1">IF(TODAY()-E3&gt;335,((M3+1+(LOG(J3)*4/3))*0.25),((M3+(((TODAY()-E3)^0.5)/(336^0.5))+(LOG(J3)*4/3))*0.25))</f>
        <v>0.68876903603794515</v>
      </c>
    </row>
    <row r="4" spans="1:83" x14ac:dyDescent="0.25">
      <c r="A4" t="str">
        <f>PLANTILLA!D5</f>
        <v>Marc Dolz</v>
      </c>
      <c r="B4">
        <f>PLANTILLA!E5</f>
        <v>17</v>
      </c>
      <c r="C4" s="33">
        <f ca="1">PLANTILLA!F5</f>
        <v>83</v>
      </c>
      <c r="D4" s="220" t="str">
        <f>PLANTILLA!G5</f>
        <v>POT</v>
      </c>
      <c r="E4" s="30">
        <f>PLANTILLA!M5</f>
        <v>43046</v>
      </c>
      <c r="F4" s="47">
        <f>PLANTILLA!Q5</f>
        <v>6</v>
      </c>
      <c r="G4" s="48">
        <f t="shared" ref="G4:G19" si="1">(F4/7)^0.5</f>
        <v>0.92582009977255142</v>
      </c>
      <c r="H4" s="48">
        <f t="shared" ref="H4:H19" si="2">IF(F4=7,1,((F4+0.99)/7)^0.5)</f>
        <v>0.99928545900129484</v>
      </c>
      <c r="I4" s="51">
        <f t="shared" ref="I4:I19" ca="1" si="3">IF(TODAY()-E4&gt;335,1,((TODAY()-E4)^0.5)/336^0.5)</f>
        <v>0.47559486560567099</v>
      </c>
      <c r="J4" s="39">
        <f>PLANTILLA!I5</f>
        <v>1</v>
      </c>
      <c r="K4" s="46">
        <f>PLANTILLA!X5</f>
        <v>0</v>
      </c>
      <c r="L4" s="46">
        <f>PLANTILLA!Y5</f>
        <v>4</v>
      </c>
      <c r="M4" s="46">
        <f>PLANTILLA!Z5</f>
        <v>4</v>
      </c>
      <c r="N4" s="46">
        <f>PLANTILLA!AA5</f>
        <v>3</v>
      </c>
      <c r="O4" s="46">
        <f>PLANTILLA!AB5</f>
        <v>4.2526666666666664</v>
      </c>
      <c r="P4" s="46">
        <f>PLANTILLA!AC5</f>
        <v>3.1333333333333337</v>
      </c>
      <c r="Q4" s="46">
        <f>PLANTILLA!AD5</f>
        <v>0.4</v>
      </c>
      <c r="R4" s="46">
        <f t="shared" ref="R4:R5" si="4">((2*(O4+1))+(L4+1))/8</f>
        <v>1.9381666666666666</v>
      </c>
      <c r="S4" s="46">
        <f t="shared" ref="S4:S5" si="5">(0.5*P4+ 0.3*Q4)/10</f>
        <v>0.16866666666666669</v>
      </c>
      <c r="T4" s="46">
        <f t="shared" ref="T4:T5" si="6">(0.4*L4+0.3*Q4)/10</f>
        <v>0.17200000000000001</v>
      </c>
      <c r="U4" s="46">
        <f t="shared" ref="U4:U5" ca="1" si="7">IF(TODAY()-E4&gt;335,(Q4+1+(LOG(J4)*4/3))*(F4/7)^0.5,(Q4+((TODAY()-E4)^0.5)/(336^0.5)+(LOG(J4)*4/3))*(F4/7)^0.5)</f>
        <v>0.81064332583537613</v>
      </c>
      <c r="V4" s="46">
        <f t="shared" ref="V4:V5" ca="1" si="8">IF(F4=7,U4,IF(TODAY()-E4&gt;335,(Q4+1+(LOG(J4)*4/3))*((F4+0.99)/7)^0.5,(Q4+((TODAY()-E4)^0.5)/(336^0.5)+(LOG(J4)*4/3))*((F4+0.99)/7)^0.5))</f>
        <v>0.87496921717594001</v>
      </c>
      <c r="W4" s="37">
        <f t="shared" ref="W4:W5" ca="1" si="9">IF(TODAY()-E4&gt;335,((K4+1+(LOG(J4)*4/3))*0.597)+((L4+1+(LOG(J4)*4/3))*0.276),((K4+(((TODAY()-E4)^0.5)/(336^0.5))+(LOG(J4)*4/3))*0.597)+((L4+(((TODAY()-E4)^0.5)/(336^0.5))+(LOG(J4)*4/3))*0.276))</f>
        <v>1.519194317673751</v>
      </c>
      <c r="X4" s="37">
        <f t="shared" ref="X4:X5" ca="1" si="10">IF(TODAY()-E4&gt;335,((K4+1+(LOG(J4)*4/3))*0.866)+((L4+1+(LOG(J4)*4/3))*0.425),((K4+(((TODAY()-E4)^0.5)/(336^0.5))+(LOG(J4)*4/3))*0.866)+((L4+(((TODAY()-E4)^0.5)/(336^0.5))+(LOG(J4)*4/3))*0.425))</f>
        <v>2.313992971496921</v>
      </c>
      <c r="Y4" s="37">
        <f t="shared" ref="Y4:Y5" ca="1" si="11">W4</f>
        <v>1.519194317673751</v>
      </c>
      <c r="Z4" s="37">
        <f t="shared" ref="Z4:Z5" ca="1" si="12">IF(TODAY()-E4&gt;335,((L4+1+(LOG(J4)*4/3))*0.516),((L4+(((TODAY()-E4)^0.5)/(336^0.516))+(LOG(J4)*4/3))*0.516))</f>
        <v>2.2875967211095407</v>
      </c>
      <c r="AA4" s="37">
        <f t="shared" ref="AA4:AA5" ca="1" si="13">IF(TODAY()-E4&gt;335,((L4+1+(LOG(J4)*4/3))*1),((L4+(((TODAY()-E4)^0.5)/(336^0.5))+(LOG(J4)*4/3))*1))</f>
        <v>4.4755948656056708</v>
      </c>
      <c r="AB4" s="37">
        <f t="shared" ref="AB4:AB5" ca="1" si="14">Z4/2</f>
        <v>1.1437983605547704</v>
      </c>
      <c r="AC4" s="37">
        <f t="shared" ref="AC4:AC5" ca="1" si="15">IF(TODAY()-E4&gt;335,((M4+1+(LOG(J4)*4/3))*0.238),((M4+(((TODAY()-E4)^0.5)/(336^0.238))+(LOG(J4)*4/3))*0.238))</f>
        <v>1.471654874188624</v>
      </c>
      <c r="AD4" s="37">
        <f t="shared" ref="AD4:AD5" ca="1" si="16">IF(TODAY()-E4&gt;335,((L4+1+(LOG(J4)*4/3))*0.378),((L4+(((TODAY()-E4)^0.5)/(336^0.516))+(LOG(J4)*4/3))*0.378))</f>
        <v>1.6757975980221056</v>
      </c>
      <c r="AE4" s="37">
        <f t="shared" ref="AE4:AE5" ca="1" si="17">IF(TODAY()-E4&gt;335,((L4+1+(LOG(J4)*4/3))*0.723),((L4+(((TODAY()-E4)^0.5)/(336^0.5))+(LOG(J4)*4/3))*0.723))</f>
        <v>3.2358550878329</v>
      </c>
      <c r="AF4" s="37">
        <f t="shared" ref="AF4:AF5" ca="1" si="18">AD4/2</f>
        <v>0.8378987990110528</v>
      </c>
      <c r="AG4" s="37">
        <f t="shared" ref="AG4:AG5" ca="1" si="19">IF(TODAY()-E4&gt;335,((M4+1+(LOG(J4)*4/3))*0.385),((M4+(((TODAY()-E4)^0.5)/(336^0.238))+(LOG(J4)*4/3))*0.385))</f>
        <v>2.3806181788345389</v>
      </c>
      <c r="AH4" s="37">
        <f t="shared" ref="AH4:AH5" ca="1" si="20">IF(TODAY()-E4&gt;335,((L4+1+(LOG(J4)*4/3))*0.92),((L4+(((TODAY()-E4)^0.5)/(336^0.5))+(LOG(J4)*4/3))*0.92))</f>
        <v>4.1175472763572172</v>
      </c>
      <c r="AI4" s="37">
        <f t="shared" ref="AI4:AI5" ca="1" si="21">IF(TODAY()-E4&gt;335,((L4+1+(LOG(J4)*4/3))*0.414),((L4+(((TODAY()-E4)^0.5)/(336^0.414))+(LOG(J4)*4/3))*0.414))</f>
        <v>1.9807152432807484</v>
      </c>
      <c r="AJ4" s="37">
        <f t="shared" ref="AJ4:AJ5" ca="1" si="22">IF(TODAY()-E4&gt;335,((M4+1+(LOG(J4)*4/3))*0.167),((M4+(((TODAY()-E4)^0.5)/(336^0.5))+(LOG(J4)*4/3))*0.167))</f>
        <v>0.74742434255614709</v>
      </c>
      <c r="AK4" s="37">
        <f t="shared" ref="AK4:AK5" ca="1" si="23">IF(TODAY()-E4&gt;335,((N4+1+(LOG(J4)*4/3))*0.588),((N4+(((TODAY()-E4)^0.5)/(336^0.5))+(LOG(J4)*4/3))*0.588))</f>
        <v>2.0436497809761343</v>
      </c>
      <c r="AL4" s="37">
        <f t="shared" ref="AL4:AL5" ca="1" si="24">IF(TODAY()-E4&gt;335,((L4+1+(LOG(J4)*4/3))*0.754),((L4+(((TODAY()-E4)^0.5)/(336^0.5))+(LOG(J4)*4/3))*0.754))</f>
        <v>3.374598528666676</v>
      </c>
      <c r="AM4" s="37">
        <f t="shared" ref="AM4:AM5" ca="1" si="25">IF(TODAY()-E4&gt;335,((L4+1+(LOG(J4)*4/3))*0.708),((L4+(((TODAY()-E4)^0.5)/(336^0.414))+(LOG(J4)*4/3))*0.708))</f>
        <v>3.3873101261902652</v>
      </c>
      <c r="AN4" s="37">
        <f t="shared" ref="AN4:AN5" ca="1" si="26">IF(TODAY()-E4&gt;335,((Q4+1+(LOG(J4)*4/3))*0.167),((Q4+(((TODAY()-E4)^0.5)/(336^0.5))+(LOG(J4)*4/3))*0.167))</f>
        <v>0.14622434255614708</v>
      </c>
      <c r="AO4" s="37">
        <f t="shared" ref="AO4:AO5" ca="1" si="27">IF(TODAY()-E4&gt;335,((R4+1+(LOG(J4)*4/3))*0.288),((R4+(((TODAY()-E4)^0.5)/(336^0.5))+(LOG(J4)*4/3))*0.288))</f>
        <v>0.69516332129443315</v>
      </c>
      <c r="AP4" s="37">
        <f t="shared" ref="AP4:AP5" ca="1" si="28">IF(TODAY()-E4&gt;335,((L4+1+(LOG(J4)*4/3))*0.27),((L4+(((TODAY()-E4)^0.5)/(336^0.5))+(LOG(J4)*4/3))*0.27))</f>
        <v>1.2084106137135311</v>
      </c>
      <c r="AQ4" s="37">
        <f t="shared" ref="AQ4:AQ5" ca="1" si="29">IF(TODAY()-E4&gt;335,((L4+1+(LOG(J4)*4/3))*0.594),((L4+(((TODAY()-E4)^0.5)/(336^0.5))+(LOG(J4)*4/3))*0.594))</f>
        <v>2.6585033501697684</v>
      </c>
      <c r="AR4" s="37">
        <f t="shared" ref="AR4:AR5" ca="1" si="30">AP4/2</f>
        <v>0.60420530685676554</v>
      </c>
      <c r="AS4" s="37">
        <f t="shared" ref="AS4:AS5" ca="1" si="31">IF(TODAY()-E4&gt;335,((M4+1+(LOG(J4)*4/3))*0.944),((M4+(((TODAY()-E4)^0.5)/(336^0.5))+(LOG(J4)*4/3))*0.944))</f>
        <v>4.2249615531317533</v>
      </c>
      <c r="AT4" s="37">
        <f t="shared" ref="AT4:AT5" ca="1" si="32">IF(TODAY()-E4&gt;335,((O4+1+(LOG(J4)*4/3))*0.13),((O4+(((TODAY()-E4)^0.5)/(336^0.5))+(LOG(J4)*4/3))*0.13))</f>
        <v>0.61467399919540389</v>
      </c>
      <c r="AU4" s="37">
        <f t="shared" ref="AU4:AU5" ca="1" si="33">IF(TODAY()-E4&gt;335,((P4+1+(LOG(J4)*4/3))*0.173)+((O4+1+(LOG(J4)*4/3))*0.12),((P4+(((TODAY()-E4)^0.5)/(336^0.5))+(LOG(J4)*4/3))*0.173)+((O4+(((TODAY()-E4)^0.5)/(336^0.5))+(LOG(J4)*4/3))*0.12))</f>
        <v>1.1917359622891281</v>
      </c>
      <c r="AV4" s="37">
        <f t="shared" ref="AV4:AV5" ca="1" si="34">AT4/2</f>
        <v>0.30733699959770194</v>
      </c>
      <c r="AW4" s="37">
        <f t="shared" ref="AW4:AW5" ca="1" si="35">IF(TODAY()-E4&gt;335,((L4+1+(LOG(J4)*4/3))*0.189),((L4+(((TODAY()-E4)^0.5)/(336^0.5))+(LOG(J4)*4/3))*0.189))</f>
        <v>0.84588742959947183</v>
      </c>
      <c r="AX4" s="37">
        <f t="shared" ref="AX4:AX5" ca="1" si="36">IF(TODAY()-E4&gt;335,((L4+1+(LOG(J4)*4/3))*0.4),((L4+(((TODAY()-E4)^0.5)/(336^0.5))+(LOG(J4)*4/3))*0.4))</f>
        <v>1.7902379462422684</v>
      </c>
      <c r="AY4" s="37">
        <f t="shared" ref="AY4:AY5" ca="1" si="37">AW4/2</f>
        <v>0.42294371479973591</v>
      </c>
      <c r="AZ4" s="37">
        <f t="shared" ref="AZ4:AZ5" ca="1" si="38">IF(TODAY()-E4&gt;335,((M4+1+(LOG(J4)*4/3))*1),((M4+(((TODAY()-E4)^0.5)/(336^0.5))+(LOG(J4)*4/3))*1))</f>
        <v>4.4755948656056708</v>
      </c>
      <c r="BA4" s="37">
        <f t="shared" ref="BA4:BA5" ca="1" si="39">IF(TODAY()-E4&gt;335,((O4+1+(LOG(J4)*4/3))*0.253),((O4+(((TODAY()-E4)^0.5)/(336^0.5))+(LOG(J4)*4/3))*0.253))</f>
        <v>1.1962501676649013</v>
      </c>
      <c r="BB4" s="37">
        <f t="shared" ref="BB4:BB5" ca="1" si="40">IF(TODAY()-E4&gt;335,((P4+1+(LOG(J4)*4/3))*0.21)+((O4+1+(LOG(J4)*4/3))*0.341),((P4+(((TODAY()-E4)^0.5)/(336^0.5))+(LOG(J4)*4/3))*0.21)+((O4+(((TODAY()-E4)^0.5)/(336^0.5))+(LOG(J4)*4/3))*0.341))</f>
        <v>2.3702121042820581</v>
      </c>
      <c r="BC4" s="37">
        <f t="shared" ref="BC4:BC5" ca="1" si="41">BA4/2</f>
        <v>0.59812508383245067</v>
      </c>
      <c r="BD4" s="37">
        <f t="shared" ref="BD4:BD5" ca="1" si="42">IF(TODAY()-E4&gt;335,((L4+1+(LOG(J4)*4/3))*0.291),((L4+(((TODAY()-E4)^0.5)/(336^0.5))+(LOG(J4)*4/3))*0.291))</f>
        <v>1.3023981058912502</v>
      </c>
      <c r="BE4" s="37">
        <f t="shared" ref="BE4:BE5" ca="1" si="43">IF(TODAY()-E4&gt;335,((L4+1+(LOG(J4)*4/3))*0.348),((L4+(((TODAY()-E4)^0.5)/(336^0.5))+(LOG(J4)*4/3))*0.348))</f>
        <v>1.5575070132307733</v>
      </c>
      <c r="BF4" s="37">
        <f t="shared" ref="BF4:BF5" ca="1" si="44">IF(TODAY()-E4&gt;335,((M4+1+(LOG(J4)*4/3))*0.881),((M4+(((TODAY()-E4)^0.5)/(336^0.5))+(LOG(J4)*4/3))*0.881))</f>
        <v>3.9429990765985958</v>
      </c>
      <c r="BG4" s="37">
        <f t="shared" ref="BG4:BG5" ca="1" si="45">IF(TODAY()-E4&gt;335,((N4+1+(LOG(J4)*4/3))*0.574)+((O4+1+(LOG(J4)*4/3))*0.315),((N4+(((TODAY()-E4)^0.5)/(336^0.5))+(LOG(J4)*4/3))*0.574)+((O4+(((TODAY()-E4)^0.5)/(336^0.5))+(LOG(J4)*4/3))*0.315))</f>
        <v>3.4843938355234414</v>
      </c>
      <c r="BH4" s="37">
        <f t="shared" ref="BH4:BH5" ca="1" si="46">IF(TODAY()-E4&gt;335,((O4+1+(LOG(J4)*4/3))*0.241),((O4+(((TODAY()-E4)^0.5)/(336^0.5))+(LOG(J4)*4/3))*0.241))</f>
        <v>1.1395110292776331</v>
      </c>
      <c r="BI4" s="37">
        <f t="shared" ref="BI4:BI5" ca="1" si="47">IF(TODAY()-E4&gt;335,((L4+1+(LOG(J4)*4/3))*0.485),((L4+(((TODAY()-E4)^0.5)/(336^0.5))+(LOG(J4)*4/3))*0.485))</f>
        <v>2.1706635098187501</v>
      </c>
      <c r="BJ4" s="37">
        <f t="shared" ref="BJ4:BJ5" ca="1" si="48">IF(TODAY()-E4&gt;335,((L4+1+(LOG(J4)*4/3))*0.264),((L4+(((TODAY()-E4)^0.5)/(336^0.5))+(LOG(J4)*4/3))*0.264))</f>
        <v>1.1815570445198971</v>
      </c>
      <c r="BK4" s="37">
        <f t="shared" ref="BK4:BK5" ca="1" si="49">IF(TODAY()-E4&gt;335,((M4+1+(LOG(J4)*4/3))*0.381),((M4+(((TODAY()-E4)^0.5)/(336^0.5))+(LOG(J4)*4/3))*0.381))</f>
        <v>1.7052016437957607</v>
      </c>
      <c r="BL4" s="37">
        <f t="shared" ref="BL4:BL5" ca="1" si="50">IF(TODAY()-E4&gt;335,((N4+1+(LOG(J4)*4/3))*0.673)+((O4+1+(LOG(J4)*4/3))*0.201),((N4+(((TODAY()-E4)^0.5)/(336^0.5))+(LOG(J4)*4/3))*0.673)+((O4+(((TODAY()-E4)^0.5)/(336^0.5))+(LOG(J4)*4/3))*0.201))</f>
        <v>3.2894559125393563</v>
      </c>
      <c r="BM4" s="37">
        <f t="shared" ref="BM4:BM5" ca="1" si="51">IF(TODAY()-E4&gt;335,((O4+1+(LOG(J4)*4/3))*0.052),((O4+(((TODAY()-E4)^0.5)/(336^0.5))+(LOG(J4)*4/3))*0.052))</f>
        <v>0.24586959967816152</v>
      </c>
      <c r="BN4" s="37">
        <f t="shared" ref="BN4:BN5" ca="1" si="52">IF(TODAY()-E4&gt;335,((L4+1+(LOG(J4)*4/3))*0.18),((L4+(((TODAY()-E4)^0.5)/(336^0.5))+(LOG(J4)*4/3))*0.18))</f>
        <v>0.80560707580902069</v>
      </c>
      <c r="BO4" s="37">
        <f t="shared" ref="BO4:BO5" ca="1" si="53">IF(TODAY()-E4&gt;335,((L4+1+(LOG(J4)*4/3))*0.068),((L4+(((TODAY()-E4)^0.5)/(336^0.5))+(LOG(J4)*4/3))*0.068))</f>
        <v>0.30434045086118561</v>
      </c>
      <c r="BP4" s="37">
        <f t="shared" ref="BP4:BP5" ca="1" si="54">IF(TODAY()-E4&gt;335,((M4+1+(LOG(J4)*4/3))*0.305),((M4+(((TODAY()-E4)^0.5)/(336^0.5))+(LOG(J4)*4/3))*0.305))</f>
        <v>1.3650564340097295</v>
      </c>
      <c r="BQ4" s="37">
        <f t="shared" ref="BQ4:BQ5" ca="1" si="55">IF(TODAY()-E4&gt;335,((N4+1+(LOG(J4)*4/3))*1)+((O4+1+(LOG(J4)*4/3))*0.286),((N4+(((TODAY()-E4)^0.5)/(336^0.5))+(LOG(J4)*4/3))*1)+((O4+(((TODAY()-E4)^0.5)/(336^0.5))+(LOG(J4)*4/3))*0.286))</f>
        <v>4.8278776638355589</v>
      </c>
      <c r="BR4" s="37">
        <f t="shared" ref="BR4:BR5" ca="1" si="56">IF(TODAY()-E4&gt;335,((O4+1+(LOG(J4)*4/3))*0.135),((O4+(((TODAY()-E4)^0.5)/(336^0.5))+(LOG(J4)*4/3))*0.135))</f>
        <v>0.63831530685676552</v>
      </c>
      <c r="BS4" s="37">
        <f t="shared" ref="BS4:BS5" ca="1" si="57">IF(TODAY()-E4&gt;335,((L4+1+(LOG(J4)*4/3))*0.284),((L4+(((TODAY()-E4)^0.5)/(336^0.5))+(LOG(J4)*4/3))*0.284))</f>
        <v>1.2710689418320105</v>
      </c>
      <c r="BT4" s="37">
        <f t="shared" ref="BT4:BT5" ca="1" si="58">IF(TODAY()-E4&gt;335,((L4+1+(LOG(J4)*4/3))*0.244),((L4+(((TODAY()-E4)^0.5)/(336^0.5))+(LOG(J4)*4/3))*0.244))</f>
        <v>1.0920451472077837</v>
      </c>
      <c r="BU4" s="37">
        <f t="shared" ref="BU4:BU5" ca="1" si="59">IF(TODAY()-E4&gt;335,((M4+1+(LOG(J4)*4/3))*0.631),((M4+(((TODAY()-E4)^0.5)/(336^0.5))+(LOG(J4)*4/3))*0.631))</f>
        <v>2.8241003601971784</v>
      </c>
      <c r="BV4" s="37">
        <f t="shared" ref="BV4:BV5" ca="1" si="60">IF(TODAY()-E4&gt;335,((N4+1+(LOG(J4)*4/3))*0.702)+((O4+1+(LOG(J4)*4/3))*0.193),((N4+(((TODAY()-E4)^0.5)/(336^0.5))+(LOG(J4)*4/3))*0.702)+((O4+(((TODAY()-E4)^0.5)/(336^0.5))+(LOG(J4)*4/3))*0.193))</f>
        <v>3.3524220713837418</v>
      </c>
      <c r="BW4" s="37">
        <f t="shared" ref="BW4:BW5" ca="1" si="61">IF(TODAY()-E4&gt;335,((O4+1+(LOG(J4)*4/3))*0.148),((O4+(((TODAY()-E4)^0.5)/(336^0.5))+(LOG(J4)*4/3))*0.148))</f>
        <v>0.69978270677630583</v>
      </c>
      <c r="BX4" s="37">
        <f t="shared" ref="BX4:BX5" ca="1" si="62">IF(TODAY()-E4&gt;335,((M4+1+(LOG(J4)*4/3))*0.406),((M4+(((TODAY()-E4)^0.5)/(336^0.5))+(LOG(J4)*4/3))*0.406))</f>
        <v>1.8170915154359024</v>
      </c>
      <c r="BY4" s="37">
        <f t="shared" ref="BY4:BY5" ca="1" si="63">IF(D4="TEC",IF(TODAY()-E4&gt;335,((N4+1+(LOG(J4)*4/3))*0.15)+((O4+1+(LOG(J4)*4/3))*0.324)+((P4+1+(LOG(J4)*4/3))*0.127),((N4+(((TODAY()-E4)^0.5)/(336^0.5))+(LOG(J4)*4/3))*0.15)+((O4+(((TODAY()-E4)^0.5)/(336^0.5))+(LOG(J4)*4/3))*0.324)+((P4+(((TODAY()-E4)^0.5)/(336^0.5))+(LOG(J4)*4/3))*0.127)),IF(TODAY()-E4&gt;335,((N4+1+(LOG(J4)*4/3))*0.144)+((O4+1+(LOG(J4)*4/3))*0.25)+((P4+1+(LOG(J4)*4/3))*0.127),((N4+(((TODAY()-E4)^0.5)/(336^0.5))+(LOG(J4)*4/3))*0.144)+((O4+(((TODAY()-E4)^0.5)/(336^0.5))+(LOG(J4)*4/3))*0.25)+((P4+(((TODAY()-E4)^0.5)/(336^0.5))+(LOG(J4)*4/3))*0.127)))</f>
        <v>2.1408849249805546</v>
      </c>
      <c r="BZ4" s="37">
        <f t="shared" ref="BZ4:BZ5" ca="1" si="64">IF(D4="TEC",IF(TODAY()-E4&gt;335,((O4+1+(LOG(J4)*4/3))*0.543)+((P4+1+(LOG(J4)*4/3))*0.583),((O4+(((TODAY()-E4)^0.5)/(336^0.5))+(LOG(J4)*4/3))*0.543)+((P4+(((TODAY()-E4)^0.5)/(336^0.5))+(LOG(J4)*4/3))*0.583)),IF(TODAY()-E4&gt;335,((O4+1+(LOG(J4)*4/3))*0.543)+((P4+1+(LOG(J4)*4/3))*0.583),((O4+(((TODAY()-E4)^0.5)/(336^0.5))+(LOG(J4)*4/3))*0.543)+((P4+(((TODAY()-E4)^0.5)/(336^0.5))+(LOG(J4)*4/3))*0.583)))</f>
        <v>4.6714511520053188</v>
      </c>
      <c r="CA4" s="37">
        <f t="shared" ref="CA4:CA5" ca="1" si="65">BY4</f>
        <v>2.1408849249805546</v>
      </c>
      <c r="CB4" s="37">
        <f t="shared" ref="CB4:CB5" ca="1" si="66">IF(TODAY()-E4&gt;335,((P4+1+(LOG(J4)*4/3))*0.26)+((N4+1+(LOG(J4)*4/3))*0.221)+((O4+1+(LOG(J4)*4/3))*0.142),((P4+(((TODAY()-E4)^0.5)/(336^0.5))+(LOG(J4)*4/3))*0.26)+((N4+(((TODAY()-E4)^0.5)/(336^0.5))+(LOG(J4)*4/3))*0.221)+((P4+(((TODAY()-E4)^0.5)/(336^0.5))+(LOG(J4)*4/3))*0.142))</f>
        <v>2.2188956012723331</v>
      </c>
      <c r="CC4" s="37">
        <f t="shared" ref="CC4:CC5" ca="1" si="67">IF(TODAY()-E4&gt;335,((P4+1+(LOG(J4)*4/3))*1)+((O4+1+(LOG(J4)*4/3))*0.369),((P4+(((TODAY()-E4)^0.5)/(336^0.5))+(LOG(J4)*4/3))*1)+((O4+(((TODAY()-E4)^0.5)/(336^0.5))+(LOG(J4)*4/3))*0.369))</f>
        <v>5.3536567043474967</v>
      </c>
      <c r="CD4" s="37">
        <f t="shared" ref="CD4:CD5" ca="1" si="68">CB4</f>
        <v>2.2188956012723331</v>
      </c>
      <c r="CE4" s="37">
        <f t="shared" ref="CE4:CE5" ca="1" si="69">IF(TODAY()-E4&gt;335,((M4+1+(LOG(J4)*4/3))*0.25),((M4+(((TODAY()-E4)^0.5)/(336^0.5))+(LOG(J4)*4/3))*0.25))</f>
        <v>1.1188987164014177</v>
      </c>
    </row>
    <row r="5" spans="1:83" x14ac:dyDescent="0.25">
      <c r="A5" t="str">
        <f>PLANTILLA!D6</f>
        <v>Manuel Parejo</v>
      </c>
      <c r="B5">
        <f>PLANTILLA!E6</f>
        <v>17</v>
      </c>
      <c r="C5" s="33">
        <f ca="1">PLANTILLA!F6</f>
        <v>30</v>
      </c>
      <c r="D5" s="220">
        <f>PLANTILLA!G6</f>
        <v>0</v>
      </c>
      <c r="E5" s="30">
        <f>PLANTILLA!M6</f>
        <v>43097</v>
      </c>
      <c r="F5" s="47">
        <f>PLANTILLA!Q6</f>
        <v>5</v>
      </c>
      <c r="G5" s="48">
        <f t="shared" si="1"/>
        <v>0.84515425472851657</v>
      </c>
      <c r="H5" s="48">
        <f t="shared" si="2"/>
        <v>0.92504826128926143</v>
      </c>
      <c r="I5" s="51">
        <f t="shared" ca="1" si="3"/>
        <v>0.27277236279499051</v>
      </c>
      <c r="J5" s="39">
        <f>PLANTILLA!I6</f>
        <v>1.1000000000000001</v>
      </c>
      <c r="K5" s="46">
        <f>PLANTILLA!X6</f>
        <v>0</v>
      </c>
      <c r="L5" s="46">
        <f>PLANTILLA!Y6</f>
        <v>5</v>
      </c>
      <c r="M5" s="46">
        <f>PLANTILLA!Z6</f>
        <v>6.7</v>
      </c>
      <c r="N5" s="46">
        <f>PLANTILLA!AA6</f>
        <v>3</v>
      </c>
      <c r="O5" s="46">
        <f>PLANTILLA!AB6</f>
        <v>2</v>
      </c>
      <c r="P5" s="46">
        <f>PLANTILLA!AC6</f>
        <v>3.2000000000000006</v>
      </c>
      <c r="Q5" s="46">
        <f>PLANTILLA!AD6</f>
        <v>2</v>
      </c>
      <c r="R5" s="46">
        <f t="shared" si="4"/>
        <v>1.5</v>
      </c>
      <c r="S5" s="46">
        <f t="shared" si="5"/>
        <v>0.22000000000000003</v>
      </c>
      <c r="T5" s="46">
        <f t="shared" si="6"/>
        <v>0.26</v>
      </c>
      <c r="U5" s="46">
        <f t="shared" ca="1" si="7"/>
        <v>1.967487504413719</v>
      </c>
      <c r="V5" s="46">
        <f t="shared" ca="1" si="8"/>
        <v>2.1534777644240721</v>
      </c>
      <c r="W5" s="37">
        <f t="shared" ca="1" si="9"/>
        <v>1.6663113582442006</v>
      </c>
      <c r="X5" s="37">
        <f t="shared" ca="1" si="10"/>
        <v>2.5483997290873575</v>
      </c>
      <c r="Y5" s="37">
        <f t="shared" ca="1" si="11"/>
        <v>1.6663113582442006</v>
      </c>
      <c r="Z5" s="37">
        <f t="shared" ca="1" si="12"/>
        <v>2.7367196820498507</v>
      </c>
      <c r="AA5" s="37">
        <f t="shared" ca="1" si="13"/>
        <v>5.3279626096726238</v>
      </c>
      <c r="AB5" s="37">
        <f t="shared" ca="1" si="14"/>
        <v>1.3683598410249254</v>
      </c>
      <c r="AC5" s="37">
        <f t="shared" ca="1" si="15"/>
        <v>1.9057777895603709</v>
      </c>
      <c r="AD5" s="37">
        <f t="shared" ca="1" si="16"/>
        <v>2.0048062787109373</v>
      </c>
      <c r="AE5" s="37">
        <f t="shared" ca="1" si="17"/>
        <v>3.8521169667933068</v>
      </c>
      <c r="AF5" s="37">
        <f t="shared" ca="1" si="18"/>
        <v>1.0024031393554687</v>
      </c>
      <c r="AG5" s="37">
        <f t="shared" ca="1" si="19"/>
        <v>3.0828758360535411</v>
      </c>
      <c r="AH5" s="37">
        <f t="shared" ca="1" si="20"/>
        <v>4.9017256008988142</v>
      </c>
      <c r="AI5" s="37">
        <f t="shared" ca="1" si="21"/>
        <v>2.2790857267978675</v>
      </c>
      <c r="AJ5" s="37">
        <f t="shared" ca="1" si="22"/>
        <v>1.1736697558153282</v>
      </c>
      <c r="AK5" s="37">
        <f t="shared" ca="1" si="23"/>
        <v>1.9568420144875027</v>
      </c>
      <c r="AL5" s="37">
        <f t="shared" ca="1" si="24"/>
        <v>4.0172838076931585</v>
      </c>
      <c r="AM5" s="37">
        <f t="shared" ca="1" si="25"/>
        <v>3.8975668951035995</v>
      </c>
      <c r="AN5" s="37">
        <f t="shared" ca="1" si="26"/>
        <v>0.38876975581532819</v>
      </c>
      <c r="AO5" s="37">
        <f t="shared" ca="1" si="27"/>
        <v>0.52645323158571566</v>
      </c>
      <c r="AP5" s="37">
        <f t="shared" ca="1" si="28"/>
        <v>1.4385499046116086</v>
      </c>
      <c r="AQ5" s="37">
        <f t="shared" ca="1" si="29"/>
        <v>3.1648097901455383</v>
      </c>
      <c r="AR5" s="37">
        <f t="shared" ca="1" si="30"/>
        <v>0.71927495230580429</v>
      </c>
      <c r="AS5" s="37">
        <f t="shared" ca="1" si="31"/>
        <v>6.6343967035309568</v>
      </c>
      <c r="AT5" s="37">
        <f t="shared" ca="1" si="32"/>
        <v>0.30263513925744112</v>
      </c>
      <c r="AU5" s="37">
        <f t="shared" ca="1" si="33"/>
        <v>0.88969304463407883</v>
      </c>
      <c r="AV5" s="37">
        <f t="shared" ca="1" si="34"/>
        <v>0.15131756962872056</v>
      </c>
      <c r="AW5" s="37">
        <f t="shared" ca="1" si="35"/>
        <v>1.006984933228126</v>
      </c>
      <c r="AX5" s="37">
        <f t="shared" ca="1" si="36"/>
        <v>2.1311850438690496</v>
      </c>
      <c r="AY5" s="37">
        <f t="shared" ca="1" si="37"/>
        <v>0.50349246661406299</v>
      </c>
      <c r="AZ5" s="37">
        <f t="shared" ca="1" si="38"/>
        <v>7.027962609672624</v>
      </c>
      <c r="BA5" s="37">
        <f t="shared" ca="1" si="39"/>
        <v>0.58897454024717388</v>
      </c>
      <c r="BB5" s="37">
        <f t="shared" ca="1" si="40"/>
        <v>1.534707397929616</v>
      </c>
      <c r="BC5" s="37">
        <f t="shared" ca="1" si="41"/>
        <v>0.29448727012358694</v>
      </c>
      <c r="BD5" s="37">
        <f t="shared" ca="1" si="42"/>
        <v>1.5504371194147335</v>
      </c>
      <c r="BE5" s="37">
        <f t="shared" ca="1" si="43"/>
        <v>1.854130988166073</v>
      </c>
      <c r="BF5" s="37">
        <f t="shared" ca="1" si="44"/>
        <v>6.1916350591215821</v>
      </c>
      <c r="BG5" s="37">
        <f t="shared" ca="1" si="45"/>
        <v>2.6435587599989625</v>
      </c>
      <c r="BH5" s="37">
        <f t="shared" ca="1" si="46"/>
        <v>0.56103898893110227</v>
      </c>
      <c r="BI5" s="37">
        <f t="shared" ca="1" si="47"/>
        <v>2.5840618656912224</v>
      </c>
      <c r="BJ5" s="37">
        <f t="shared" ca="1" si="48"/>
        <v>1.4065821289535727</v>
      </c>
      <c r="BK5" s="37">
        <f t="shared" ca="1" si="49"/>
        <v>2.6776537542852696</v>
      </c>
      <c r="BL5" s="37">
        <f t="shared" ca="1" si="50"/>
        <v>2.7076393208538736</v>
      </c>
      <c r="BM5" s="37">
        <f t="shared" ca="1" si="51"/>
        <v>0.12105405570297643</v>
      </c>
      <c r="BN5" s="37">
        <f t="shared" ca="1" si="52"/>
        <v>0.95903326974107228</v>
      </c>
      <c r="BO5" s="37">
        <f t="shared" ca="1" si="53"/>
        <v>0.36230145745773845</v>
      </c>
      <c r="BP5" s="37">
        <f t="shared" ca="1" si="54"/>
        <v>2.1435285959501504</v>
      </c>
      <c r="BQ5" s="37">
        <f t="shared" ca="1" si="55"/>
        <v>3.9937599160389943</v>
      </c>
      <c r="BR5" s="37">
        <f t="shared" ca="1" si="56"/>
        <v>0.31427495230580421</v>
      </c>
      <c r="BS5" s="37">
        <f t="shared" ca="1" si="57"/>
        <v>1.5131413811470251</v>
      </c>
      <c r="BT5" s="37">
        <f t="shared" ca="1" si="58"/>
        <v>1.3000228767601201</v>
      </c>
      <c r="BU5" s="37">
        <f t="shared" ca="1" si="59"/>
        <v>4.4346444067034261</v>
      </c>
      <c r="BV5" s="37">
        <f t="shared" ca="1" si="60"/>
        <v>2.7855265356569978</v>
      </c>
      <c r="BW5" s="37">
        <f t="shared" ca="1" si="61"/>
        <v>0.34453846623154832</v>
      </c>
      <c r="BX5" s="37">
        <f t="shared" ca="1" si="62"/>
        <v>2.8533528195270854</v>
      </c>
      <c r="BY5" s="37">
        <f t="shared" ca="1" si="63"/>
        <v>1.5092685196394371</v>
      </c>
      <c r="BZ5" s="37">
        <f t="shared" ca="1" si="64"/>
        <v>3.3208858984913752</v>
      </c>
      <c r="CA5" s="37">
        <f t="shared" ca="1" si="65"/>
        <v>1.5092685196394371</v>
      </c>
      <c r="CB5" s="37">
        <f t="shared" ca="1" si="66"/>
        <v>2.153720705826045</v>
      </c>
      <c r="CC5" s="37">
        <f t="shared" ca="1" si="67"/>
        <v>4.3869808126418235</v>
      </c>
      <c r="CD5" s="37">
        <f t="shared" ca="1" si="68"/>
        <v>2.153720705826045</v>
      </c>
      <c r="CE5" s="37">
        <f t="shared" ca="1" si="69"/>
        <v>1.756990652418156</v>
      </c>
    </row>
    <row r="6" spans="1:83" x14ac:dyDescent="0.25">
      <c r="A6" t="str">
        <f>PLANTILLA!D7</f>
        <v>Valeri Gomis</v>
      </c>
      <c r="B6">
        <f>PLANTILLA!E7</f>
        <v>17</v>
      </c>
      <c r="C6" s="33">
        <f ca="1">PLANTILLA!F7</f>
        <v>86</v>
      </c>
      <c r="D6" s="220" t="str">
        <f>PLANTILLA!G7</f>
        <v>IMP</v>
      </c>
      <c r="E6" s="30">
        <f>PLANTILLA!M7</f>
        <v>43051</v>
      </c>
      <c r="F6" s="47">
        <f>PLANTILLA!Q7</f>
        <v>6</v>
      </c>
      <c r="G6" s="48">
        <f t="shared" si="1"/>
        <v>0.92582009977255142</v>
      </c>
      <c r="H6" s="48">
        <f t="shared" si="2"/>
        <v>0.99928545900129484</v>
      </c>
      <c r="I6" s="51">
        <f t="shared" ca="1" si="3"/>
        <v>0.45968415657875772</v>
      </c>
      <c r="J6" s="39">
        <f>PLANTILLA!I7</f>
        <v>1.4</v>
      </c>
      <c r="K6" s="46">
        <f>PLANTILLA!X7</f>
        <v>0</v>
      </c>
      <c r="L6" s="46">
        <f>PLANTILLA!Y7</f>
        <v>6</v>
      </c>
      <c r="M6" s="46">
        <f>PLANTILLA!Z7</f>
        <v>3</v>
      </c>
      <c r="N6" s="46">
        <f>PLANTILLA!AA7</f>
        <v>3</v>
      </c>
      <c r="O6" s="46">
        <f>PLANTILLA!AB7</f>
        <v>5.4</v>
      </c>
      <c r="P6" s="46">
        <f>PLANTILLA!AC7</f>
        <v>4.33</v>
      </c>
      <c r="Q6" s="46">
        <f>PLANTILLA!AD7</f>
        <v>3</v>
      </c>
      <c r="R6" s="46">
        <f t="shared" ref="R6:R17" si="70">((2*(O6+1))+(L6+1))/8</f>
        <v>2.4750000000000001</v>
      </c>
      <c r="S6" s="46">
        <f t="shared" ref="S6:S17" si="71">(0.5*P6+ 0.3*Q6)/10</f>
        <v>0.30649999999999999</v>
      </c>
      <c r="T6" s="46">
        <f t="shared" ref="T6:T17" si="72">(0.4*L6+0.3*Q6)/10</f>
        <v>0.33</v>
      </c>
      <c r="U6" s="46">
        <f t="shared" ref="U6:U17" ca="1" si="73">IF(TODAY()-E6&gt;335,(Q6+1+(LOG(J6)*4/3))*(F6/7)^0.5,(Q6+((TODAY()-E6)^0.5)/(336^0.5)+(LOG(J6)*4/3))*(F6/7)^0.5)</f>
        <v>3.3834294944535181</v>
      </c>
      <c r="V6" s="46">
        <f t="shared" ref="V6:V17" ca="1" si="74">IF(F6=7,U6,IF(TODAY()-E6&gt;335,(Q6+1+(LOG(J6)*4/3))*((F6+0.99)/7)^0.5,(Q6+((TODAY()-E6)^0.5)/(336^0.5)+(LOG(J6)*4/3))*((F6+0.99)/7)^0.5))</f>
        <v>3.6519102320138921</v>
      </c>
      <c r="W6" s="37">
        <f t="shared" ref="W6:W17" ca="1" si="75">IF(TODAY()-E6&gt;335,((K6+1+(LOG(J6)*4/3))*0.597)+((L6+1+(LOG(J6)*4/3))*0.276),((K6+(((TODAY()-E6)^0.5)/(336^0.5))+(LOG(J6)*4/3))*0.597)+((L6+(((TODAY()-E6)^0.5)/(336^0.5))+(LOG(J6)*4/3))*0.276))</f>
        <v>2.2273973022227249</v>
      </c>
      <c r="X6" s="37">
        <f t="shared" ref="X6:X17" ca="1" si="76">IF(TODAY()-E6&gt;335,((K6+1+(LOG(J6)*4/3))*0.866)+((L6+1+(LOG(J6)*4/3))*0.425),((K6+(((TODAY()-E6)^0.5)/(336^0.5))+(LOG(J6)*4/3))*0.866)+((L6+(((TODAY()-E6)^0.5)/(336^0.5))+(LOG(J6)*4/3))*0.425))</f>
        <v>3.39498730489065</v>
      </c>
      <c r="Y6" s="37">
        <f t="shared" ref="Y6:Y17" ca="1" si="77">W6</f>
        <v>2.2273973022227249</v>
      </c>
      <c r="Z6" s="37">
        <f t="shared" ref="Z6:Z17" ca="1" si="78">IF(TODAY()-E6&gt;335,((L6+1+(LOG(J6)*4/3))*0.516),((L6+(((TODAY()-E6)^0.5)/(336^0.516))+(LOG(J6)*4/3))*0.516))</f>
        <v>3.4126525304811293</v>
      </c>
      <c r="AA6" s="37">
        <f t="shared" ref="AA6:AA17" ca="1" si="79">IF(TODAY()-E6&gt;335,((L6+1+(LOG(J6)*4/3))*1),((L6+(((TODAY()-E6)^0.5)/(336^0.5))+(LOG(J6)*4/3))*1))</f>
        <v>6.6545215374830757</v>
      </c>
      <c r="AB6" s="37">
        <f t="shared" ref="AB6:AB17" ca="1" si="80">Z6/2</f>
        <v>1.7063262652405646</v>
      </c>
      <c r="AC6" s="37">
        <f t="shared" ref="AC6:AC17" ca="1" si="81">IF(TODAY()-E6&gt;335,((M6+1+(LOG(J6)*4/3))*0.238),((M6+(((TODAY()-E6)^0.5)/(336^0.238))+(LOG(J6)*4/3))*0.238))</f>
        <v>1.2626414636159824</v>
      </c>
      <c r="AD6" s="37">
        <f t="shared" ref="AD6:AD17" ca="1" si="82">IF(TODAY()-E6&gt;335,((L6+1+(LOG(J6)*4/3))*0.378),((L6+(((TODAY()-E6)^0.5)/(336^0.516))+(LOG(J6)*4/3))*0.378))</f>
        <v>2.4999663886082693</v>
      </c>
      <c r="AE6" s="37">
        <f t="shared" ref="AE6:AE17" ca="1" si="83">IF(TODAY()-E6&gt;335,((L6+1+(LOG(J6)*4/3))*0.723),((L6+(((TODAY()-E6)^0.5)/(336^0.5))+(LOG(J6)*4/3))*0.723))</f>
        <v>4.8112190716002639</v>
      </c>
      <c r="AF6" s="37">
        <f t="shared" ref="AF6:AF17" ca="1" si="84">AD6/2</f>
        <v>1.2499831943041346</v>
      </c>
      <c r="AG6" s="37">
        <f t="shared" ref="AG6:AG17" ca="1" si="85">IF(TODAY()-E6&gt;335,((M6+1+(LOG(J6)*4/3))*0.385),((M6+(((TODAY()-E6)^0.5)/(336^0.238))+(LOG(J6)*4/3))*0.385))</f>
        <v>2.0425082499670304</v>
      </c>
      <c r="AH6" s="37">
        <f t="shared" ref="AH6:AH17" ca="1" si="86">IF(TODAY()-E6&gt;335,((L6+1+(LOG(J6)*4/3))*0.92),((L6+(((TODAY()-E6)^0.5)/(336^0.5))+(LOG(J6)*4/3))*0.92))</f>
        <v>6.12215981448443</v>
      </c>
      <c r="AI6" s="37">
        <f t="shared" ref="AI6:AI17" ca="1" si="87">IF(TODAY()-E6&gt;335,((L6+1+(LOG(J6)*4/3))*0.414),((L6+(((TODAY()-E6)^0.5)/(336^0.414))+(LOG(J6)*4/3))*0.414))</f>
        <v>2.8785147870826924</v>
      </c>
      <c r="AJ6" s="37">
        <f t="shared" ref="AJ6:AJ17" ca="1" si="88">IF(TODAY()-E6&gt;335,((M6+1+(LOG(J6)*4/3))*0.167),((M6+(((TODAY()-E6)^0.5)/(336^0.5))+(LOG(J6)*4/3))*0.167))</f>
        <v>0.61030509675967348</v>
      </c>
      <c r="AK6" s="37">
        <f t="shared" ref="AK6:AK17" ca="1" si="89">IF(TODAY()-E6&gt;335,((N6+1+(LOG(J6)*4/3))*0.588),((N6+(((TODAY()-E6)^0.5)/(336^0.5))+(LOG(J6)*4/3))*0.588))</f>
        <v>2.148858664040048</v>
      </c>
      <c r="AL6" s="37">
        <f t="shared" ref="AL6:AL17" ca="1" si="90">IF(TODAY()-E6&gt;335,((L6+1+(LOG(J6)*4/3))*0.754),((L6+(((TODAY()-E6)^0.5)/(336^0.5))+(LOG(J6)*4/3))*0.754))</f>
        <v>5.0175092392622389</v>
      </c>
      <c r="AM6" s="37">
        <f t="shared" ref="AM6:AM17" ca="1" si="91">IF(TODAY()-E6&gt;335,((L6+1+(LOG(J6)*4/3))*0.708),((L6+(((TODAY()-E6)^0.5)/(336^0.414))+(LOG(J6)*4/3))*0.708))</f>
        <v>4.9226774619675027</v>
      </c>
      <c r="AN6" s="37">
        <f t="shared" ref="AN6:AN17" ca="1" si="92">IF(TODAY()-E6&gt;335,((Q6+1+(LOG(J6)*4/3))*0.167),((Q6+(((TODAY()-E6)^0.5)/(336^0.5))+(LOG(J6)*4/3))*0.167))</f>
        <v>0.61030509675967348</v>
      </c>
      <c r="AO6" s="37">
        <f t="shared" ref="AO6:AO17" ca="1" si="93">IF(TODAY()-E6&gt;335,((R6+1+(LOG(J6)*4/3))*0.288),((R6+(((TODAY()-E6)^0.5)/(336^0.5))+(LOG(J6)*4/3))*0.288))</f>
        <v>0.90130220279512563</v>
      </c>
      <c r="AP6" s="37">
        <f t="shared" ref="AP6:AP17" ca="1" si="94">IF(TODAY()-E6&gt;335,((L6+1+(LOG(J6)*4/3))*0.27),((L6+(((TODAY()-E6)^0.5)/(336^0.5))+(LOG(J6)*4/3))*0.27))</f>
        <v>1.7967208151204306</v>
      </c>
      <c r="AQ6" s="37">
        <f t="shared" ref="AQ6:AQ17" ca="1" si="95">IF(TODAY()-E6&gt;335,((L6+1+(LOG(J6)*4/3))*0.594),((L6+(((TODAY()-E6)^0.5)/(336^0.5))+(LOG(J6)*4/3))*0.594))</f>
        <v>3.9527857932649466</v>
      </c>
      <c r="AR6" s="37">
        <f t="shared" ref="AR6:AR17" ca="1" si="96">AP6/2</f>
        <v>0.89836040756021529</v>
      </c>
      <c r="AS6" s="37">
        <f t="shared" ref="AS6:AS17" ca="1" si="97">IF(TODAY()-E6&gt;335,((M6+1+(LOG(J6)*4/3))*0.944),((M6+(((TODAY()-E6)^0.5)/(336^0.5))+(LOG(J6)*4/3))*0.944))</f>
        <v>3.4498683313840224</v>
      </c>
      <c r="AT6" s="37">
        <f t="shared" ref="AT6:AT17" ca="1" si="98">IF(TODAY()-E6&gt;335,((O6+1+(LOG(J6)*4/3))*0.13),((O6+(((TODAY()-E6)^0.5)/(336^0.5))+(LOG(J6)*4/3))*0.13))</f>
        <v>0.78708779987279986</v>
      </c>
      <c r="AU6" s="37">
        <f t="shared" ref="AU6:AU17" ca="1" si="99">IF(TODAY()-E6&gt;335,((P6+1+(LOG(J6)*4/3))*0.173)+((O6+1+(LOG(J6)*4/3))*0.12),((P6+(((TODAY()-E6)^0.5)/(336^0.5))+(LOG(J6)*4/3))*0.173)+((O6+(((TODAY()-E6)^0.5)/(336^0.5))+(LOG(J6)*4/3))*0.12))</f>
        <v>1.5888648104825411</v>
      </c>
      <c r="AV6" s="37">
        <f t="shared" ref="AV6:AV17" ca="1" si="100">AT6/2</f>
        <v>0.39354389993639993</v>
      </c>
      <c r="AW6" s="37">
        <f t="shared" ref="AW6:AW17" ca="1" si="101">IF(TODAY()-E6&gt;335,((L6+1+(LOG(J6)*4/3))*0.189),((L6+(((TODAY()-E6)^0.5)/(336^0.5))+(LOG(J6)*4/3))*0.189))</f>
        <v>1.2577045705843013</v>
      </c>
      <c r="AX6" s="37">
        <f t="shared" ref="AX6:AX17" ca="1" si="102">IF(TODAY()-E6&gt;335,((L6+1+(LOG(J6)*4/3))*0.4),((L6+(((TODAY()-E6)^0.5)/(336^0.5))+(LOG(J6)*4/3))*0.4))</f>
        <v>2.6618086149932303</v>
      </c>
      <c r="AY6" s="37">
        <f t="shared" ref="AY6:AY17" ca="1" si="103">AW6/2</f>
        <v>0.62885228529215065</v>
      </c>
      <c r="AZ6" s="37">
        <f t="shared" ref="AZ6:AZ17" ca="1" si="104">IF(TODAY()-E6&gt;335,((M6+1+(LOG(J6)*4/3))*1),((M6+(((TODAY()-E6)^0.5)/(336^0.5))+(LOG(J6)*4/3))*1))</f>
        <v>3.6545215374830748</v>
      </c>
      <c r="BA6" s="37">
        <f t="shared" ref="BA6:BA17" ca="1" si="105">IF(TODAY()-E6&gt;335,((O6+1+(LOG(J6)*4/3))*0.253),((O6+(((TODAY()-E6)^0.5)/(336^0.5))+(LOG(J6)*4/3))*0.253))</f>
        <v>1.5317939489832182</v>
      </c>
      <c r="BB6" s="37">
        <f t="shared" ref="BB6:BB17" ca="1" si="106">IF(TODAY()-E6&gt;335,((P6+1+(LOG(J6)*4/3))*0.21)+((O6+1+(LOG(J6)*4/3))*0.341),((P6+(((TODAY()-E6)^0.5)/(336^0.5))+(LOG(J6)*4/3))*0.21)+((O6+(((TODAY()-E6)^0.5)/(336^0.5))+(LOG(J6)*4/3))*0.341))</f>
        <v>3.1113413671531749</v>
      </c>
      <c r="BC6" s="37">
        <f t="shared" ref="BC6:BC17" ca="1" si="107">BA6/2</f>
        <v>0.76589697449160909</v>
      </c>
      <c r="BD6" s="37">
        <f t="shared" ref="BD6:BD17" ca="1" si="108">IF(TODAY()-E6&gt;335,((L6+1+(LOG(J6)*4/3))*0.291),((L6+(((TODAY()-E6)^0.5)/(336^0.5))+(LOG(J6)*4/3))*0.291))</f>
        <v>1.9364657674075749</v>
      </c>
      <c r="BE6" s="37">
        <f t="shared" ref="BE6:BE17" ca="1" si="109">IF(TODAY()-E6&gt;335,((L6+1+(LOG(J6)*4/3))*0.348),((L6+(((TODAY()-E6)^0.5)/(336^0.5))+(LOG(J6)*4/3))*0.348))</f>
        <v>2.3157734950441102</v>
      </c>
      <c r="BF6" s="37">
        <f t="shared" ref="BF6:BF17" ca="1" si="110">IF(TODAY()-E6&gt;335,((M6+1+(LOG(J6)*4/3))*0.881),((M6+(((TODAY()-E6)^0.5)/(336^0.5))+(LOG(J6)*4/3))*0.881))</f>
        <v>3.2196334745225887</v>
      </c>
      <c r="BG6" s="37">
        <f t="shared" ref="BG6:BG17" ca="1" si="111">IF(TODAY()-E6&gt;335,((N6+1+(LOG(J6)*4/3))*0.574)+((O6+1+(LOG(J6)*4/3))*0.315),((N6+(((TODAY()-E6)^0.5)/(336^0.5))+(LOG(J6)*4/3))*0.574)+((O6+(((TODAY()-E6)^0.5)/(336^0.5))+(LOG(J6)*4/3))*0.315))</f>
        <v>4.0048696468224536</v>
      </c>
      <c r="BH6" s="37">
        <f t="shared" ref="BH6:BH17" ca="1" si="112">IF(TODAY()-E6&gt;335,((O6+1+(LOG(J6)*4/3))*0.241),((O6+(((TODAY()-E6)^0.5)/(336^0.5))+(LOG(J6)*4/3))*0.241))</f>
        <v>1.4591396905334213</v>
      </c>
      <c r="BI6" s="37">
        <f t="shared" ref="BI6:BI17" ca="1" si="113">IF(TODAY()-E6&gt;335,((L6+1+(LOG(J6)*4/3))*0.485),((L6+(((TODAY()-E6)^0.5)/(336^0.5))+(LOG(J6)*4/3))*0.485))</f>
        <v>3.2274429456792917</v>
      </c>
      <c r="BJ6" s="37">
        <f t="shared" ref="BJ6:BJ17" ca="1" si="114">IF(TODAY()-E6&gt;335,((L6+1+(LOG(J6)*4/3))*0.264),((L6+(((TODAY()-E6)^0.5)/(336^0.5))+(LOG(J6)*4/3))*0.264))</f>
        <v>1.756793685895532</v>
      </c>
      <c r="BK6" s="37">
        <f t="shared" ref="BK6:BK17" ca="1" si="115">IF(TODAY()-E6&gt;335,((M6+1+(LOG(J6)*4/3))*0.381),((M6+(((TODAY()-E6)^0.5)/(336^0.5))+(LOG(J6)*4/3))*0.381))</f>
        <v>1.3923727057810515</v>
      </c>
      <c r="BL6" s="37">
        <f t="shared" ref="BL6:BL17" ca="1" si="116">IF(TODAY()-E6&gt;335,((N6+1+(LOG(J6)*4/3))*0.673)+((O6+1+(LOG(J6)*4/3))*0.201),((N6+(((TODAY()-E6)^0.5)/(336^0.5))+(LOG(J6)*4/3))*0.673)+((O6+(((TODAY()-E6)^0.5)/(336^0.5))+(LOG(J6)*4/3))*0.201))</f>
        <v>3.6764518237602077</v>
      </c>
      <c r="BM6" s="37">
        <f t="shared" ref="BM6:BM17" ca="1" si="117">IF(TODAY()-E6&gt;335,((O6+1+(LOG(J6)*4/3))*0.052),((O6+(((TODAY()-E6)^0.5)/(336^0.5))+(LOG(J6)*4/3))*0.052))</f>
        <v>0.31483511994911995</v>
      </c>
      <c r="BN6" s="37">
        <f t="shared" ref="BN6:BN17" ca="1" si="118">IF(TODAY()-E6&gt;335,((L6+1+(LOG(J6)*4/3))*0.18),((L6+(((TODAY()-E6)^0.5)/(336^0.5))+(LOG(J6)*4/3))*0.18))</f>
        <v>1.1978138767469535</v>
      </c>
      <c r="BO6" s="37">
        <f t="shared" ref="BO6:BO17" ca="1" si="119">IF(TODAY()-E6&gt;335,((L6+1+(LOG(J6)*4/3))*0.068),((L6+(((TODAY()-E6)^0.5)/(336^0.5))+(LOG(J6)*4/3))*0.068))</f>
        <v>0.45250746454884916</v>
      </c>
      <c r="BP6" s="37">
        <f t="shared" ref="BP6:BP17" ca="1" si="120">IF(TODAY()-E6&gt;335,((M6+1+(LOG(J6)*4/3))*0.305),((M6+(((TODAY()-E6)^0.5)/(336^0.5))+(LOG(J6)*4/3))*0.305))</f>
        <v>1.1146290689323377</v>
      </c>
      <c r="BQ6" s="37">
        <f t="shared" ref="BQ6:BQ17" ca="1" si="121">IF(TODAY()-E6&gt;335,((N6+1+(LOG(J6)*4/3))*1)+((O6+1+(LOG(J6)*4/3))*0.286),((N6+(((TODAY()-E6)^0.5)/(336^0.5))+(LOG(J6)*4/3))*1)+((O6+(((TODAY()-E6)^0.5)/(336^0.5))+(LOG(J6)*4/3))*0.286))</f>
        <v>5.3861146972032348</v>
      </c>
      <c r="BR6" s="37">
        <f t="shared" ref="BR6:BR17" ca="1" si="122">IF(TODAY()-E6&gt;335,((O6+1+(LOG(J6)*4/3))*0.135),((O6+(((TODAY()-E6)^0.5)/(336^0.5))+(LOG(J6)*4/3))*0.135))</f>
        <v>0.81736040756021533</v>
      </c>
      <c r="BS6" s="37">
        <f t="shared" ref="BS6:BS17" ca="1" si="123">IF(TODAY()-E6&gt;335,((L6+1+(LOG(J6)*4/3))*0.284),((L6+(((TODAY()-E6)^0.5)/(336^0.5))+(LOG(J6)*4/3))*0.284))</f>
        <v>1.8898841166451934</v>
      </c>
      <c r="BT6" s="37">
        <f t="shared" ref="BT6:BT17" ca="1" si="124">IF(TODAY()-E6&gt;335,((L6+1+(LOG(J6)*4/3))*0.244),((L6+(((TODAY()-E6)^0.5)/(336^0.5))+(LOG(J6)*4/3))*0.244))</f>
        <v>1.6237032551458705</v>
      </c>
      <c r="BU6" s="37">
        <f t="shared" ref="BU6:BU17" ca="1" si="125">IF(TODAY()-E6&gt;335,((M6+1+(LOG(J6)*4/3))*0.631),((M6+(((TODAY()-E6)^0.5)/(336^0.5))+(LOG(J6)*4/3))*0.631))</f>
        <v>2.3060030901518203</v>
      </c>
      <c r="BV6" s="37">
        <f t="shared" ref="BV6:BV17" ca="1" si="126">IF(TODAY()-E6&gt;335,((N6+1+(LOG(J6)*4/3))*0.702)+((O6+1+(LOG(J6)*4/3))*0.193),((N6+(((TODAY()-E6)^0.5)/(336^0.5))+(LOG(J6)*4/3))*0.702)+((O6+(((TODAY()-E6)^0.5)/(336^0.5))+(LOG(J6)*4/3))*0.193))</f>
        <v>3.733996776047352</v>
      </c>
      <c r="BW6" s="37">
        <f t="shared" ref="BW6:BW17" ca="1" si="127">IF(TODAY()-E6&gt;335,((O6+1+(LOG(J6)*4/3))*0.148),((O6+(((TODAY()-E6)^0.5)/(336^0.5))+(LOG(J6)*4/3))*0.148))</f>
        <v>0.89606918754749521</v>
      </c>
      <c r="BX6" s="37">
        <f t="shared" ref="BX6:BX17" ca="1" si="128">IF(TODAY()-E6&gt;335,((M6+1+(LOG(J6)*4/3))*0.406),((M6+(((TODAY()-E6)^0.5)/(336^0.5))+(LOG(J6)*4/3))*0.406))</f>
        <v>1.4837357442181285</v>
      </c>
      <c r="BY6" s="37">
        <f t="shared" ref="BY6:BY17" ca="1" si="129">IF(D6="TEC",IF(TODAY()-E6&gt;335,((N6+1+(LOG(J6)*4/3))*0.15)+((O6+1+(LOG(J6)*4/3))*0.324)+((P6+1+(LOG(J6)*4/3))*0.127),((N6+(((TODAY()-E6)^0.5)/(336^0.5))+(LOG(J6)*4/3))*0.15)+((O6+(((TODAY()-E6)^0.5)/(336^0.5))+(LOG(J6)*4/3))*0.324)+((P6+(((TODAY()-E6)^0.5)/(336^0.5))+(LOG(J6)*4/3))*0.127)),IF(TODAY()-E6&gt;335,((N6+1+(LOG(J6)*4/3))*0.144)+((O6+1+(LOG(J6)*4/3))*0.25)+((P6+1+(LOG(J6)*4/3))*0.127),((N6+(((TODAY()-E6)^0.5)/(336^0.5))+(LOG(J6)*4/3))*0.144)+((O6+(((TODAY()-E6)^0.5)/(336^0.5))+(LOG(J6)*4/3))*0.25)+((P6+(((TODAY()-E6)^0.5)/(336^0.5))+(LOG(J6)*4/3))*0.127)))</f>
        <v>2.6729157210286822</v>
      </c>
      <c r="BZ6" s="37">
        <f t="shared" ref="BZ6:BZ17" ca="1" si="130">IF(D6="TEC",IF(TODAY()-E6&gt;335,((O6+1+(LOG(J6)*4/3))*0.543)+((P6+1+(LOG(J6)*4/3))*0.583),((O6+(((TODAY()-E6)^0.5)/(336^0.5))+(LOG(J6)*4/3))*0.543)+((P6+(((TODAY()-E6)^0.5)/(336^0.5))+(LOG(J6)*4/3))*0.583)),IF(TODAY()-E6&gt;335,((O6+1+(LOG(J6)*4/3))*0.543)+((P6+1+(LOG(J6)*4/3))*0.583),((O6+(((TODAY()-E6)^0.5)/(336^0.5))+(LOG(J6)*4/3))*0.543)+((P6+(((TODAY()-E6)^0.5)/(336^0.5))+(LOG(J6)*4/3))*0.583)))</f>
        <v>6.1935812512059432</v>
      </c>
      <c r="CA6" s="37">
        <f t="shared" ref="CA6:CA17" ca="1" si="131">BY6</f>
        <v>2.6729157210286822</v>
      </c>
      <c r="CB6" s="37">
        <f t="shared" ref="CB6:CB17" ca="1" si="132">IF(TODAY()-E6&gt;335,((P6+1+(LOG(J6)*4/3))*0.26)+((N6+1+(LOG(J6)*4/3))*0.221)+((O6+1+(LOG(J6)*4/3))*0.142),((P6+(((TODAY()-E6)^0.5)/(336^0.5))+(LOG(J6)*4/3))*0.26)+((N6+(((TODAY()-E6)^0.5)/(336^0.5))+(LOG(J6)*4/3))*0.221)+((P6+(((TODAY()-E6)^0.5)/(336^0.5))+(LOG(J6)*4/3))*0.142))</f>
        <v>2.8114269178519558</v>
      </c>
      <c r="CC6" s="37">
        <f t="shared" ref="CC6:CC17" ca="1" si="133">IF(TODAY()-E6&gt;335,((P6+1+(LOG(J6)*4/3))*1)+((O6+1+(LOG(J6)*4/3))*0.369),((P6+(((TODAY()-E6)^0.5)/(336^0.5))+(LOG(J6)*4/3))*1)+((O6+(((TODAY()-E6)^0.5)/(336^0.5))+(LOG(J6)*4/3))*0.369))</f>
        <v>7.218639984814331</v>
      </c>
      <c r="CD6" s="37">
        <f t="shared" ref="CD6:CD17" ca="1" si="134">CB6</f>
        <v>2.8114269178519558</v>
      </c>
      <c r="CE6" s="37">
        <f t="shared" ref="CE6:CE17" ca="1" si="135">IF(TODAY()-E6&gt;335,((M6+1+(LOG(J6)*4/3))*0.25),((M6+(((TODAY()-E6)^0.5)/(336^0.5))+(LOG(J6)*4/3))*0.25))</f>
        <v>0.91363038437076871</v>
      </c>
    </row>
    <row r="7" spans="1:83" x14ac:dyDescent="0.25">
      <c r="A7" t="str">
        <f>PLANTILLA!D8</f>
        <v>J. G. de Minaya</v>
      </c>
      <c r="B7">
        <f>PLANTILLA!E8</f>
        <v>17</v>
      </c>
      <c r="C7" s="33">
        <f ca="1">PLANTILLA!F8</f>
        <v>96</v>
      </c>
      <c r="D7" s="220" t="str">
        <f>PLANTILLA!G8</f>
        <v>TEC</v>
      </c>
      <c r="E7" s="30">
        <f>PLANTILLA!M8</f>
        <v>43081</v>
      </c>
      <c r="F7" s="47">
        <f>PLANTILLA!Q8</f>
        <v>7</v>
      </c>
      <c r="G7" s="48">
        <f t="shared" si="1"/>
        <v>1</v>
      </c>
      <c r="H7" s="48">
        <f t="shared" si="2"/>
        <v>1</v>
      </c>
      <c r="I7" s="51">
        <f t="shared" ca="1" si="3"/>
        <v>0.34931906550288594</v>
      </c>
      <c r="J7" s="39">
        <f>PLANTILLA!I8</f>
        <v>1.5</v>
      </c>
      <c r="K7" s="46">
        <f>PLANTILLA!X8</f>
        <v>0</v>
      </c>
      <c r="L7" s="46">
        <f>PLANTILLA!Y8</f>
        <v>6</v>
      </c>
      <c r="M7" s="46">
        <f>PLANTILLA!Z8</f>
        <v>5</v>
      </c>
      <c r="N7" s="46">
        <f>PLANTILLA!AA8</f>
        <v>6</v>
      </c>
      <c r="O7" s="46">
        <f>PLANTILLA!AB8</f>
        <v>6</v>
      </c>
      <c r="P7" s="46">
        <f>PLANTILLA!AC8</f>
        <v>6</v>
      </c>
      <c r="Q7" s="46">
        <f>PLANTILLA!AD8</f>
        <v>0</v>
      </c>
      <c r="R7" s="46">
        <f t="shared" si="70"/>
        <v>2.625</v>
      </c>
      <c r="S7" s="46">
        <f t="shared" si="71"/>
        <v>0.3</v>
      </c>
      <c r="T7" s="46">
        <f t="shared" si="72"/>
        <v>0.24000000000000005</v>
      </c>
      <c r="U7" s="46">
        <f t="shared" ca="1" si="73"/>
        <v>0.58410741091046092</v>
      </c>
      <c r="V7" s="46">
        <f t="shared" ca="1" si="74"/>
        <v>0.58410741091046092</v>
      </c>
      <c r="W7" s="37">
        <f t="shared" ca="1" si="75"/>
        <v>2.1659257697248324</v>
      </c>
      <c r="X7" s="37">
        <f t="shared" ca="1" si="76"/>
        <v>3.3040826674854049</v>
      </c>
      <c r="Y7" s="37">
        <f t="shared" ca="1" si="77"/>
        <v>2.1659257697248324</v>
      </c>
      <c r="Z7" s="37">
        <f t="shared" ca="1" si="78"/>
        <v>3.3813800563844874</v>
      </c>
      <c r="AA7" s="37">
        <f t="shared" ca="1" si="79"/>
        <v>6.5841074109104607</v>
      </c>
      <c r="AB7" s="37">
        <f t="shared" ca="1" si="80"/>
        <v>1.6906900281922437</v>
      </c>
      <c r="AC7" s="37">
        <f t="shared" ca="1" si="81"/>
        <v>1.6275602711492416</v>
      </c>
      <c r="AD7" s="37">
        <f t="shared" ca="1" si="82"/>
        <v>2.4770574831653804</v>
      </c>
      <c r="AE7" s="37">
        <f t="shared" ca="1" si="83"/>
        <v>4.7603096580882633</v>
      </c>
      <c r="AF7" s="37">
        <f t="shared" ca="1" si="84"/>
        <v>1.2385287415826902</v>
      </c>
      <c r="AG7" s="37">
        <f t="shared" ca="1" si="85"/>
        <v>2.6328180856825969</v>
      </c>
      <c r="AH7" s="37">
        <f t="shared" ca="1" si="86"/>
        <v>6.0573788180376242</v>
      </c>
      <c r="AI7" s="37">
        <f t="shared" ca="1" si="87"/>
        <v>2.8197020593738418</v>
      </c>
      <c r="AJ7" s="37">
        <f t="shared" ca="1" si="88"/>
        <v>0.93254593762204696</v>
      </c>
      <c r="AK7" s="37">
        <f t="shared" ca="1" si="89"/>
        <v>3.8714551576153506</v>
      </c>
      <c r="AL7" s="37">
        <f t="shared" ca="1" si="90"/>
        <v>4.9644169878264872</v>
      </c>
      <c r="AM7" s="37">
        <f t="shared" ca="1" si="91"/>
        <v>4.8220991740016421</v>
      </c>
      <c r="AN7" s="37">
        <f t="shared" ca="1" si="92"/>
        <v>9.7545937622046983E-2</v>
      </c>
      <c r="AO7" s="37">
        <f t="shared" ca="1" si="93"/>
        <v>0.9242229343422127</v>
      </c>
      <c r="AP7" s="37">
        <f t="shared" ca="1" si="94"/>
        <v>1.7777090009458245</v>
      </c>
      <c r="AQ7" s="37">
        <f t="shared" ca="1" si="95"/>
        <v>3.9109598020808134</v>
      </c>
      <c r="AR7" s="37">
        <f t="shared" ca="1" si="96"/>
        <v>0.88885450047291226</v>
      </c>
      <c r="AS7" s="37">
        <f t="shared" ca="1" si="97"/>
        <v>5.2713973958994744</v>
      </c>
      <c r="AT7" s="37">
        <f t="shared" ca="1" si="98"/>
        <v>0.85593396341835992</v>
      </c>
      <c r="AU7" s="37">
        <f t="shared" ca="1" si="99"/>
        <v>1.929143471396765</v>
      </c>
      <c r="AV7" s="37">
        <f t="shared" ca="1" si="100"/>
        <v>0.42796698170917996</v>
      </c>
      <c r="AW7" s="37">
        <f t="shared" ca="1" si="101"/>
        <v>1.2443963006620771</v>
      </c>
      <c r="AX7" s="37">
        <f t="shared" ca="1" si="102"/>
        <v>2.6336429643641845</v>
      </c>
      <c r="AY7" s="37">
        <f t="shared" ca="1" si="103"/>
        <v>0.62219815033103854</v>
      </c>
      <c r="AZ7" s="37">
        <f t="shared" ca="1" si="104"/>
        <v>5.5841074109104607</v>
      </c>
      <c r="BA7" s="37">
        <f t="shared" ca="1" si="105"/>
        <v>1.6657791749603466</v>
      </c>
      <c r="BB7" s="37">
        <f t="shared" ca="1" si="106"/>
        <v>3.627843183411664</v>
      </c>
      <c r="BC7" s="37">
        <f t="shared" ca="1" si="107"/>
        <v>0.83288958748017328</v>
      </c>
      <c r="BD7" s="37">
        <f t="shared" ca="1" si="108"/>
        <v>1.9159752565749439</v>
      </c>
      <c r="BE7" s="37">
        <f t="shared" ca="1" si="109"/>
        <v>2.2912693789968404</v>
      </c>
      <c r="BF7" s="37">
        <f t="shared" ca="1" si="110"/>
        <v>4.9195986290121159</v>
      </c>
      <c r="BG7" s="37">
        <f t="shared" ca="1" si="111"/>
        <v>5.8532714882993986</v>
      </c>
      <c r="BH7" s="37">
        <f t="shared" ca="1" si="112"/>
        <v>1.586769886029421</v>
      </c>
      <c r="BI7" s="37">
        <f t="shared" ca="1" si="113"/>
        <v>3.1932920942915732</v>
      </c>
      <c r="BJ7" s="37">
        <f t="shared" ca="1" si="114"/>
        <v>1.7382043564803618</v>
      </c>
      <c r="BK7" s="37">
        <f t="shared" ca="1" si="115"/>
        <v>2.1275449235568855</v>
      </c>
      <c r="BL7" s="37">
        <f t="shared" ca="1" si="116"/>
        <v>5.7545098771357424</v>
      </c>
      <c r="BM7" s="37">
        <f t="shared" ca="1" si="117"/>
        <v>0.34237358536734391</v>
      </c>
      <c r="BN7" s="37">
        <f t="shared" ca="1" si="118"/>
        <v>1.1851393339638829</v>
      </c>
      <c r="BO7" s="37">
        <f t="shared" ca="1" si="119"/>
        <v>0.44771930394191134</v>
      </c>
      <c r="BP7" s="37">
        <f t="shared" ca="1" si="120"/>
        <v>1.7031527603276906</v>
      </c>
      <c r="BQ7" s="37">
        <f t="shared" ca="1" si="121"/>
        <v>8.467162130430852</v>
      </c>
      <c r="BR7" s="37">
        <f t="shared" ca="1" si="122"/>
        <v>0.88885450047291226</v>
      </c>
      <c r="BS7" s="37">
        <f t="shared" ca="1" si="123"/>
        <v>1.8698865046985707</v>
      </c>
      <c r="BT7" s="37">
        <f t="shared" ca="1" si="124"/>
        <v>1.6065222082621524</v>
      </c>
      <c r="BU7" s="37">
        <f t="shared" ca="1" si="125"/>
        <v>3.5235717762845007</v>
      </c>
      <c r="BV7" s="37">
        <f t="shared" ca="1" si="126"/>
        <v>5.8927761327648618</v>
      </c>
      <c r="BW7" s="37">
        <f t="shared" ca="1" si="127"/>
        <v>0.97444789681474808</v>
      </c>
      <c r="BX7" s="37">
        <f t="shared" ca="1" si="128"/>
        <v>2.2671476088296472</v>
      </c>
      <c r="BY7" s="37">
        <f t="shared" ca="1" si="129"/>
        <v>3.9570485539571867</v>
      </c>
      <c r="BZ7" s="37">
        <f t="shared" ca="1" si="130"/>
        <v>7.413704944685179</v>
      </c>
      <c r="CA7" s="37">
        <f t="shared" ca="1" si="131"/>
        <v>3.9570485539571867</v>
      </c>
      <c r="CB7" s="37">
        <f t="shared" ca="1" si="132"/>
        <v>4.1018989169972171</v>
      </c>
      <c r="CC7" s="37">
        <f t="shared" ca="1" si="133"/>
        <v>9.0136430455364209</v>
      </c>
      <c r="CD7" s="37">
        <f t="shared" ca="1" si="134"/>
        <v>4.1018989169972171</v>
      </c>
      <c r="CE7" s="37">
        <f t="shared" ca="1" si="135"/>
        <v>1.3960268527276152</v>
      </c>
    </row>
    <row r="8" spans="1:83" x14ac:dyDescent="0.25">
      <c r="A8" t="str">
        <f>PLANTILLA!D9</f>
        <v>Roberto Montero</v>
      </c>
      <c r="B8">
        <f>PLANTILLA!E9</f>
        <v>18</v>
      </c>
      <c r="C8" s="33">
        <f ca="1">PLANTILLA!F9</f>
        <v>18</v>
      </c>
      <c r="D8" s="220" t="str">
        <f>PLANTILLA!G9</f>
        <v>TEC</v>
      </c>
      <c r="E8" s="30">
        <f>PLANTILLA!M9</f>
        <v>43046</v>
      </c>
      <c r="F8" s="47">
        <f>PLANTILLA!Q9</f>
        <v>6</v>
      </c>
      <c r="G8" s="48">
        <f t="shared" si="1"/>
        <v>0.92582009977255142</v>
      </c>
      <c r="H8" s="48">
        <f t="shared" si="2"/>
        <v>0.99928545900129484</v>
      </c>
      <c r="I8" s="51">
        <f t="shared" ca="1" si="3"/>
        <v>0.47559486560567099</v>
      </c>
      <c r="J8" s="39">
        <f>PLANTILLA!I9</f>
        <v>0.5</v>
      </c>
      <c r="K8" s="46">
        <f>PLANTILLA!X9</f>
        <v>0</v>
      </c>
      <c r="L8" s="46">
        <f>PLANTILLA!Y9</f>
        <v>6</v>
      </c>
      <c r="M8" s="46">
        <f>PLANTILLA!Z9</f>
        <v>4</v>
      </c>
      <c r="N8" s="46">
        <f>PLANTILLA!AA9</f>
        <v>4</v>
      </c>
      <c r="O8" s="46">
        <f>PLANTILLA!AB9</f>
        <v>3.3028</v>
      </c>
      <c r="P8" s="46">
        <f>PLANTILLA!AC9</f>
        <v>3.5966666666666676</v>
      </c>
      <c r="Q8" s="46">
        <f>PLANTILLA!AD9</f>
        <v>6</v>
      </c>
      <c r="R8" s="46">
        <f t="shared" si="70"/>
        <v>1.9506999999999999</v>
      </c>
      <c r="S8" s="46">
        <f t="shared" si="71"/>
        <v>0.35983333333333334</v>
      </c>
      <c r="T8" s="46">
        <f t="shared" si="72"/>
        <v>0.42000000000000004</v>
      </c>
      <c r="U8" s="46">
        <f t="shared" ca="1" si="73"/>
        <v>5.6236363904014528</v>
      </c>
      <c r="V8" s="46">
        <f t="shared" ca="1" si="74"/>
        <v>6.0698812577295378</v>
      </c>
      <c r="W8" s="37">
        <f t="shared" ca="1" si="75"/>
        <v>1.7207954027208767</v>
      </c>
      <c r="X8" s="37">
        <f t="shared" ca="1" si="76"/>
        <v>2.6458200056273213</v>
      </c>
      <c r="Y8" s="37">
        <f t="shared" ca="1" si="77"/>
        <v>1.7207954027208767</v>
      </c>
      <c r="Z8" s="37">
        <f t="shared" ca="1" si="78"/>
        <v>3.1124880840927216</v>
      </c>
      <c r="AA8" s="37">
        <f t="shared" ca="1" si="79"/>
        <v>6.0742215380536955</v>
      </c>
      <c r="AB8" s="37">
        <f t="shared" ca="1" si="80"/>
        <v>1.5562440420463608</v>
      </c>
      <c r="AC8" s="37">
        <f t="shared" ca="1" si="81"/>
        <v>1.3761280222312537</v>
      </c>
      <c r="AD8" s="37">
        <f t="shared" ca="1" si="82"/>
        <v>2.2800784802074587</v>
      </c>
      <c r="AE8" s="37">
        <f t="shared" ca="1" si="83"/>
        <v>4.3916621720128219</v>
      </c>
      <c r="AF8" s="37">
        <f t="shared" ca="1" si="84"/>
        <v>1.1400392401037294</v>
      </c>
      <c r="AG8" s="37">
        <f t="shared" ca="1" si="85"/>
        <v>2.2260894477270283</v>
      </c>
      <c r="AH8" s="37">
        <f t="shared" ca="1" si="86"/>
        <v>5.5882838150094001</v>
      </c>
      <c r="AI8" s="37">
        <f t="shared" ca="1" si="87"/>
        <v>2.6425466856742306</v>
      </c>
      <c r="AJ8" s="37">
        <f t="shared" ca="1" si="88"/>
        <v>0.68039499685496718</v>
      </c>
      <c r="AK8" s="37">
        <f t="shared" ca="1" si="89"/>
        <v>2.3956422643755726</v>
      </c>
      <c r="AL8" s="37">
        <f t="shared" ca="1" si="90"/>
        <v>4.579963039692486</v>
      </c>
      <c r="AM8" s="37">
        <f t="shared" ca="1" si="91"/>
        <v>4.5191378102834667</v>
      </c>
      <c r="AN8" s="37">
        <f t="shared" ca="1" si="92"/>
        <v>1.0143949968549673</v>
      </c>
      <c r="AO8" s="37">
        <f t="shared" ca="1" si="93"/>
        <v>0.58317740295946452</v>
      </c>
      <c r="AP8" s="37">
        <f t="shared" ca="1" si="94"/>
        <v>1.6400398152744979</v>
      </c>
      <c r="AQ8" s="37">
        <f t="shared" ca="1" si="95"/>
        <v>3.6080875936038947</v>
      </c>
      <c r="AR8" s="37">
        <f t="shared" ca="1" si="96"/>
        <v>0.82001990763724897</v>
      </c>
      <c r="AS8" s="37">
        <f t="shared" ca="1" si="97"/>
        <v>3.8460651319226882</v>
      </c>
      <c r="AT8" s="37">
        <f t="shared" ca="1" si="98"/>
        <v>0.43901279994698056</v>
      </c>
      <c r="AU8" s="37">
        <f t="shared" ca="1" si="99"/>
        <v>1.0403062439830664</v>
      </c>
      <c r="AV8" s="37">
        <f t="shared" ca="1" si="100"/>
        <v>0.21950639997349028</v>
      </c>
      <c r="AW8" s="37">
        <f t="shared" ca="1" si="101"/>
        <v>1.1480278706921485</v>
      </c>
      <c r="AX8" s="37">
        <f t="shared" ca="1" si="102"/>
        <v>2.4296886152214783</v>
      </c>
      <c r="AY8" s="37">
        <f t="shared" ca="1" si="103"/>
        <v>0.57401393534607426</v>
      </c>
      <c r="AZ8" s="37">
        <f t="shared" ca="1" si="104"/>
        <v>4.0742215380536955</v>
      </c>
      <c r="BA8" s="37">
        <f t="shared" ca="1" si="105"/>
        <v>0.85438644912758521</v>
      </c>
      <c r="BB8" s="37">
        <f t="shared" ca="1" si="106"/>
        <v>1.9224508674675871</v>
      </c>
      <c r="BC8" s="37">
        <f t="shared" ca="1" si="107"/>
        <v>0.42719322456379261</v>
      </c>
      <c r="BD8" s="37">
        <f t="shared" ca="1" si="108"/>
        <v>1.7675984675736254</v>
      </c>
      <c r="BE8" s="37">
        <f t="shared" ca="1" si="109"/>
        <v>2.1138290952426857</v>
      </c>
      <c r="BF8" s="37">
        <f t="shared" ca="1" si="110"/>
        <v>3.5893891750253055</v>
      </c>
      <c r="BG8" s="37">
        <f t="shared" ca="1" si="111"/>
        <v>3.402364947329735</v>
      </c>
      <c r="BH8" s="37">
        <f t="shared" ca="1" si="112"/>
        <v>0.81386219067094079</v>
      </c>
      <c r="BI8" s="37">
        <f t="shared" ca="1" si="113"/>
        <v>2.9459974459560421</v>
      </c>
      <c r="BJ8" s="37">
        <f t="shared" ca="1" si="114"/>
        <v>1.6035944860461757</v>
      </c>
      <c r="BK8" s="37">
        <f t="shared" ca="1" si="115"/>
        <v>1.552278405998458</v>
      </c>
      <c r="BL8" s="37">
        <f t="shared" ca="1" si="116"/>
        <v>3.4207324242589303</v>
      </c>
      <c r="BM8" s="37">
        <f t="shared" ca="1" si="117"/>
        <v>0.17560511997879219</v>
      </c>
      <c r="BN8" s="37">
        <f t="shared" ca="1" si="118"/>
        <v>1.0933598768496651</v>
      </c>
      <c r="BO8" s="37">
        <f t="shared" ca="1" si="119"/>
        <v>0.41304706458765134</v>
      </c>
      <c r="BP8" s="37">
        <f t="shared" ca="1" si="120"/>
        <v>1.2426375691063771</v>
      </c>
      <c r="BQ8" s="37">
        <f t="shared" ca="1" si="121"/>
        <v>5.0400496979370528</v>
      </c>
      <c r="BR8" s="37">
        <f t="shared" ca="1" si="122"/>
        <v>0.45589790763724902</v>
      </c>
      <c r="BS8" s="37">
        <f t="shared" ca="1" si="123"/>
        <v>1.7250789168072493</v>
      </c>
      <c r="BT8" s="37">
        <f t="shared" ca="1" si="124"/>
        <v>1.4821100552851016</v>
      </c>
      <c r="BU8" s="37">
        <f t="shared" ca="1" si="125"/>
        <v>2.5708337905118817</v>
      </c>
      <c r="BV8" s="37">
        <f t="shared" ca="1" si="126"/>
        <v>3.5118686765580573</v>
      </c>
      <c r="BW8" s="37">
        <f t="shared" ca="1" si="127"/>
        <v>0.49979918763194703</v>
      </c>
      <c r="BX8" s="37">
        <f t="shared" ca="1" si="128"/>
        <v>1.6541339444498004</v>
      </c>
      <c r="BY8" s="37">
        <f t="shared" ca="1" si="129"/>
        <v>2.1714910110369381</v>
      </c>
      <c r="BZ8" s="37">
        <f t="shared" ca="1" si="130"/>
        <v>3.9738505185151292</v>
      </c>
      <c r="CA8" s="37">
        <f t="shared" ca="1" si="131"/>
        <v>2.1714910110369381</v>
      </c>
      <c r="CB8" s="37">
        <f t="shared" ca="1" si="132"/>
        <v>2.376100018207453</v>
      </c>
      <c r="CC8" s="37">
        <f t="shared" ca="1" si="133"/>
        <v>4.9170091522621773</v>
      </c>
      <c r="CD8" s="37">
        <f t="shared" ca="1" si="134"/>
        <v>2.376100018207453</v>
      </c>
      <c r="CE8" s="37">
        <f t="shared" ca="1" si="135"/>
        <v>1.0185553845134239</v>
      </c>
    </row>
    <row r="9" spans="1:83" x14ac:dyDescent="0.25">
      <c r="A9" t="str">
        <f>PLANTILLA!D10</f>
        <v>Eckardt Hägerling</v>
      </c>
      <c r="B9">
        <f>PLANTILLA!E10</f>
        <v>17</v>
      </c>
      <c r="C9" s="33">
        <f ca="1">PLANTILLA!F10</f>
        <v>82</v>
      </c>
      <c r="D9" s="220" t="str">
        <f>PLANTILLA!G10</f>
        <v>IMP</v>
      </c>
      <c r="E9" s="30">
        <f>PLANTILLA!M10</f>
        <v>43045</v>
      </c>
      <c r="F9" s="47">
        <f>PLANTILLA!Q10</f>
        <v>7</v>
      </c>
      <c r="G9" s="48">
        <f t="shared" si="1"/>
        <v>1</v>
      </c>
      <c r="H9" s="48">
        <f t="shared" si="2"/>
        <v>1</v>
      </c>
      <c r="I9" s="51">
        <f t="shared" ca="1" si="3"/>
        <v>0.47871355387816911</v>
      </c>
      <c r="J9" s="39">
        <f>PLANTILLA!I10</f>
        <v>1.3</v>
      </c>
      <c r="K9" s="46">
        <f>PLANTILLA!X10</f>
        <v>0</v>
      </c>
      <c r="L9" s="46">
        <f>PLANTILLA!Y10</f>
        <v>5</v>
      </c>
      <c r="M9" s="46">
        <f>PLANTILLA!Z10</f>
        <v>3</v>
      </c>
      <c r="N9" s="46">
        <f>PLANTILLA!AA10</f>
        <v>4</v>
      </c>
      <c r="O9" s="46">
        <f>PLANTILLA!AB10</f>
        <v>2.4356</v>
      </c>
      <c r="P9" s="46">
        <f>PLANTILLA!AC10</f>
        <v>4.0633333333333344</v>
      </c>
      <c r="Q9" s="46">
        <f>PLANTILLA!AD10</f>
        <v>3</v>
      </c>
      <c r="R9" s="46">
        <f t="shared" si="70"/>
        <v>1.6089</v>
      </c>
      <c r="S9" s="46">
        <f t="shared" si="71"/>
        <v>0.29316666666666669</v>
      </c>
      <c r="T9" s="46">
        <f t="shared" si="72"/>
        <v>0.28999999999999998</v>
      </c>
      <c r="U9" s="46">
        <f t="shared" ca="1" si="73"/>
        <v>3.6306380236206182</v>
      </c>
      <c r="V9" s="46">
        <f t="shared" ca="1" si="74"/>
        <v>3.6306380236206182</v>
      </c>
      <c r="W9" s="37">
        <f t="shared" ca="1" si="75"/>
        <v>1.9305469946207998</v>
      </c>
      <c r="X9" s="37">
        <f t="shared" ca="1" si="76"/>
        <v>2.9391536884942178</v>
      </c>
      <c r="Y9" s="37">
        <f t="shared" ca="1" si="77"/>
        <v>1.9305469946207998</v>
      </c>
      <c r="Z9" s="37">
        <f t="shared" ca="1" si="78"/>
        <v>2.8834559712141887</v>
      </c>
      <c r="AA9" s="37">
        <f t="shared" ca="1" si="79"/>
        <v>5.6306380236206177</v>
      </c>
      <c r="AB9" s="37">
        <f t="shared" ca="1" si="80"/>
        <v>1.4417279856070944</v>
      </c>
      <c r="AC9" s="37">
        <f t="shared" ca="1" si="81"/>
        <v>1.2732205074446212</v>
      </c>
      <c r="AD9" s="37">
        <f t="shared" ca="1" si="82"/>
        <v>2.1122991417034171</v>
      </c>
      <c r="AE9" s="37">
        <f t="shared" ca="1" si="83"/>
        <v>4.0709512910777068</v>
      </c>
      <c r="AF9" s="37">
        <f t="shared" ca="1" si="84"/>
        <v>1.0561495708517086</v>
      </c>
      <c r="AG9" s="37">
        <f t="shared" ca="1" si="85"/>
        <v>2.059621409101593</v>
      </c>
      <c r="AH9" s="37">
        <f t="shared" ca="1" si="86"/>
        <v>5.1801869817309685</v>
      </c>
      <c r="AI9" s="37">
        <f t="shared" ca="1" si="87"/>
        <v>2.459741276852951</v>
      </c>
      <c r="AJ9" s="37">
        <f t="shared" ca="1" si="88"/>
        <v>0.60631654994464323</v>
      </c>
      <c r="AK9" s="37">
        <f t="shared" ca="1" si="89"/>
        <v>2.722815157888923</v>
      </c>
      <c r="AL9" s="37">
        <f t="shared" ca="1" si="90"/>
        <v>4.2455010698099453</v>
      </c>
      <c r="AM9" s="37">
        <f t="shared" ca="1" si="91"/>
        <v>4.2065140676615682</v>
      </c>
      <c r="AN9" s="37">
        <f t="shared" ca="1" si="92"/>
        <v>0.60631654994464323</v>
      </c>
      <c r="AO9" s="37">
        <f t="shared" ca="1" si="93"/>
        <v>0.64498695080273805</v>
      </c>
      <c r="AP9" s="37">
        <f t="shared" ca="1" si="94"/>
        <v>1.520272266377567</v>
      </c>
      <c r="AQ9" s="37">
        <f t="shared" ca="1" si="95"/>
        <v>3.3445989860306469</v>
      </c>
      <c r="AR9" s="37">
        <f t="shared" ca="1" si="96"/>
        <v>0.76013613318878348</v>
      </c>
      <c r="AS9" s="37">
        <f t="shared" ca="1" si="97"/>
        <v>3.4273222942978632</v>
      </c>
      <c r="AT9" s="37">
        <f t="shared" ca="1" si="98"/>
        <v>0.39861094307068035</v>
      </c>
      <c r="AU9" s="37">
        <f t="shared" ca="1" si="99"/>
        <v>1.1800056075875078</v>
      </c>
      <c r="AV9" s="37">
        <f t="shared" ca="1" si="100"/>
        <v>0.19930547153534017</v>
      </c>
      <c r="AW9" s="37">
        <f t="shared" ca="1" si="101"/>
        <v>1.0641905864642967</v>
      </c>
      <c r="AX9" s="37">
        <f t="shared" ca="1" si="102"/>
        <v>2.2522552094482471</v>
      </c>
      <c r="AY9" s="37">
        <f t="shared" ca="1" si="103"/>
        <v>0.53209529323214833</v>
      </c>
      <c r="AZ9" s="37">
        <f t="shared" ca="1" si="104"/>
        <v>3.6306380236206182</v>
      </c>
      <c r="BA9" s="37">
        <f t="shared" ca="1" si="105"/>
        <v>0.77575821997601635</v>
      </c>
      <c r="BB9" s="37">
        <f t="shared" ca="1" si="106"/>
        <v>2.0313211510149607</v>
      </c>
      <c r="BC9" s="37">
        <f t="shared" ca="1" si="107"/>
        <v>0.38787910998800817</v>
      </c>
      <c r="BD9" s="37">
        <f t="shared" ca="1" si="108"/>
        <v>1.6385156648735997</v>
      </c>
      <c r="BE9" s="37">
        <f t="shared" ca="1" si="109"/>
        <v>1.9594620322199747</v>
      </c>
      <c r="BF9" s="37">
        <f t="shared" ca="1" si="110"/>
        <v>3.1985920988097645</v>
      </c>
      <c r="BG9" s="37">
        <f t="shared" ca="1" si="111"/>
        <v>3.6238512029987291</v>
      </c>
      <c r="BH9" s="37">
        <f t="shared" ca="1" si="112"/>
        <v>0.73896336369256899</v>
      </c>
      <c r="BI9" s="37">
        <f t="shared" ca="1" si="113"/>
        <v>2.7308594414559995</v>
      </c>
      <c r="BJ9" s="37">
        <f t="shared" ca="1" si="114"/>
        <v>1.4864884382358432</v>
      </c>
      <c r="BK9" s="37">
        <f t="shared" ca="1" si="115"/>
        <v>1.3832730869994556</v>
      </c>
      <c r="BL9" s="37">
        <f t="shared" ca="1" si="116"/>
        <v>3.7327332326444203</v>
      </c>
      <c r="BM9" s="37">
        <f t="shared" ca="1" si="117"/>
        <v>0.15944437722827215</v>
      </c>
      <c r="BN9" s="37">
        <f t="shared" ca="1" si="118"/>
        <v>1.0135148442517112</v>
      </c>
      <c r="BO9" s="37">
        <f t="shared" ca="1" si="119"/>
        <v>0.38288338560620205</v>
      </c>
      <c r="BP9" s="37">
        <f t="shared" ca="1" si="120"/>
        <v>1.1073445972042886</v>
      </c>
      <c r="BQ9" s="37">
        <f t="shared" ca="1" si="121"/>
        <v>5.5075820983761146</v>
      </c>
      <c r="BR9" s="37">
        <f t="shared" ca="1" si="122"/>
        <v>0.41394213318878348</v>
      </c>
      <c r="BS9" s="37">
        <f t="shared" ca="1" si="123"/>
        <v>1.5991011987082553</v>
      </c>
      <c r="BT9" s="37">
        <f t="shared" ca="1" si="124"/>
        <v>1.3738756777634307</v>
      </c>
      <c r="BU9" s="37">
        <f t="shared" ca="1" si="125"/>
        <v>2.29093259290461</v>
      </c>
      <c r="BV9" s="37">
        <f t="shared" ca="1" si="126"/>
        <v>3.8424918311404523</v>
      </c>
      <c r="BW9" s="37">
        <f t="shared" ca="1" si="127"/>
        <v>0.45380322749585145</v>
      </c>
      <c r="BX9" s="37">
        <f t="shared" ca="1" si="128"/>
        <v>1.474039037589971</v>
      </c>
      <c r="BY9" s="37">
        <f t="shared" ca="1" si="129"/>
        <v>2.0295057436396755</v>
      </c>
      <c r="BZ9" s="37">
        <f t="shared" ca="1" si="130"/>
        <v>4.4015525479301498</v>
      </c>
      <c r="CA9" s="37">
        <f t="shared" ca="1" si="131"/>
        <v>2.0295057436396755</v>
      </c>
      <c r="CB9" s="37">
        <f t="shared" ca="1" si="132"/>
        <v>2.9103474887156455</v>
      </c>
      <c r="CC9" s="37">
        <f t="shared" ca="1" si="133"/>
        <v>5.8254131876699606</v>
      </c>
      <c r="CD9" s="37">
        <f t="shared" ca="1" si="134"/>
        <v>2.9103474887156455</v>
      </c>
      <c r="CE9" s="37">
        <f t="shared" ca="1" si="135"/>
        <v>0.90765950590515454</v>
      </c>
    </row>
    <row r="10" spans="1:83" x14ac:dyDescent="0.25">
      <c r="A10" t="str">
        <f>PLANTILLA!D11</f>
        <v>Raul Riquelme</v>
      </c>
      <c r="B10">
        <f>PLANTILLA!E11</f>
        <v>17</v>
      </c>
      <c r="C10" s="33">
        <f ca="1">PLANTILLA!F11</f>
        <v>61</v>
      </c>
      <c r="D10" s="220" t="str">
        <f>PLANTILLA!G11</f>
        <v>RAP</v>
      </c>
      <c r="E10" s="30">
        <f>PLANTILLA!M11</f>
        <v>43097</v>
      </c>
      <c r="F10" s="47">
        <f>PLANTILLA!Q11</f>
        <v>3</v>
      </c>
      <c r="G10" s="48">
        <f t="shared" si="1"/>
        <v>0.65465367070797709</v>
      </c>
      <c r="H10" s="48">
        <f t="shared" si="2"/>
        <v>0.75498344352707503</v>
      </c>
      <c r="I10" s="51">
        <f t="shared" ca="1" si="3"/>
        <v>0.27277236279499051</v>
      </c>
      <c r="J10" s="39">
        <f>PLANTILLA!I11</f>
        <v>1.1000000000000001</v>
      </c>
      <c r="K10" s="46">
        <f>PLANTILLA!X11</f>
        <v>0</v>
      </c>
      <c r="L10" s="46">
        <f>PLANTILLA!Y11</f>
        <v>6</v>
      </c>
      <c r="M10" s="46">
        <f>PLANTILLA!Z11</f>
        <v>3</v>
      </c>
      <c r="N10" s="46">
        <f>PLANTILLA!AA11</f>
        <v>3</v>
      </c>
      <c r="O10" s="46">
        <f>PLANTILLA!AB11</f>
        <v>3</v>
      </c>
      <c r="P10" s="46">
        <f>PLANTILLA!AC11</f>
        <v>5.5</v>
      </c>
      <c r="Q10" s="46">
        <f>PLANTILLA!AD11</f>
        <v>4</v>
      </c>
      <c r="R10" s="46">
        <f t="shared" si="70"/>
        <v>1.875</v>
      </c>
      <c r="S10" s="46">
        <f t="shared" si="71"/>
        <v>0.39500000000000002</v>
      </c>
      <c r="T10" s="46">
        <f t="shared" si="72"/>
        <v>0.36000000000000004</v>
      </c>
      <c r="U10" s="46">
        <f t="shared" ca="1" si="73"/>
        <v>2.8333166091090591</v>
      </c>
      <c r="V10" s="46">
        <f t="shared" ca="1" si="74"/>
        <v>3.2675401145070637</v>
      </c>
      <c r="W10" s="37">
        <f t="shared" ca="1" si="75"/>
        <v>1.9423113582442006</v>
      </c>
      <c r="X10" s="37">
        <f t="shared" ca="1" si="76"/>
        <v>2.9733997290873577</v>
      </c>
      <c r="Y10" s="37">
        <f t="shared" ca="1" si="77"/>
        <v>1.9423113582442006</v>
      </c>
      <c r="Z10" s="37">
        <f t="shared" ca="1" si="78"/>
        <v>3.2527196820498507</v>
      </c>
      <c r="AA10" s="37">
        <f t="shared" ca="1" si="79"/>
        <v>6.3279626096726238</v>
      </c>
      <c r="AB10" s="37">
        <f t="shared" ca="1" si="80"/>
        <v>1.6263598410249254</v>
      </c>
      <c r="AC10" s="37">
        <f t="shared" ca="1" si="81"/>
        <v>1.0251777895603709</v>
      </c>
      <c r="AD10" s="37">
        <f t="shared" ca="1" si="82"/>
        <v>2.382806278710937</v>
      </c>
      <c r="AE10" s="37">
        <f t="shared" ca="1" si="83"/>
        <v>4.5751169667933071</v>
      </c>
      <c r="AF10" s="37">
        <f t="shared" ca="1" si="84"/>
        <v>1.1914031393554685</v>
      </c>
      <c r="AG10" s="37">
        <f t="shared" ca="1" si="85"/>
        <v>1.6583758360535412</v>
      </c>
      <c r="AH10" s="37">
        <f t="shared" ca="1" si="86"/>
        <v>5.8217256008988141</v>
      </c>
      <c r="AI10" s="37">
        <f t="shared" ca="1" si="87"/>
        <v>2.6930857267978676</v>
      </c>
      <c r="AJ10" s="37">
        <f t="shared" ca="1" si="88"/>
        <v>0.55576975581532817</v>
      </c>
      <c r="AK10" s="37">
        <f t="shared" ca="1" si="89"/>
        <v>1.9568420144875027</v>
      </c>
      <c r="AL10" s="37">
        <f t="shared" ca="1" si="90"/>
        <v>4.7712838076931581</v>
      </c>
      <c r="AM10" s="37">
        <f t="shared" ca="1" si="91"/>
        <v>4.6055668951035997</v>
      </c>
      <c r="AN10" s="37">
        <f t="shared" ca="1" si="92"/>
        <v>0.72276975581532821</v>
      </c>
      <c r="AO10" s="37">
        <f t="shared" ca="1" si="93"/>
        <v>0.63445323158571565</v>
      </c>
      <c r="AP10" s="37">
        <f t="shared" ca="1" si="94"/>
        <v>1.7085499046116086</v>
      </c>
      <c r="AQ10" s="37">
        <f t="shared" ca="1" si="95"/>
        <v>3.7588097901455382</v>
      </c>
      <c r="AR10" s="37">
        <f t="shared" ca="1" si="96"/>
        <v>0.8542749523058043</v>
      </c>
      <c r="AS10" s="37">
        <f t="shared" ca="1" si="97"/>
        <v>3.1415967035309569</v>
      </c>
      <c r="AT10" s="37">
        <f t="shared" ca="1" si="98"/>
        <v>0.43263513925744113</v>
      </c>
      <c r="AU10" s="37">
        <f t="shared" ca="1" si="99"/>
        <v>1.4075930446340785</v>
      </c>
      <c r="AV10" s="37">
        <f t="shared" ca="1" si="100"/>
        <v>0.21631756962872056</v>
      </c>
      <c r="AW10" s="37">
        <f t="shared" ca="1" si="101"/>
        <v>1.1959849332281258</v>
      </c>
      <c r="AX10" s="37">
        <f t="shared" ca="1" si="102"/>
        <v>2.5311850438690495</v>
      </c>
      <c r="AY10" s="37">
        <f t="shared" ca="1" si="103"/>
        <v>0.59799246661406291</v>
      </c>
      <c r="AZ10" s="37">
        <f t="shared" ca="1" si="104"/>
        <v>3.3279626096726238</v>
      </c>
      <c r="BA10" s="37">
        <f t="shared" ca="1" si="105"/>
        <v>0.84197454024717389</v>
      </c>
      <c r="BB10" s="37">
        <f t="shared" ca="1" si="106"/>
        <v>2.3587073979296154</v>
      </c>
      <c r="BC10" s="37">
        <f t="shared" ca="1" si="107"/>
        <v>0.42098727012358694</v>
      </c>
      <c r="BD10" s="37">
        <f t="shared" ca="1" si="108"/>
        <v>1.8414371194147334</v>
      </c>
      <c r="BE10" s="37">
        <f t="shared" ca="1" si="109"/>
        <v>2.2021309881660729</v>
      </c>
      <c r="BF10" s="37">
        <f t="shared" ca="1" si="110"/>
        <v>2.9319350591215816</v>
      </c>
      <c r="BG10" s="37">
        <f t="shared" ca="1" si="111"/>
        <v>2.9585587599989625</v>
      </c>
      <c r="BH10" s="37">
        <f t="shared" ca="1" si="112"/>
        <v>0.80203898893110226</v>
      </c>
      <c r="BI10" s="37">
        <f t="shared" ca="1" si="113"/>
        <v>3.0690618656912223</v>
      </c>
      <c r="BJ10" s="37">
        <f t="shared" ca="1" si="114"/>
        <v>1.6705821289535727</v>
      </c>
      <c r="BK10" s="37">
        <f t="shared" ca="1" si="115"/>
        <v>1.2679537542852697</v>
      </c>
      <c r="BL10" s="37">
        <f t="shared" ca="1" si="116"/>
        <v>2.9086393208538732</v>
      </c>
      <c r="BM10" s="37">
        <f t="shared" ca="1" si="117"/>
        <v>0.17305405570297644</v>
      </c>
      <c r="BN10" s="37">
        <f t="shared" ca="1" si="118"/>
        <v>1.1390332697410723</v>
      </c>
      <c r="BO10" s="37">
        <f t="shared" ca="1" si="119"/>
        <v>0.43030145745773846</v>
      </c>
      <c r="BP10" s="37">
        <f t="shared" ca="1" si="120"/>
        <v>1.0150285959501502</v>
      </c>
      <c r="BQ10" s="37">
        <f t="shared" ca="1" si="121"/>
        <v>4.2797599160389943</v>
      </c>
      <c r="BR10" s="37">
        <f t="shared" ca="1" si="122"/>
        <v>0.44927495230580422</v>
      </c>
      <c r="BS10" s="37">
        <f t="shared" ca="1" si="123"/>
        <v>1.7971413811470249</v>
      </c>
      <c r="BT10" s="37">
        <f t="shared" ca="1" si="124"/>
        <v>1.5440228767601201</v>
      </c>
      <c r="BU10" s="37">
        <f t="shared" ca="1" si="125"/>
        <v>2.0999444067034259</v>
      </c>
      <c r="BV10" s="37">
        <f t="shared" ca="1" si="126"/>
        <v>2.9785265356569979</v>
      </c>
      <c r="BW10" s="37">
        <f t="shared" ca="1" si="127"/>
        <v>0.49253846623154829</v>
      </c>
      <c r="BX10" s="37">
        <f t="shared" ca="1" si="128"/>
        <v>1.3511528195270854</v>
      </c>
      <c r="BY10" s="37">
        <f t="shared" ca="1" si="129"/>
        <v>2.0513685196394369</v>
      </c>
      <c r="BZ10" s="37">
        <f t="shared" ca="1" si="130"/>
        <v>5.204785898491374</v>
      </c>
      <c r="CA10" s="37">
        <f t="shared" ca="1" si="131"/>
        <v>2.0513685196394369</v>
      </c>
      <c r="CB10" s="37">
        <f t="shared" ca="1" si="132"/>
        <v>3.0783207058260444</v>
      </c>
      <c r="CC10" s="37">
        <f t="shared" ca="1" si="133"/>
        <v>7.0559808126418222</v>
      </c>
      <c r="CD10" s="37">
        <f t="shared" ca="1" si="134"/>
        <v>3.0783207058260444</v>
      </c>
      <c r="CE10" s="37">
        <f t="shared" ca="1" si="135"/>
        <v>0.83199065241815595</v>
      </c>
    </row>
    <row r="11" spans="1:83" x14ac:dyDescent="0.25">
      <c r="A11" t="str">
        <f>PLANTILLA!D12</f>
        <v>Fernando Gazón</v>
      </c>
      <c r="B11">
        <f>PLANTILLA!E12</f>
        <v>18</v>
      </c>
      <c r="C11" s="33">
        <f ca="1">PLANTILLA!F12</f>
        <v>11</v>
      </c>
      <c r="D11" s="220" t="str">
        <f>PLANTILLA!G12</f>
        <v>IMP</v>
      </c>
      <c r="E11" s="30">
        <f>PLANTILLA!M12</f>
        <v>43045</v>
      </c>
      <c r="F11" s="47">
        <f>PLANTILLA!Q12</f>
        <v>7</v>
      </c>
      <c r="G11" s="48">
        <f t="shared" si="1"/>
        <v>1</v>
      </c>
      <c r="H11" s="48">
        <f t="shared" si="2"/>
        <v>1</v>
      </c>
      <c r="I11" s="51">
        <f t="shared" ca="1" si="3"/>
        <v>0.47871355387816911</v>
      </c>
      <c r="J11" s="39">
        <f>PLANTILLA!I12</f>
        <v>0.5</v>
      </c>
      <c r="K11" s="46">
        <f>PLANTILLA!X12</f>
        <v>0</v>
      </c>
      <c r="L11" s="46">
        <f>PLANTILLA!Y12</f>
        <v>3</v>
      </c>
      <c r="M11" s="46">
        <f>PLANTILLA!Z12</f>
        <v>6</v>
      </c>
      <c r="N11" s="46">
        <f>PLANTILLA!AA12</f>
        <v>3</v>
      </c>
      <c r="O11" s="46">
        <f>PLANTILLA!AB12</f>
        <v>4</v>
      </c>
      <c r="P11" s="46">
        <f>PLANTILLA!AC12</f>
        <v>5.0896143790849671</v>
      </c>
      <c r="Q11" s="46">
        <f>PLANTILLA!AD12</f>
        <v>3</v>
      </c>
      <c r="R11" s="46">
        <f t="shared" si="70"/>
        <v>1.75</v>
      </c>
      <c r="S11" s="46">
        <f t="shared" si="71"/>
        <v>0.34448071895424837</v>
      </c>
      <c r="T11" s="46">
        <f t="shared" si="72"/>
        <v>0.21000000000000002</v>
      </c>
      <c r="U11" s="46">
        <f t="shared" ca="1" si="73"/>
        <v>3.0773402263261942</v>
      </c>
      <c r="V11" s="46">
        <f t="shared" ca="1" si="74"/>
        <v>3.0773402263261942</v>
      </c>
      <c r="W11" s="37">
        <f t="shared" ca="1" si="75"/>
        <v>0.89551801758276761</v>
      </c>
      <c r="X11" s="37">
        <f t="shared" ca="1" si="76"/>
        <v>1.3748462321871167</v>
      </c>
      <c r="Y11" s="37">
        <f t="shared" ca="1" si="77"/>
        <v>0.89551801758276761</v>
      </c>
      <c r="Z11" s="37">
        <f t="shared" ca="1" si="78"/>
        <v>1.565954307810266</v>
      </c>
      <c r="AA11" s="37">
        <f t="shared" ca="1" si="79"/>
        <v>3.0773402263261942</v>
      </c>
      <c r="AB11" s="37">
        <f t="shared" ca="1" si="80"/>
        <v>0.78297715390513301</v>
      </c>
      <c r="AC11" s="37">
        <f t="shared" ca="1" si="81"/>
        <v>1.8555356316885483</v>
      </c>
      <c r="AD11" s="37">
        <f t="shared" ca="1" si="82"/>
        <v>1.1471525743261251</v>
      </c>
      <c r="AE11" s="37">
        <f t="shared" ca="1" si="83"/>
        <v>2.2249169836338383</v>
      </c>
      <c r="AF11" s="37">
        <f t="shared" ca="1" si="84"/>
        <v>0.57357628716306253</v>
      </c>
      <c r="AG11" s="37">
        <f t="shared" ca="1" si="85"/>
        <v>3.0016017571432401</v>
      </c>
      <c r="AH11" s="37">
        <f t="shared" ca="1" si="86"/>
        <v>2.8311530082200989</v>
      </c>
      <c r="AI11" s="37">
        <f t="shared" ca="1" si="87"/>
        <v>1.4026759887730595</v>
      </c>
      <c r="AJ11" s="37">
        <f t="shared" ca="1" si="88"/>
        <v>1.0149158177964743</v>
      </c>
      <c r="AK11" s="37">
        <f t="shared" ca="1" si="89"/>
        <v>1.8094760530798022</v>
      </c>
      <c r="AL11" s="37">
        <f t="shared" ca="1" si="90"/>
        <v>2.3203145306499504</v>
      </c>
      <c r="AM11" s="37">
        <f t="shared" ca="1" si="91"/>
        <v>2.3987792271771164</v>
      </c>
      <c r="AN11" s="37">
        <f t="shared" ca="1" si="92"/>
        <v>0.51391581779647444</v>
      </c>
      <c r="AO11" s="37">
        <f t="shared" ca="1" si="93"/>
        <v>0.5262739851819439</v>
      </c>
      <c r="AP11" s="37">
        <f t="shared" ca="1" si="94"/>
        <v>0.83088186110807249</v>
      </c>
      <c r="AQ11" s="37">
        <f t="shared" ca="1" si="95"/>
        <v>1.8279400944377593</v>
      </c>
      <c r="AR11" s="37">
        <f t="shared" ca="1" si="96"/>
        <v>0.41544093055403625</v>
      </c>
      <c r="AS11" s="37">
        <f t="shared" ca="1" si="97"/>
        <v>5.7370091736519262</v>
      </c>
      <c r="AT11" s="37">
        <f t="shared" ca="1" si="98"/>
        <v>0.53005422942240521</v>
      </c>
      <c r="AU11" s="37">
        <f t="shared" ca="1" si="99"/>
        <v>1.3831639738952739</v>
      </c>
      <c r="AV11" s="37">
        <f t="shared" ca="1" si="100"/>
        <v>0.2650271147112026</v>
      </c>
      <c r="AW11" s="37">
        <f t="shared" ca="1" si="101"/>
        <v>0.58161730277565071</v>
      </c>
      <c r="AX11" s="37">
        <f t="shared" ca="1" si="102"/>
        <v>1.2309360905304778</v>
      </c>
      <c r="AY11" s="37">
        <f t="shared" ca="1" si="103"/>
        <v>0.29080865138782536</v>
      </c>
      <c r="AZ11" s="37">
        <f t="shared" ca="1" si="104"/>
        <v>6.0773402263261938</v>
      </c>
      <c r="BA11" s="37">
        <f t="shared" ca="1" si="105"/>
        <v>1.031567077260527</v>
      </c>
      <c r="BB11" s="37">
        <f t="shared" ca="1" si="106"/>
        <v>2.4754334843135757</v>
      </c>
      <c r="BC11" s="37">
        <f t="shared" ca="1" si="107"/>
        <v>0.51578353863026349</v>
      </c>
      <c r="BD11" s="37">
        <f t="shared" ca="1" si="108"/>
        <v>0.89550600586092244</v>
      </c>
      <c r="BE11" s="37">
        <f t="shared" ca="1" si="109"/>
        <v>1.0709143987615155</v>
      </c>
      <c r="BF11" s="37">
        <f t="shared" ca="1" si="110"/>
        <v>5.3541367393933763</v>
      </c>
      <c r="BG11" s="37">
        <f t="shared" ca="1" si="111"/>
        <v>3.0507554612039867</v>
      </c>
      <c r="BH11" s="37">
        <f t="shared" ca="1" si="112"/>
        <v>0.98263899454461268</v>
      </c>
      <c r="BI11" s="37">
        <f t="shared" ca="1" si="113"/>
        <v>1.4925100097682042</v>
      </c>
      <c r="BJ11" s="37">
        <f t="shared" ca="1" si="114"/>
        <v>0.81241781975011529</v>
      </c>
      <c r="BK11" s="37">
        <f t="shared" ca="1" si="115"/>
        <v>2.3154666262302799</v>
      </c>
      <c r="BL11" s="37">
        <f t="shared" ca="1" si="116"/>
        <v>2.8905953578090937</v>
      </c>
      <c r="BM11" s="37">
        <f t="shared" ca="1" si="117"/>
        <v>0.21202169176896207</v>
      </c>
      <c r="BN11" s="37">
        <f t="shared" ca="1" si="118"/>
        <v>0.55392124073871496</v>
      </c>
      <c r="BO11" s="37">
        <f t="shared" ca="1" si="119"/>
        <v>0.20925913539018123</v>
      </c>
      <c r="BP11" s="37">
        <f t="shared" ca="1" si="120"/>
        <v>1.853588769029489</v>
      </c>
      <c r="BQ11" s="37">
        <f t="shared" ca="1" si="121"/>
        <v>4.2434595310554855</v>
      </c>
      <c r="BR11" s="37">
        <f t="shared" ca="1" si="122"/>
        <v>0.5504409305540362</v>
      </c>
      <c r="BS11" s="37">
        <f t="shared" ca="1" si="123"/>
        <v>0.87396462427663912</v>
      </c>
      <c r="BT11" s="37">
        <f t="shared" ca="1" si="124"/>
        <v>0.75087101522359134</v>
      </c>
      <c r="BU11" s="37">
        <f t="shared" ca="1" si="125"/>
        <v>3.8348016828118281</v>
      </c>
      <c r="BV11" s="37">
        <f t="shared" ca="1" si="126"/>
        <v>2.9472195025619436</v>
      </c>
      <c r="BW11" s="37">
        <f t="shared" ca="1" si="127"/>
        <v>0.60344635349627662</v>
      </c>
      <c r="BX11" s="37">
        <f t="shared" ca="1" si="128"/>
        <v>2.4674001318884349</v>
      </c>
      <c r="BY11" s="37">
        <f t="shared" ca="1" si="129"/>
        <v>2.1186752840597376</v>
      </c>
      <c r="BZ11" s="37">
        <f t="shared" ca="1" si="130"/>
        <v>5.2263302778498293</v>
      </c>
      <c r="CA11" s="37">
        <f t="shared" ca="1" si="131"/>
        <v>2.1186752840597376</v>
      </c>
      <c r="CB11" s="37">
        <f t="shared" ca="1" si="132"/>
        <v>2.7572079413933759</v>
      </c>
      <c r="CC11" s="37">
        <f t="shared" ca="1" si="133"/>
        <v>6.671493148925526</v>
      </c>
      <c r="CD11" s="37">
        <f t="shared" ca="1" si="134"/>
        <v>2.7572079413933759</v>
      </c>
      <c r="CE11" s="37">
        <f t="shared" ca="1" si="135"/>
        <v>1.5193350565815484</v>
      </c>
    </row>
    <row r="12" spans="1:83" x14ac:dyDescent="0.25">
      <c r="A12" t="str">
        <f>PLANTILLA!D13</f>
        <v>Roberto Abenoza</v>
      </c>
      <c r="B12">
        <f>PLANTILLA!E13</f>
        <v>17</v>
      </c>
      <c r="C12" s="33">
        <f ca="1">PLANTILLA!F13</f>
        <v>111</v>
      </c>
      <c r="D12" s="220" t="str">
        <f>PLANTILLA!G13</f>
        <v>CAB</v>
      </c>
      <c r="E12" s="30">
        <f>PLANTILLA!M13</f>
        <v>43046</v>
      </c>
      <c r="F12" s="47">
        <f>PLANTILLA!Q13</f>
        <v>6</v>
      </c>
      <c r="G12" s="48">
        <f t="shared" si="1"/>
        <v>0.92582009977255142</v>
      </c>
      <c r="H12" s="48">
        <f t="shared" si="2"/>
        <v>0.99928545900129484</v>
      </c>
      <c r="I12" s="51">
        <f t="shared" ca="1" si="3"/>
        <v>0.47559486560567099</v>
      </c>
      <c r="J12" s="39">
        <f>PLANTILLA!I13</f>
        <v>0.5</v>
      </c>
      <c r="K12" s="46">
        <f>PLANTILLA!X13</f>
        <v>0</v>
      </c>
      <c r="L12" s="46">
        <f>PLANTILLA!Y13</f>
        <v>2</v>
      </c>
      <c r="M12" s="46">
        <f>PLANTILLA!Z13</f>
        <v>5</v>
      </c>
      <c r="N12" s="46">
        <f>PLANTILLA!AA13</f>
        <v>3</v>
      </c>
      <c r="O12" s="46">
        <f>PLANTILLA!AB13</f>
        <v>2.1583999999999999</v>
      </c>
      <c r="P12" s="46">
        <f>PLANTILLA!AC13</f>
        <v>5.2499999999999991</v>
      </c>
      <c r="Q12" s="46">
        <f>PLANTILLA!AD13</f>
        <v>5</v>
      </c>
      <c r="R12" s="46">
        <f t="shared" si="70"/>
        <v>1.1646000000000001</v>
      </c>
      <c r="S12" s="46">
        <f t="shared" si="71"/>
        <v>0.41249999999999998</v>
      </c>
      <c r="T12" s="46">
        <f t="shared" si="72"/>
        <v>0.22999999999999998</v>
      </c>
      <c r="U12" s="46">
        <f t="shared" ca="1" si="73"/>
        <v>4.6978162906289018</v>
      </c>
      <c r="V12" s="46">
        <f t="shared" ca="1" si="74"/>
        <v>5.0705957987282435</v>
      </c>
      <c r="W12" s="37">
        <f t="shared" ca="1" si="75"/>
        <v>0.61679540272087663</v>
      </c>
      <c r="X12" s="37">
        <f t="shared" ca="1" si="76"/>
        <v>0.94582000562732149</v>
      </c>
      <c r="Y12" s="37">
        <f t="shared" ca="1" si="77"/>
        <v>0.61679540272087663</v>
      </c>
      <c r="Z12" s="37">
        <f t="shared" ca="1" si="78"/>
        <v>1.0484880840927218</v>
      </c>
      <c r="AA12" s="37">
        <f t="shared" ca="1" si="79"/>
        <v>2.0742215380536959</v>
      </c>
      <c r="AB12" s="37">
        <f t="shared" ca="1" si="80"/>
        <v>0.52424404204636088</v>
      </c>
      <c r="AC12" s="37">
        <f t="shared" ca="1" si="81"/>
        <v>1.6141280222312537</v>
      </c>
      <c r="AD12" s="37">
        <f t="shared" ca="1" si="82"/>
        <v>0.76807848020745895</v>
      </c>
      <c r="AE12" s="37">
        <f t="shared" ca="1" si="83"/>
        <v>1.499662172012822</v>
      </c>
      <c r="AF12" s="37">
        <f t="shared" ca="1" si="84"/>
        <v>0.38403924010372947</v>
      </c>
      <c r="AG12" s="37">
        <f t="shared" ca="1" si="85"/>
        <v>2.6110894477270281</v>
      </c>
      <c r="AH12" s="37">
        <f t="shared" ca="1" si="86"/>
        <v>1.9082838150094004</v>
      </c>
      <c r="AI12" s="37">
        <f t="shared" ca="1" si="87"/>
        <v>0.98654668567423098</v>
      </c>
      <c r="AJ12" s="37">
        <f t="shared" ca="1" si="88"/>
        <v>0.84739499685496722</v>
      </c>
      <c r="AK12" s="37">
        <f t="shared" ca="1" si="89"/>
        <v>1.8076422643755732</v>
      </c>
      <c r="AL12" s="37">
        <f t="shared" ca="1" si="90"/>
        <v>1.5639630396924866</v>
      </c>
      <c r="AM12" s="37">
        <f t="shared" ca="1" si="91"/>
        <v>1.6871378102834675</v>
      </c>
      <c r="AN12" s="37">
        <f t="shared" ca="1" si="92"/>
        <v>0.84739499685496722</v>
      </c>
      <c r="AO12" s="37">
        <f t="shared" ca="1" si="93"/>
        <v>0.35678060295946451</v>
      </c>
      <c r="AP12" s="37">
        <f t="shared" ca="1" si="94"/>
        <v>0.56003981527449798</v>
      </c>
      <c r="AQ12" s="37">
        <f t="shared" ca="1" si="95"/>
        <v>1.2320875936038953</v>
      </c>
      <c r="AR12" s="37">
        <f t="shared" ca="1" si="96"/>
        <v>0.28001990763724899</v>
      </c>
      <c r="AS12" s="37">
        <f t="shared" ca="1" si="97"/>
        <v>4.7900651319226881</v>
      </c>
      <c r="AT12" s="37">
        <f t="shared" ca="1" si="98"/>
        <v>0.29024079994698054</v>
      </c>
      <c r="AU12" s="37">
        <f t="shared" ca="1" si="99"/>
        <v>1.1890049106497327</v>
      </c>
      <c r="AV12" s="37">
        <f t="shared" ca="1" si="100"/>
        <v>0.14512039997349027</v>
      </c>
      <c r="AW12" s="37">
        <f t="shared" ca="1" si="101"/>
        <v>0.39202787069214851</v>
      </c>
      <c r="AX12" s="37">
        <f t="shared" ca="1" si="102"/>
        <v>0.82968861522147841</v>
      </c>
      <c r="AY12" s="37">
        <f t="shared" ca="1" si="103"/>
        <v>0.19601393534607425</v>
      </c>
      <c r="AZ12" s="37">
        <f t="shared" ca="1" si="104"/>
        <v>5.0742215380536955</v>
      </c>
      <c r="BA12" s="37">
        <f t="shared" ca="1" si="105"/>
        <v>0.56485324912758517</v>
      </c>
      <c r="BB12" s="37">
        <f t="shared" ca="1" si="106"/>
        <v>1.8794104674675862</v>
      </c>
      <c r="BC12" s="37">
        <f t="shared" ca="1" si="107"/>
        <v>0.28242662456379258</v>
      </c>
      <c r="BD12" s="37">
        <f t="shared" ca="1" si="108"/>
        <v>0.60359846757362545</v>
      </c>
      <c r="BE12" s="37">
        <f t="shared" ca="1" si="109"/>
        <v>0.72182909524268613</v>
      </c>
      <c r="BF12" s="37">
        <f t="shared" ca="1" si="110"/>
        <v>4.4703891750253053</v>
      </c>
      <c r="BG12" s="37">
        <f t="shared" ca="1" si="111"/>
        <v>2.4678789473297358</v>
      </c>
      <c r="BH12" s="37">
        <f t="shared" ca="1" si="112"/>
        <v>0.53806179067094073</v>
      </c>
      <c r="BI12" s="37">
        <f t="shared" ca="1" si="113"/>
        <v>1.0059974459560426</v>
      </c>
      <c r="BJ12" s="37">
        <f t="shared" ca="1" si="114"/>
        <v>0.54759448604617578</v>
      </c>
      <c r="BK12" s="37">
        <f t="shared" ca="1" si="115"/>
        <v>1.933278405998458</v>
      </c>
      <c r="BL12" s="37">
        <f t="shared" ca="1" si="116"/>
        <v>2.5177080242589303</v>
      </c>
      <c r="BM12" s="37">
        <f t="shared" ca="1" si="117"/>
        <v>0.1160963199787922</v>
      </c>
      <c r="BN12" s="37">
        <f t="shared" ca="1" si="118"/>
        <v>0.37335987684966526</v>
      </c>
      <c r="BO12" s="37">
        <f t="shared" ca="1" si="119"/>
        <v>0.14104706458765134</v>
      </c>
      <c r="BP12" s="37">
        <f t="shared" ca="1" si="120"/>
        <v>1.5476375691063771</v>
      </c>
      <c r="BQ12" s="37">
        <f t="shared" ca="1" si="121"/>
        <v>3.7127512979370527</v>
      </c>
      <c r="BR12" s="37">
        <f t="shared" ca="1" si="122"/>
        <v>0.301403907637249</v>
      </c>
      <c r="BS12" s="37">
        <f t="shared" ca="1" si="123"/>
        <v>0.58907891680724955</v>
      </c>
      <c r="BT12" s="37">
        <f t="shared" ca="1" si="124"/>
        <v>0.50611005528510178</v>
      </c>
      <c r="BU12" s="37">
        <f t="shared" ca="1" si="125"/>
        <v>3.2018337905118819</v>
      </c>
      <c r="BV12" s="37">
        <f t="shared" ca="1" si="126"/>
        <v>2.5889994765580577</v>
      </c>
      <c r="BW12" s="37">
        <f t="shared" ca="1" si="127"/>
        <v>0.33042798763194703</v>
      </c>
      <c r="BX12" s="37">
        <f t="shared" ca="1" si="128"/>
        <v>2.0601339444498006</v>
      </c>
      <c r="BY12" s="37">
        <f t="shared" ca="1" si="129"/>
        <v>1.6770194213259755</v>
      </c>
      <c r="BZ12" s="37">
        <f t="shared" ca="1" si="130"/>
        <v>4.3163346518484609</v>
      </c>
      <c r="CA12" s="37">
        <f t="shared" ca="1" si="131"/>
        <v>1.6770194213259755</v>
      </c>
      <c r="CB12" s="37">
        <f t="shared" ca="1" si="132"/>
        <v>2.8197400182074519</v>
      </c>
      <c r="CC12" s="37">
        <f t="shared" ca="1" si="133"/>
        <v>6.1480588855955087</v>
      </c>
      <c r="CD12" s="37">
        <f t="shared" ca="1" si="134"/>
        <v>2.8197400182074519</v>
      </c>
      <c r="CE12" s="37">
        <f t="shared" ca="1" si="135"/>
        <v>1.2685553845134239</v>
      </c>
    </row>
    <row r="13" spans="1:83" x14ac:dyDescent="0.25">
      <c r="A13" t="str">
        <f>PLANTILLA!D14</f>
        <v>Julio Calle</v>
      </c>
      <c r="B13">
        <f>PLANTILLA!E14</f>
        <v>17</v>
      </c>
      <c r="C13" s="33">
        <f ca="1">PLANTILLA!F14</f>
        <v>81</v>
      </c>
      <c r="D13" s="220" t="str">
        <f>PLANTILLA!G14</f>
        <v>POT</v>
      </c>
      <c r="E13" s="30">
        <f>PLANTILLA!M14</f>
        <v>43046</v>
      </c>
      <c r="F13" s="47">
        <f>PLANTILLA!Q14</f>
        <v>7</v>
      </c>
      <c r="G13" s="48">
        <f t="shared" si="1"/>
        <v>1</v>
      </c>
      <c r="H13" s="48">
        <f t="shared" si="2"/>
        <v>1</v>
      </c>
      <c r="I13" s="51">
        <f t="shared" ca="1" si="3"/>
        <v>0.47559486560567099</v>
      </c>
      <c r="J13" s="39">
        <f>PLANTILLA!I14</f>
        <v>0.5</v>
      </c>
      <c r="K13" s="46">
        <f>PLANTILLA!X14</f>
        <v>0</v>
      </c>
      <c r="L13" s="46">
        <f>PLANTILLA!Y14</f>
        <v>3</v>
      </c>
      <c r="M13" s="46">
        <f>PLANTILLA!Z14</f>
        <v>4</v>
      </c>
      <c r="N13" s="46">
        <f>PLANTILLA!AA14</f>
        <v>4</v>
      </c>
      <c r="O13" s="46">
        <f>PLANTILLA!AB14</f>
        <v>3.0151111111111111</v>
      </c>
      <c r="P13" s="46">
        <f>PLANTILLA!AC14</f>
        <v>4.117647058823529</v>
      </c>
      <c r="Q13" s="46">
        <f>PLANTILLA!AD14</f>
        <v>1.3</v>
      </c>
      <c r="R13" s="46">
        <f t="shared" si="70"/>
        <v>1.5037777777777777</v>
      </c>
      <c r="S13" s="46">
        <f t="shared" si="71"/>
        <v>0.24488235294117647</v>
      </c>
      <c r="T13" s="46">
        <f t="shared" si="72"/>
        <v>0.15900000000000003</v>
      </c>
      <c r="U13" s="46">
        <f t="shared" ca="1" si="73"/>
        <v>1.3742215380536962</v>
      </c>
      <c r="V13" s="46">
        <f t="shared" ca="1" si="74"/>
        <v>1.3742215380536962</v>
      </c>
      <c r="W13" s="37">
        <f t="shared" ca="1" si="75"/>
        <v>0.89279540272087665</v>
      </c>
      <c r="X13" s="37">
        <f t="shared" ca="1" si="76"/>
        <v>1.3708200056273214</v>
      </c>
      <c r="Y13" s="37">
        <f t="shared" ca="1" si="77"/>
        <v>0.89279540272087665</v>
      </c>
      <c r="Z13" s="37">
        <f t="shared" ca="1" si="78"/>
        <v>1.5644880840927218</v>
      </c>
      <c r="AA13" s="37">
        <f t="shared" ca="1" si="79"/>
        <v>3.0742215380536959</v>
      </c>
      <c r="AB13" s="37">
        <f t="shared" ca="1" si="80"/>
        <v>0.78224404204636089</v>
      </c>
      <c r="AC13" s="37">
        <f t="shared" ca="1" si="81"/>
        <v>1.3761280222312537</v>
      </c>
      <c r="AD13" s="37">
        <f t="shared" ca="1" si="82"/>
        <v>1.1460784802074591</v>
      </c>
      <c r="AE13" s="37">
        <f t="shared" ca="1" si="83"/>
        <v>2.2226621720128219</v>
      </c>
      <c r="AF13" s="37">
        <f t="shared" ca="1" si="84"/>
        <v>0.57303924010372953</v>
      </c>
      <c r="AG13" s="37">
        <f t="shared" ca="1" si="85"/>
        <v>2.2260894477270283</v>
      </c>
      <c r="AH13" s="37">
        <f t="shared" ca="1" si="86"/>
        <v>2.8282838150094003</v>
      </c>
      <c r="AI13" s="37">
        <f t="shared" ca="1" si="87"/>
        <v>1.400546685674231</v>
      </c>
      <c r="AJ13" s="37">
        <f t="shared" ca="1" si="88"/>
        <v>0.68039499685496718</v>
      </c>
      <c r="AK13" s="37">
        <f t="shared" ca="1" si="89"/>
        <v>2.3956422643755726</v>
      </c>
      <c r="AL13" s="37">
        <f t="shared" ca="1" si="90"/>
        <v>2.3179630396924868</v>
      </c>
      <c r="AM13" s="37">
        <f t="shared" ca="1" si="91"/>
        <v>2.3951378102834675</v>
      </c>
      <c r="AN13" s="37">
        <f t="shared" ca="1" si="92"/>
        <v>0.22949499685496727</v>
      </c>
      <c r="AO13" s="37">
        <f t="shared" ca="1" si="93"/>
        <v>0.45446380295946442</v>
      </c>
      <c r="AP13" s="37">
        <f t="shared" ca="1" si="94"/>
        <v>0.83003981527449799</v>
      </c>
      <c r="AQ13" s="37">
        <f t="shared" ca="1" si="95"/>
        <v>1.8260875936038954</v>
      </c>
      <c r="AR13" s="37">
        <f t="shared" ca="1" si="96"/>
        <v>0.415019907637249</v>
      </c>
      <c r="AS13" s="37">
        <f t="shared" ca="1" si="97"/>
        <v>3.8460651319226882</v>
      </c>
      <c r="AT13" s="37">
        <f t="shared" ca="1" si="98"/>
        <v>0.40161324439142498</v>
      </c>
      <c r="AU13" s="37">
        <f t="shared" ca="1" si="99"/>
        <v>1.0959131851595365</v>
      </c>
      <c r="AV13" s="37">
        <f t="shared" ca="1" si="100"/>
        <v>0.20080662219571249</v>
      </c>
      <c r="AW13" s="37">
        <f t="shared" ca="1" si="101"/>
        <v>0.58102787069214856</v>
      </c>
      <c r="AX13" s="37">
        <f t="shared" ca="1" si="102"/>
        <v>1.2296886152214785</v>
      </c>
      <c r="AY13" s="37">
        <f t="shared" ca="1" si="103"/>
        <v>0.29051393534607428</v>
      </c>
      <c r="AZ13" s="37">
        <f t="shared" ca="1" si="104"/>
        <v>4.0742215380536955</v>
      </c>
      <c r="BA13" s="37">
        <f t="shared" ca="1" si="105"/>
        <v>0.7816011602386963</v>
      </c>
      <c r="BB13" s="37">
        <f t="shared" ca="1" si="106"/>
        <v>1.9337548387094166</v>
      </c>
      <c r="BC13" s="37">
        <f t="shared" ca="1" si="107"/>
        <v>0.39080058011934815</v>
      </c>
      <c r="BD13" s="37">
        <f t="shared" ca="1" si="108"/>
        <v>0.89459846757362549</v>
      </c>
      <c r="BE13" s="37">
        <f t="shared" ca="1" si="109"/>
        <v>1.0698290952426861</v>
      </c>
      <c r="BF13" s="37">
        <f t="shared" ca="1" si="110"/>
        <v>3.5893891750253055</v>
      </c>
      <c r="BG13" s="37">
        <f t="shared" ca="1" si="111"/>
        <v>3.3117429473297353</v>
      </c>
      <c r="BH13" s="37">
        <f t="shared" ca="1" si="112"/>
        <v>0.74452916844871853</v>
      </c>
      <c r="BI13" s="37">
        <f t="shared" ca="1" si="113"/>
        <v>1.4909974459560424</v>
      </c>
      <c r="BJ13" s="37">
        <f t="shared" ca="1" si="114"/>
        <v>0.81159448604617579</v>
      </c>
      <c r="BK13" s="37">
        <f t="shared" ca="1" si="115"/>
        <v>1.552278405998458</v>
      </c>
      <c r="BL13" s="37">
        <f t="shared" ca="1" si="116"/>
        <v>3.3629069575922639</v>
      </c>
      <c r="BM13" s="37">
        <f t="shared" ca="1" si="117"/>
        <v>0.16064529775656997</v>
      </c>
      <c r="BN13" s="37">
        <f t="shared" ca="1" si="118"/>
        <v>0.55335987684966526</v>
      </c>
      <c r="BO13" s="37">
        <f t="shared" ca="1" si="119"/>
        <v>0.20904706458765135</v>
      </c>
      <c r="BP13" s="37">
        <f t="shared" ca="1" si="120"/>
        <v>1.2426375691063771</v>
      </c>
      <c r="BQ13" s="37">
        <f t="shared" ca="1" si="121"/>
        <v>4.9577706757148299</v>
      </c>
      <c r="BR13" s="37">
        <f t="shared" ca="1" si="122"/>
        <v>0.41705990763724904</v>
      </c>
      <c r="BS13" s="37">
        <f t="shared" ca="1" si="123"/>
        <v>0.87307891680724958</v>
      </c>
      <c r="BT13" s="37">
        <f t="shared" ca="1" si="124"/>
        <v>0.75011005528510177</v>
      </c>
      <c r="BU13" s="37">
        <f t="shared" ca="1" si="125"/>
        <v>2.5708337905118817</v>
      </c>
      <c r="BV13" s="37">
        <f t="shared" ca="1" si="126"/>
        <v>3.4563447210025018</v>
      </c>
      <c r="BW13" s="37">
        <f t="shared" ca="1" si="127"/>
        <v>0.45722123207639148</v>
      </c>
      <c r="BX13" s="37">
        <f t="shared" ca="1" si="128"/>
        <v>1.6541339444498004</v>
      </c>
      <c r="BY13" s="37">
        <f t="shared" ca="1" si="129"/>
        <v>1.8913883755743415</v>
      </c>
      <c r="BZ13" s="37">
        <f t="shared" ca="1" si="130"/>
        <v>4.1213670204759119</v>
      </c>
      <c r="CA13" s="37">
        <f t="shared" ca="1" si="131"/>
        <v>1.8913883755743415</v>
      </c>
      <c r="CB13" s="37">
        <f t="shared" ca="1" si="132"/>
        <v>2.5855341358545112</v>
      </c>
      <c r="CC13" s="37">
        <f t="shared" ca="1" si="133"/>
        <v>5.3318323444190385</v>
      </c>
      <c r="CD13" s="37">
        <f t="shared" ca="1" si="134"/>
        <v>2.5855341358545112</v>
      </c>
      <c r="CE13" s="37">
        <f t="shared" ca="1" si="135"/>
        <v>1.0185553845134239</v>
      </c>
    </row>
    <row r="14" spans="1:83" x14ac:dyDescent="0.25">
      <c r="A14" t="str">
        <f>PLANTILLA!D16</f>
        <v>Enrique Cubas</v>
      </c>
      <c r="B14">
        <f>PLANTILLA!E16</f>
        <v>17</v>
      </c>
      <c r="C14" s="33">
        <f ca="1">PLANTILLA!F16</f>
        <v>82</v>
      </c>
      <c r="D14" s="220" t="str">
        <f>PLANTILLA!G16</f>
        <v>RAP</v>
      </c>
      <c r="E14" s="30">
        <f>PLANTILLA!M16</f>
        <v>43046</v>
      </c>
      <c r="F14" s="47">
        <f>PLANTILLA!Q16</f>
        <v>6</v>
      </c>
      <c r="G14" s="48">
        <f t="shared" si="1"/>
        <v>0.92582009977255142</v>
      </c>
      <c r="H14" s="48">
        <f t="shared" si="2"/>
        <v>0.99928545900129484</v>
      </c>
      <c r="I14" s="51">
        <f t="shared" ca="1" si="3"/>
        <v>0.47559486560567099</v>
      </c>
      <c r="J14" s="39">
        <f>PLANTILLA!I16</f>
        <v>1.4</v>
      </c>
      <c r="K14" s="46">
        <f>PLANTILLA!X16</f>
        <v>0</v>
      </c>
      <c r="L14" s="46">
        <f>PLANTILLA!Y16</f>
        <v>2</v>
      </c>
      <c r="M14" s="46">
        <f>PLANTILLA!Z16</f>
        <v>5.7</v>
      </c>
      <c r="N14" s="46">
        <f>PLANTILLA!AA16</f>
        <v>5.5</v>
      </c>
      <c r="O14" s="46">
        <f>PLANTILLA!AB16</f>
        <v>5.5</v>
      </c>
      <c r="P14" s="46">
        <f>PLANTILLA!AC16</f>
        <v>5</v>
      </c>
      <c r="Q14" s="46">
        <f>PLANTILLA!AD16</f>
        <v>5</v>
      </c>
      <c r="R14" s="46">
        <f t="shared" si="70"/>
        <v>2</v>
      </c>
      <c r="S14" s="46">
        <f t="shared" si="71"/>
        <v>0.4</v>
      </c>
      <c r="T14" s="46">
        <f t="shared" si="72"/>
        <v>0.22999999999999998</v>
      </c>
      <c r="U14" s="46">
        <f t="shared" ca="1" si="73"/>
        <v>5.2498001482173704</v>
      </c>
      <c r="V14" s="46">
        <f t="shared" ca="1" si="74"/>
        <v>5.6663804901894768</v>
      </c>
      <c r="W14" s="37">
        <f t="shared" ca="1" si="75"/>
        <v>1.13728735120322</v>
      </c>
      <c r="X14" s="37">
        <f t="shared" ca="1" si="76"/>
        <v>1.7155280302443949</v>
      </c>
      <c r="Y14" s="37">
        <f t="shared" ca="1" si="77"/>
        <v>1.13728735120322</v>
      </c>
      <c r="Z14" s="37">
        <f t="shared" ca="1" si="78"/>
        <v>1.3561328096561687</v>
      </c>
      <c r="AA14" s="37">
        <f t="shared" ca="1" si="79"/>
        <v>2.6704322465099883</v>
      </c>
      <c r="AB14" s="37">
        <f t="shared" ca="1" si="80"/>
        <v>0.67806640482808433</v>
      </c>
      <c r="AC14" s="37">
        <f t="shared" ca="1" si="81"/>
        <v>1.9226261708438517</v>
      </c>
      <c r="AD14" s="37">
        <f t="shared" ca="1" si="82"/>
        <v>0.9934461280039375</v>
      </c>
      <c r="AE14" s="37">
        <f t="shared" ca="1" si="83"/>
        <v>1.9307225142267215</v>
      </c>
      <c r="AF14" s="37">
        <f t="shared" ca="1" si="84"/>
        <v>0.49672306400196875</v>
      </c>
      <c r="AG14" s="37">
        <f t="shared" ca="1" si="85"/>
        <v>3.1101305704827014</v>
      </c>
      <c r="AH14" s="37">
        <f t="shared" ca="1" si="86"/>
        <v>2.4567976667891895</v>
      </c>
      <c r="AI14" s="37">
        <f t="shared" ca="1" si="87"/>
        <v>1.2333779189751359</v>
      </c>
      <c r="AJ14" s="37">
        <f t="shared" ca="1" si="88"/>
        <v>1.0638621851671681</v>
      </c>
      <c r="AK14" s="37">
        <f t="shared" ca="1" si="89"/>
        <v>3.6282141609478731</v>
      </c>
      <c r="AL14" s="37">
        <f t="shared" ca="1" si="90"/>
        <v>2.0135059138685314</v>
      </c>
      <c r="AM14" s="37">
        <f t="shared" ca="1" si="91"/>
        <v>2.1092549918705221</v>
      </c>
      <c r="AN14" s="37">
        <f t="shared" ca="1" si="92"/>
        <v>0.94696218516716812</v>
      </c>
      <c r="AO14" s="37">
        <f t="shared" ca="1" si="93"/>
        <v>0.76908448699487664</v>
      </c>
      <c r="AP14" s="37">
        <f t="shared" ca="1" si="94"/>
        <v>0.7210167065576969</v>
      </c>
      <c r="AQ14" s="37">
        <f t="shared" ca="1" si="95"/>
        <v>1.5862367544269329</v>
      </c>
      <c r="AR14" s="37">
        <f t="shared" ca="1" si="96"/>
        <v>0.36050835327884845</v>
      </c>
      <c r="AS14" s="37">
        <f t="shared" ca="1" si="97"/>
        <v>6.0136880407054285</v>
      </c>
      <c r="AT14" s="37">
        <f t="shared" ca="1" si="98"/>
        <v>0.80215619204629851</v>
      </c>
      <c r="AU14" s="37">
        <f t="shared" ca="1" si="99"/>
        <v>1.7214366482274266</v>
      </c>
      <c r="AV14" s="37">
        <f t="shared" ca="1" si="100"/>
        <v>0.40107809602314926</v>
      </c>
      <c r="AW14" s="37">
        <f t="shared" ca="1" si="101"/>
        <v>0.50471169459038778</v>
      </c>
      <c r="AX14" s="37">
        <f t="shared" ca="1" si="102"/>
        <v>1.0681728986039953</v>
      </c>
      <c r="AY14" s="37">
        <f t="shared" ca="1" si="103"/>
        <v>0.25235584729519389</v>
      </c>
      <c r="AZ14" s="37">
        <f t="shared" ca="1" si="104"/>
        <v>6.3704322465099885</v>
      </c>
      <c r="BA14" s="37">
        <f t="shared" ca="1" si="105"/>
        <v>1.5611193583670271</v>
      </c>
      <c r="BB14" s="37">
        <f t="shared" ca="1" si="106"/>
        <v>3.2949081678270038</v>
      </c>
      <c r="BC14" s="37">
        <f t="shared" ca="1" si="107"/>
        <v>0.78055967918351354</v>
      </c>
      <c r="BD14" s="37">
        <f t="shared" ca="1" si="108"/>
        <v>0.77709578373440658</v>
      </c>
      <c r="BE14" s="37">
        <f t="shared" ca="1" si="109"/>
        <v>0.92931042178547585</v>
      </c>
      <c r="BF14" s="37">
        <f t="shared" ca="1" si="110"/>
        <v>5.6123508091753003</v>
      </c>
      <c r="BG14" s="37">
        <f t="shared" ca="1" si="111"/>
        <v>5.48551426714738</v>
      </c>
      <c r="BH14" s="37">
        <f t="shared" ca="1" si="112"/>
        <v>1.4870741714089071</v>
      </c>
      <c r="BI14" s="37">
        <f t="shared" ca="1" si="113"/>
        <v>1.2951596395573444</v>
      </c>
      <c r="BJ14" s="37">
        <f t="shared" ca="1" si="114"/>
        <v>0.70499411307863691</v>
      </c>
      <c r="BK14" s="37">
        <f t="shared" ca="1" si="115"/>
        <v>2.4271346859203056</v>
      </c>
      <c r="BL14" s="37">
        <f t="shared" ca="1" si="116"/>
        <v>5.39295778344973</v>
      </c>
      <c r="BM14" s="37">
        <f t="shared" ca="1" si="117"/>
        <v>0.32086247681851937</v>
      </c>
      <c r="BN14" s="37">
        <f t="shared" ca="1" si="118"/>
        <v>0.48067780437179786</v>
      </c>
      <c r="BO14" s="37">
        <f t="shared" ca="1" si="119"/>
        <v>0.18158939276267921</v>
      </c>
      <c r="BP14" s="37">
        <f t="shared" ca="1" si="120"/>
        <v>1.9429818351855463</v>
      </c>
      <c r="BQ14" s="37">
        <f t="shared" ca="1" si="121"/>
        <v>7.9351758690118448</v>
      </c>
      <c r="BR14" s="37">
        <f t="shared" ca="1" si="122"/>
        <v>0.83300835327884848</v>
      </c>
      <c r="BS14" s="37">
        <f t="shared" ca="1" si="123"/>
        <v>0.75840275800883661</v>
      </c>
      <c r="BT14" s="37">
        <f t="shared" ca="1" si="124"/>
        <v>0.6515854681484371</v>
      </c>
      <c r="BU14" s="37">
        <f t="shared" ca="1" si="125"/>
        <v>4.0197427475478031</v>
      </c>
      <c r="BV14" s="37">
        <f t="shared" ca="1" si="126"/>
        <v>5.52253686062644</v>
      </c>
      <c r="BW14" s="37">
        <f t="shared" ca="1" si="127"/>
        <v>0.9132239724834782</v>
      </c>
      <c r="BX14" s="37">
        <f t="shared" ca="1" si="128"/>
        <v>2.5863954920830556</v>
      </c>
      <c r="BY14" s="37">
        <f t="shared" ca="1" si="129"/>
        <v>3.1512952004317039</v>
      </c>
      <c r="BZ14" s="37">
        <f t="shared" ca="1" si="130"/>
        <v>6.6564067095702466</v>
      </c>
      <c r="CA14" s="37">
        <f t="shared" ca="1" si="131"/>
        <v>3.1512952004317039</v>
      </c>
      <c r="CB14" s="37">
        <f t="shared" ca="1" si="132"/>
        <v>3.6431792895757229</v>
      </c>
      <c r="CC14" s="37">
        <f t="shared" ca="1" si="133"/>
        <v>7.9473217454721734</v>
      </c>
      <c r="CD14" s="37">
        <f t="shared" ca="1" si="134"/>
        <v>3.6431792895757229</v>
      </c>
      <c r="CE14" s="37">
        <f t="shared" ca="1" si="135"/>
        <v>1.5926080616274971</v>
      </c>
    </row>
    <row r="15" spans="1:83" x14ac:dyDescent="0.25">
      <c r="A15" t="str">
        <f>PLANTILLA!D17</f>
        <v>J. G. Peñuela</v>
      </c>
      <c r="B15">
        <f>PLANTILLA!E17</f>
        <v>17</v>
      </c>
      <c r="C15" s="33">
        <f ca="1">PLANTILLA!F17</f>
        <v>82</v>
      </c>
      <c r="D15" s="220" t="str">
        <f>PLANTILLA!G17</f>
        <v>IMP</v>
      </c>
      <c r="E15" s="30">
        <f>PLANTILLA!M17</f>
        <v>43054</v>
      </c>
      <c r="F15" s="47">
        <f>PLANTILLA!Q17</f>
        <v>6</v>
      </c>
      <c r="G15" s="48">
        <f t="shared" si="1"/>
        <v>0.92582009977255142</v>
      </c>
      <c r="H15" s="48">
        <f t="shared" si="2"/>
        <v>0.99928545900129484</v>
      </c>
      <c r="I15" s="51">
        <f t="shared" ca="1" si="3"/>
        <v>0.44986770542121868</v>
      </c>
      <c r="J15" s="39">
        <f>PLANTILLA!I17</f>
        <v>1.2</v>
      </c>
      <c r="K15" s="46">
        <f>PLANTILLA!X17</f>
        <v>0</v>
      </c>
      <c r="L15" s="46">
        <f>PLANTILLA!Y17</f>
        <v>3</v>
      </c>
      <c r="M15" s="46">
        <f>PLANTILLA!Z17</f>
        <v>5</v>
      </c>
      <c r="N15" s="46">
        <f>PLANTILLA!AA17</f>
        <v>4</v>
      </c>
      <c r="O15" s="46">
        <f>PLANTILLA!AB17</f>
        <v>4.25</v>
      </c>
      <c r="P15" s="46">
        <f>PLANTILLA!AC17</f>
        <v>5.3116666666666665</v>
      </c>
      <c r="Q15" s="46">
        <f>PLANTILLA!AD17</f>
        <v>3</v>
      </c>
      <c r="R15" s="46">
        <f t="shared" si="70"/>
        <v>1.8125</v>
      </c>
      <c r="S15" s="46">
        <f t="shared" si="71"/>
        <v>0.35558333333333331</v>
      </c>
      <c r="T15" s="46">
        <f t="shared" si="72"/>
        <v>0.21000000000000002</v>
      </c>
      <c r="U15" s="46">
        <f t="shared" ca="1" si="73"/>
        <v>3.2917003153897451</v>
      </c>
      <c r="V15" s="46">
        <f t="shared" ca="1" si="74"/>
        <v>3.55290219057358</v>
      </c>
      <c r="W15" s="37">
        <f t="shared" ca="1" si="75"/>
        <v>1.3129014772321592</v>
      </c>
      <c r="X15" s="37">
        <f t="shared" ca="1" si="76"/>
        <v>1.992076525895438</v>
      </c>
      <c r="Y15" s="37">
        <f t="shared" ca="1" si="77"/>
        <v>1.3129014772321592</v>
      </c>
      <c r="Z15" s="37">
        <f t="shared" ca="1" si="78"/>
        <v>1.8139780214953516</v>
      </c>
      <c r="AA15" s="37">
        <f t="shared" ca="1" si="79"/>
        <v>3.5554427001513851</v>
      </c>
      <c r="AB15" s="37">
        <f t="shared" ca="1" si="80"/>
        <v>0.90698901074767579</v>
      </c>
      <c r="AC15" s="37">
        <f t="shared" ca="1" si="81"/>
        <v>1.706671149932619</v>
      </c>
      <c r="AD15" s="37">
        <f t="shared" ca="1" si="82"/>
        <v>1.3288443645838039</v>
      </c>
      <c r="AE15" s="37">
        <f t="shared" ca="1" si="83"/>
        <v>2.5705850722094512</v>
      </c>
      <c r="AF15" s="37">
        <f t="shared" ca="1" si="84"/>
        <v>0.66442218229190197</v>
      </c>
      <c r="AG15" s="37">
        <f t="shared" ca="1" si="85"/>
        <v>2.7607915660674722</v>
      </c>
      <c r="AH15" s="37">
        <f t="shared" ca="1" si="86"/>
        <v>3.2710072841392743</v>
      </c>
      <c r="AI15" s="37">
        <f t="shared" ca="1" si="87"/>
        <v>1.592857918378753</v>
      </c>
      <c r="AJ15" s="37">
        <f t="shared" ca="1" si="88"/>
        <v>0.92775893092528139</v>
      </c>
      <c r="AK15" s="37">
        <f t="shared" ca="1" si="89"/>
        <v>2.6786003076890141</v>
      </c>
      <c r="AL15" s="37">
        <f t="shared" ca="1" si="90"/>
        <v>2.6808037959141444</v>
      </c>
      <c r="AM15" s="37">
        <f t="shared" ca="1" si="91"/>
        <v>2.7240178894013458</v>
      </c>
      <c r="AN15" s="37">
        <f t="shared" ca="1" si="92"/>
        <v>0.59375893092528131</v>
      </c>
      <c r="AO15" s="37">
        <f t="shared" ca="1" si="93"/>
        <v>0.68196749764359887</v>
      </c>
      <c r="AP15" s="37">
        <f t="shared" ca="1" si="94"/>
        <v>0.95996952904087407</v>
      </c>
      <c r="AQ15" s="37">
        <f t="shared" ca="1" si="95"/>
        <v>2.1119329638899225</v>
      </c>
      <c r="AR15" s="37">
        <f t="shared" ca="1" si="96"/>
        <v>0.47998476452043703</v>
      </c>
      <c r="AS15" s="37">
        <f t="shared" ca="1" si="97"/>
        <v>5.2443379089429074</v>
      </c>
      <c r="AT15" s="37">
        <f t="shared" ca="1" si="98"/>
        <v>0.62470755101968012</v>
      </c>
      <c r="AU15" s="37">
        <f t="shared" ca="1" si="99"/>
        <v>1.5916630444776891</v>
      </c>
      <c r="AV15" s="37">
        <f t="shared" ca="1" si="100"/>
        <v>0.31235377550984006</v>
      </c>
      <c r="AW15" s="37">
        <f t="shared" ca="1" si="101"/>
        <v>0.6719786703286118</v>
      </c>
      <c r="AX15" s="37">
        <f t="shared" ca="1" si="102"/>
        <v>1.4221770800605542</v>
      </c>
      <c r="AY15" s="37">
        <f t="shared" ca="1" si="103"/>
        <v>0.3359893351643059</v>
      </c>
      <c r="AZ15" s="37">
        <f t="shared" ca="1" si="104"/>
        <v>5.5554427001513851</v>
      </c>
      <c r="BA15" s="37">
        <f t="shared" ca="1" si="105"/>
        <v>1.2157770031383004</v>
      </c>
      <c r="BB15" s="37">
        <f t="shared" ca="1" si="106"/>
        <v>2.8707489277834135</v>
      </c>
      <c r="BC15" s="37">
        <f t="shared" ca="1" si="107"/>
        <v>0.6078885015691502</v>
      </c>
      <c r="BD15" s="37">
        <f t="shared" ca="1" si="108"/>
        <v>1.034633825744053</v>
      </c>
      <c r="BE15" s="37">
        <f t="shared" ca="1" si="109"/>
        <v>1.237294059652682</v>
      </c>
      <c r="BF15" s="37">
        <f t="shared" ca="1" si="110"/>
        <v>4.8943450188333699</v>
      </c>
      <c r="BG15" s="37">
        <f t="shared" ca="1" si="111"/>
        <v>4.1285385604345812</v>
      </c>
      <c r="BH15" s="37">
        <f t="shared" ca="1" si="112"/>
        <v>1.1581116907364837</v>
      </c>
      <c r="BI15" s="37">
        <f t="shared" ca="1" si="113"/>
        <v>1.7243897095734217</v>
      </c>
      <c r="BJ15" s="37">
        <f t="shared" ca="1" si="114"/>
        <v>0.93863687283996566</v>
      </c>
      <c r="BK15" s="37">
        <f t="shared" ca="1" si="115"/>
        <v>2.1166236687576778</v>
      </c>
      <c r="BL15" s="37">
        <f t="shared" ca="1" si="116"/>
        <v>4.0317069199323115</v>
      </c>
      <c r="BM15" s="37">
        <f t="shared" ca="1" si="117"/>
        <v>0.24988302040787203</v>
      </c>
      <c r="BN15" s="37">
        <f t="shared" ca="1" si="118"/>
        <v>0.63997968602724931</v>
      </c>
      <c r="BO15" s="37">
        <f t="shared" ca="1" si="119"/>
        <v>0.24177010361029419</v>
      </c>
      <c r="BP15" s="37">
        <f t="shared" ca="1" si="120"/>
        <v>1.6944100235461723</v>
      </c>
      <c r="BQ15" s="37">
        <f t="shared" ca="1" si="121"/>
        <v>5.9297993123946808</v>
      </c>
      <c r="BR15" s="37">
        <f t="shared" ca="1" si="122"/>
        <v>0.64873476452043699</v>
      </c>
      <c r="BS15" s="37">
        <f t="shared" ca="1" si="123"/>
        <v>1.0097457268429932</v>
      </c>
      <c r="BT15" s="37">
        <f t="shared" ca="1" si="124"/>
        <v>0.86752801883693798</v>
      </c>
      <c r="BU15" s="37">
        <f t="shared" ca="1" si="125"/>
        <v>3.5054843437955241</v>
      </c>
      <c r="BV15" s="37">
        <f t="shared" ca="1" si="126"/>
        <v>4.1253712166354894</v>
      </c>
      <c r="BW15" s="37">
        <f t="shared" ca="1" si="127"/>
        <v>0.71120551962240497</v>
      </c>
      <c r="BX15" s="37">
        <f t="shared" ca="1" si="128"/>
        <v>2.2555097362614625</v>
      </c>
      <c r="BY15" s="37">
        <f t="shared" ca="1" si="129"/>
        <v>2.6024673134455383</v>
      </c>
      <c r="BZ15" s="37">
        <f t="shared" ca="1" si="130"/>
        <v>6.0298801470371259</v>
      </c>
      <c r="CA15" s="37">
        <f t="shared" ca="1" si="131"/>
        <v>2.6024673134455383</v>
      </c>
      <c r="CB15" s="37">
        <f t="shared" ca="1" si="132"/>
        <v>3.3653308021943129</v>
      </c>
      <c r="CC15" s="37">
        <f t="shared" ca="1" si="133"/>
        <v>7.6403177231739132</v>
      </c>
      <c r="CD15" s="37">
        <f t="shared" ca="1" si="134"/>
        <v>3.3653308021943129</v>
      </c>
      <c r="CE15" s="37">
        <f t="shared" ca="1" si="135"/>
        <v>1.3888606750378463</v>
      </c>
    </row>
    <row r="16" spans="1:83" x14ac:dyDescent="0.25">
      <c r="A16" t="str">
        <f>PLANTILLA!D18</f>
        <v>Paulo Beltrán</v>
      </c>
      <c r="B16">
        <f>PLANTILLA!E18</f>
        <v>17</v>
      </c>
      <c r="C16" s="33">
        <f ca="1">PLANTILLA!F18</f>
        <v>90</v>
      </c>
      <c r="D16" s="220" t="str">
        <f>PLANTILLA!G18</f>
        <v>RAP</v>
      </c>
      <c r="E16" s="30">
        <f>PLANTILLA!M18</f>
        <v>43046</v>
      </c>
      <c r="F16" s="47">
        <f>PLANTILLA!Q18</f>
        <v>6</v>
      </c>
      <c r="G16" s="48">
        <f t="shared" si="1"/>
        <v>0.92582009977255142</v>
      </c>
      <c r="H16" s="48">
        <f t="shared" si="2"/>
        <v>0.99928545900129484</v>
      </c>
      <c r="I16" s="51">
        <f t="shared" ca="1" si="3"/>
        <v>0.47559486560567099</v>
      </c>
      <c r="J16" s="39">
        <f>PLANTILLA!I18</f>
        <v>1.1000000000000001</v>
      </c>
      <c r="K16" s="46">
        <f>PLANTILLA!X18</f>
        <v>0</v>
      </c>
      <c r="L16" s="46">
        <f>PLANTILLA!Y18</f>
        <v>4</v>
      </c>
      <c r="M16" s="46">
        <f>PLANTILLA!Z18</f>
        <v>2</v>
      </c>
      <c r="N16" s="46">
        <f>PLANTILLA!AA18</f>
        <v>5</v>
      </c>
      <c r="O16" s="46">
        <f>PLANTILLA!AB18</f>
        <v>4</v>
      </c>
      <c r="P16" s="46">
        <f>PLANTILLA!AC18</f>
        <v>4.2431372549019599</v>
      </c>
      <c r="Q16" s="46">
        <f>PLANTILLA!AD18</f>
        <v>4</v>
      </c>
      <c r="R16" s="46">
        <f t="shared" si="70"/>
        <v>1.875</v>
      </c>
      <c r="S16" s="46">
        <f t="shared" si="71"/>
        <v>0.33215686274509804</v>
      </c>
      <c r="T16" s="46">
        <f t="shared" si="72"/>
        <v>0.27999999999999997</v>
      </c>
      <c r="U16" s="46">
        <f t="shared" ca="1" si="73"/>
        <v>4.1946919248872838</v>
      </c>
      <c r="V16" s="46">
        <f t="shared" ca="1" si="74"/>
        <v>4.527547680764112</v>
      </c>
      <c r="W16" s="37">
        <f t="shared" ca="1" si="75"/>
        <v>1.5673754031979248</v>
      </c>
      <c r="X16" s="37">
        <f t="shared" ca="1" si="76"/>
        <v>2.385243580215946</v>
      </c>
      <c r="Y16" s="37">
        <f t="shared" ca="1" si="77"/>
        <v>1.5673754031979248</v>
      </c>
      <c r="Z16" s="37">
        <f t="shared" ca="1" si="78"/>
        <v>2.3160748884983997</v>
      </c>
      <c r="AA16" s="37">
        <f t="shared" ca="1" si="79"/>
        <v>4.5307851124833043</v>
      </c>
      <c r="AB16" s="37">
        <f t="shared" ca="1" si="80"/>
        <v>1.1580374442491999</v>
      </c>
      <c r="AC16" s="37">
        <f t="shared" ca="1" si="81"/>
        <v>1.0087901529455006</v>
      </c>
      <c r="AD16" s="37">
        <f t="shared" ca="1" si="82"/>
        <v>1.696659511341851</v>
      </c>
      <c r="AE16" s="37">
        <f t="shared" ca="1" si="83"/>
        <v>3.2757576363254288</v>
      </c>
      <c r="AF16" s="37">
        <f t="shared" ca="1" si="84"/>
        <v>0.8483297556709255</v>
      </c>
      <c r="AG16" s="37">
        <f t="shared" ca="1" si="85"/>
        <v>1.6318664238824276</v>
      </c>
      <c r="AH16" s="37">
        <f t="shared" ca="1" si="86"/>
        <v>4.1683223034846399</v>
      </c>
      <c r="AI16" s="37">
        <f t="shared" ca="1" si="87"/>
        <v>2.0035640054880886</v>
      </c>
      <c r="AJ16" s="37">
        <f t="shared" ca="1" si="88"/>
        <v>0.42264111378471186</v>
      </c>
      <c r="AK16" s="37">
        <f t="shared" ca="1" si="89"/>
        <v>3.2521016461401828</v>
      </c>
      <c r="AL16" s="37">
        <f t="shared" ca="1" si="90"/>
        <v>3.4162119748124113</v>
      </c>
      <c r="AM16" s="37">
        <f t="shared" ca="1" si="91"/>
        <v>3.4263848209796297</v>
      </c>
      <c r="AN16" s="37">
        <f t="shared" ca="1" si="92"/>
        <v>0.75664111378471188</v>
      </c>
      <c r="AO16" s="37">
        <f t="shared" ca="1" si="93"/>
        <v>0.69286611239519158</v>
      </c>
      <c r="AP16" s="37">
        <f t="shared" ca="1" si="94"/>
        <v>1.2233119803704922</v>
      </c>
      <c r="AQ16" s="37">
        <f t="shared" ca="1" si="95"/>
        <v>2.6912863568150827</v>
      </c>
      <c r="AR16" s="37">
        <f t="shared" ca="1" si="96"/>
        <v>0.61165599018524608</v>
      </c>
      <c r="AS16" s="37">
        <f t="shared" ca="1" si="97"/>
        <v>2.3890611461842393</v>
      </c>
      <c r="AT16" s="37">
        <f t="shared" ca="1" si="98"/>
        <v>0.58900206462282956</v>
      </c>
      <c r="AU16" s="37">
        <f t="shared" ca="1" si="99"/>
        <v>1.3695827830556473</v>
      </c>
      <c r="AV16" s="37">
        <f t="shared" ca="1" si="100"/>
        <v>0.29450103231141478</v>
      </c>
      <c r="AW16" s="37">
        <f t="shared" ca="1" si="101"/>
        <v>0.85631838625934453</v>
      </c>
      <c r="AX16" s="37">
        <f t="shared" ca="1" si="102"/>
        <v>1.8123140449933217</v>
      </c>
      <c r="AY16" s="37">
        <f t="shared" ca="1" si="103"/>
        <v>0.42815919312967227</v>
      </c>
      <c r="AZ16" s="37">
        <f t="shared" ca="1" si="104"/>
        <v>2.5307851124833043</v>
      </c>
      <c r="BA16" s="37">
        <f t="shared" ca="1" si="105"/>
        <v>1.146288633458276</v>
      </c>
      <c r="BB16" s="37">
        <f t="shared" ca="1" si="106"/>
        <v>2.5475214205077124</v>
      </c>
      <c r="BC16" s="37">
        <f t="shared" ca="1" si="107"/>
        <v>0.57314431672913801</v>
      </c>
      <c r="BD16" s="37">
        <f t="shared" ca="1" si="108"/>
        <v>1.3184584677326414</v>
      </c>
      <c r="BE16" s="37">
        <f t="shared" ca="1" si="109"/>
        <v>1.5767132191441897</v>
      </c>
      <c r="BF16" s="37">
        <f t="shared" ca="1" si="110"/>
        <v>2.2296216840977912</v>
      </c>
      <c r="BG16" s="37">
        <f t="shared" ca="1" si="111"/>
        <v>4.6018679649976573</v>
      </c>
      <c r="BH16" s="37">
        <f t="shared" ca="1" si="112"/>
        <v>1.0919192121084762</v>
      </c>
      <c r="BI16" s="37">
        <f t="shared" ca="1" si="113"/>
        <v>2.1974307795544026</v>
      </c>
      <c r="BJ16" s="37">
        <f t="shared" ca="1" si="114"/>
        <v>1.1961272696955925</v>
      </c>
      <c r="BK16" s="37">
        <f t="shared" ca="1" si="115"/>
        <v>0.9642291278561389</v>
      </c>
      <c r="BL16" s="37">
        <f t="shared" ca="1" si="116"/>
        <v>4.6329061883104083</v>
      </c>
      <c r="BM16" s="37">
        <f t="shared" ca="1" si="117"/>
        <v>0.23560082584913181</v>
      </c>
      <c r="BN16" s="37">
        <f t="shared" ca="1" si="118"/>
        <v>0.81554132024699477</v>
      </c>
      <c r="BO16" s="37">
        <f t="shared" ca="1" si="119"/>
        <v>0.30809338764886474</v>
      </c>
      <c r="BP16" s="37">
        <f t="shared" ca="1" si="120"/>
        <v>0.77188945930740782</v>
      </c>
      <c r="BQ16" s="37">
        <f t="shared" ca="1" si="121"/>
        <v>6.826589654653529</v>
      </c>
      <c r="BR16" s="37">
        <f t="shared" ca="1" si="122"/>
        <v>0.61165599018524608</v>
      </c>
      <c r="BS16" s="37">
        <f t="shared" ca="1" si="123"/>
        <v>1.2867429719452583</v>
      </c>
      <c r="BT16" s="37">
        <f t="shared" ca="1" si="124"/>
        <v>1.1055115674459262</v>
      </c>
      <c r="BU16" s="37">
        <f t="shared" ca="1" si="125"/>
        <v>1.5969254059769651</v>
      </c>
      <c r="BV16" s="37">
        <f t="shared" ca="1" si="126"/>
        <v>4.7570526756725569</v>
      </c>
      <c r="BW16" s="37">
        <f t="shared" ca="1" si="127"/>
        <v>0.67055619664752897</v>
      </c>
      <c r="BX16" s="37">
        <f t="shared" ca="1" si="128"/>
        <v>1.0274987556682216</v>
      </c>
      <c r="BY16" s="37">
        <f t="shared" ca="1" si="129"/>
        <v>2.5354174749763505</v>
      </c>
      <c r="BZ16" s="37">
        <f t="shared" ca="1" si="130"/>
        <v>5.2434130562640435</v>
      </c>
      <c r="CA16" s="37">
        <f t="shared" ca="1" si="131"/>
        <v>2.5354174749763505</v>
      </c>
      <c r="CB16" s="37">
        <f t="shared" ca="1" si="132"/>
        <v>3.1414203015476865</v>
      </c>
      <c r="CC16" s="37">
        <f t="shared" ca="1" si="133"/>
        <v>6.4457820738916034</v>
      </c>
      <c r="CD16" s="37">
        <f t="shared" ca="1" si="134"/>
        <v>3.1414203015476865</v>
      </c>
      <c r="CE16" s="37">
        <f t="shared" ca="1" si="135"/>
        <v>0.63269627812082607</v>
      </c>
    </row>
    <row r="17" spans="1:83" x14ac:dyDescent="0.25">
      <c r="A17" t="str">
        <f>PLANTILLA!D20</f>
        <v>Nicolás Eans</v>
      </c>
      <c r="B17">
        <f>PLANTILLA!E20</f>
        <v>18</v>
      </c>
      <c r="C17" s="33">
        <f ca="1">PLANTILLA!F20</f>
        <v>11</v>
      </c>
      <c r="D17" s="220" t="str">
        <f>PLANTILLA!G20</f>
        <v>TEC</v>
      </c>
      <c r="E17" s="30">
        <f>PLANTILLA!M20</f>
        <v>43046</v>
      </c>
      <c r="F17" s="47">
        <f>PLANTILLA!Q20</f>
        <v>5</v>
      </c>
      <c r="G17" s="48">
        <f t="shared" si="1"/>
        <v>0.84515425472851657</v>
      </c>
      <c r="H17" s="48">
        <f t="shared" si="2"/>
        <v>0.92504826128926143</v>
      </c>
      <c r="I17" s="51">
        <f t="shared" ca="1" si="3"/>
        <v>0.47559486560567099</v>
      </c>
      <c r="J17" s="39">
        <f>PLANTILLA!I20</f>
        <v>0.5</v>
      </c>
      <c r="K17" s="46">
        <f>PLANTILLA!X20</f>
        <v>0</v>
      </c>
      <c r="L17" s="46">
        <f>PLANTILLA!Y20</f>
        <v>5</v>
      </c>
      <c r="M17" s="46">
        <f>PLANTILLA!Z20</f>
        <v>2</v>
      </c>
      <c r="N17" s="46">
        <f>PLANTILLA!AA20</f>
        <v>3</v>
      </c>
      <c r="O17" s="46">
        <f>PLANTILLA!AB20</f>
        <v>4.75</v>
      </c>
      <c r="P17" s="46">
        <f>PLANTILLA!AC20</f>
        <v>6.2173913043478271</v>
      </c>
      <c r="Q17" s="46">
        <f>PLANTILLA!AD20</f>
        <v>3</v>
      </c>
      <c r="R17" s="46">
        <f t="shared" si="70"/>
        <v>2.1875</v>
      </c>
      <c r="S17" s="46">
        <f t="shared" si="71"/>
        <v>0.40086956521739137</v>
      </c>
      <c r="T17" s="46">
        <f t="shared" si="72"/>
        <v>0.28999999999999998</v>
      </c>
      <c r="U17" s="46">
        <f t="shared" ca="1" si="73"/>
        <v>2.5981914128641255</v>
      </c>
      <c r="V17" s="46">
        <f t="shared" ca="1" si="74"/>
        <v>2.8438032885945703</v>
      </c>
      <c r="W17" s="37">
        <f t="shared" ca="1" si="75"/>
        <v>1.4447954027208767</v>
      </c>
      <c r="X17" s="37">
        <f t="shared" ca="1" si="76"/>
        <v>2.2208200056273215</v>
      </c>
      <c r="Y17" s="37">
        <f t="shared" ca="1" si="77"/>
        <v>1.4447954027208767</v>
      </c>
      <c r="Z17" s="37">
        <f t="shared" ca="1" si="78"/>
        <v>2.5964880840927216</v>
      </c>
      <c r="AA17" s="37">
        <f t="shared" ca="1" si="79"/>
        <v>5.0742215380536955</v>
      </c>
      <c r="AB17" s="37">
        <f t="shared" ca="1" si="80"/>
        <v>1.2982440420463608</v>
      </c>
      <c r="AC17" s="37">
        <f t="shared" ca="1" si="81"/>
        <v>0.90012802223125388</v>
      </c>
      <c r="AD17" s="37">
        <f t="shared" ca="1" si="82"/>
        <v>1.9020784802074588</v>
      </c>
      <c r="AE17" s="37">
        <f t="shared" ca="1" si="83"/>
        <v>3.6686621720128216</v>
      </c>
      <c r="AF17" s="37">
        <f t="shared" ca="1" si="84"/>
        <v>0.95103924010372942</v>
      </c>
      <c r="AG17" s="37">
        <f t="shared" ca="1" si="85"/>
        <v>1.4560894477270283</v>
      </c>
      <c r="AH17" s="37">
        <f t="shared" ca="1" si="86"/>
        <v>4.6682838150094002</v>
      </c>
      <c r="AI17" s="37">
        <f t="shared" ca="1" si="87"/>
        <v>2.2285466856742304</v>
      </c>
      <c r="AJ17" s="37">
        <f t="shared" ca="1" si="88"/>
        <v>0.34639499685496722</v>
      </c>
      <c r="AK17" s="37">
        <f t="shared" ca="1" si="89"/>
        <v>1.8076422643755732</v>
      </c>
      <c r="AL17" s="37">
        <f t="shared" ca="1" si="90"/>
        <v>3.8259630396924864</v>
      </c>
      <c r="AM17" s="37">
        <f t="shared" ca="1" si="91"/>
        <v>3.811137810283467</v>
      </c>
      <c r="AN17" s="37">
        <f t="shared" ca="1" si="92"/>
        <v>0.51339499685496726</v>
      </c>
      <c r="AO17" s="37">
        <f t="shared" ca="1" si="93"/>
        <v>0.6513758029594644</v>
      </c>
      <c r="AP17" s="37">
        <f t="shared" ca="1" si="94"/>
        <v>1.3700398152744979</v>
      </c>
      <c r="AQ17" s="37">
        <f t="shared" ca="1" si="95"/>
        <v>3.0140875936038949</v>
      </c>
      <c r="AR17" s="37">
        <f t="shared" ca="1" si="96"/>
        <v>0.68501990763724896</v>
      </c>
      <c r="AS17" s="37">
        <f t="shared" ca="1" si="97"/>
        <v>1.9580651319226889</v>
      </c>
      <c r="AT17" s="37">
        <f t="shared" ca="1" si="98"/>
        <v>0.62714879994698047</v>
      </c>
      <c r="AU17" s="37">
        <f t="shared" ca="1" si="99"/>
        <v>1.6673556063019066</v>
      </c>
      <c r="AV17" s="37">
        <f t="shared" ca="1" si="100"/>
        <v>0.31357439997349024</v>
      </c>
      <c r="AW17" s="37">
        <f t="shared" ca="1" si="101"/>
        <v>0.95902787069214845</v>
      </c>
      <c r="AX17" s="37">
        <f t="shared" ca="1" si="102"/>
        <v>2.0296886152214784</v>
      </c>
      <c r="AY17" s="37">
        <f t="shared" ca="1" si="103"/>
        <v>0.47951393534607423</v>
      </c>
      <c r="AZ17" s="37">
        <f t="shared" ca="1" si="104"/>
        <v>2.0742215380536959</v>
      </c>
      <c r="BA17" s="37">
        <f t="shared" ca="1" si="105"/>
        <v>1.2205280491275849</v>
      </c>
      <c r="BB17" s="37">
        <f t="shared" ca="1" si="106"/>
        <v>2.9662982413806303</v>
      </c>
      <c r="BC17" s="37">
        <f t="shared" ca="1" si="107"/>
        <v>0.61026402456379247</v>
      </c>
      <c r="BD17" s="37">
        <f t="shared" ca="1" si="108"/>
        <v>1.4765984675736252</v>
      </c>
      <c r="BE17" s="37">
        <f t="shared" ca="1" si="109"/>
        <v>1.7658290952426858</v>
      </c>
      <c r="BF17" s="37">
        <f t="shared" ca="1" si="110"/>
        <v>1.8273891750253062</v>
      </c>
      <c r="BG17" s="37">
        <f t="shared" ca="1" si="111"/>
        <v>3.2842329473297354</v>
      </c>
      <c r="BH17" s="37">
        <f t="shared" ca="1" si="112"/>
        <v>1.1626373906709406</v>
      </c>
      <c r="BI17" s="37">
        <f t="shared" ca="1" si="113"/>
        <v>2.4609974459560422</v>
      </c>
      <c r="BJ17" s="37">
        <f t="shared" ca="1" si="114"/>
        <v>1.3395944860461757</v>
      </c>
      <c r="BK17" s="37">
        <f t="shared" ca="1" si="115"/>
        <v>0.79027840599845811</v>
      </c>
      <c r="BL17" s="37">
        <f t="shared" ca="1" si="116"/>
        <v>3.0386196242589301</v>
      </c>
      <c r="BM17" s="37">
        <f t="shared" ca="1" si="117"/>
        <v>0.25085951997879213</v>
      </c>
      <c r="BN17" s="37">
        <f t="shared" ca="1" si="118"/>
        <v>0.91335987684966513</v>
      </c>
      <c r="BO17" s="37">
        <f t="shared" ca="1" si="119"/>
        <v>0.34504706458765133</v>
      </c>
      <c r="BP17" s="37">
        <f t="shared" ca="1" si="120"/>
        <v>0.63263756910637725</v>
      </c>
      <c r="BQ17" s="37">
        <f t="shared" ca="1" si="121"/>
        <v>4.4539488979370532</v>
      </c>
      <c r="BR17" s="37">
        <f t="shared" ca="1" si="122"/>
        <v>0.6512699076372489</v>
      </c>
      <c r="BS17" s="37">
        <f t="shared" ca="1" si="123"/>
        <v>1.4410789168072493</v>
      </c>
      <c r="BT17" s="37">
        <f t="shared" ca="1" si="124"/>
        <v>1.2381100552851017</v>
      </c>
      <c r="BU17" s="37">
        <f t="shared" ca="1" si="125"/>
        <v>1.3088337905118821</v>
      </c>
      <c r="BV17" s="37">
        <f t="shared" ca="1" si="126"/>
        <v>3.0891782765580578</v>
      </c>
      <c r="BW17" s="37">
        <f t="shared" ca="1" si="127"/>
        <v>0.71398478763194695</v>
      </c>
      <c r="BX17" s="37">
        <f t="shared" ca="1" si="128"/>
        <v>0.84213394444980061</v>
      </c>
      <c r="BY17" s="37">
        <f t="shared" ca="1" si="129"/>
        <v>2.8232158400224452</v>
      </c>
      <c r="BZ17" s="37">
        <f t="shared" ca="1" si="130"/>
        <v>6.2875625822832442</v>
      </c>
      <c r="CA17" s="37">
        <f t="shared" ca="1" si="131"/>
        <v>2.8232158400224452</v>
      </c>
      <c r="CB17" s="37">
        <f t="shared" ca="1" si="132"/>
        <v>3.2086313225552789</v>
      </c>
      <c r="CC17" s="37">
        <f t="shared" ca="1" si="133"/>
        <v>8.0717505899433366</v>
      </c>
      <c r="CD17" s="37">
        <f t="shared" ca="1" si="134"/>
        <v>3.2086313225552789</v>
      </c>
      <c r="CE17" s="37">
        <f t="shared" ca="1" si="135"/>
        <v>0.51855538451342398</v>
      </c>
    </row>
    <row r="18" spans="1:83" x14ac:dyDescent="0.25">
      <c r="A18" t="str">
        <f>PLANTILLA!D21</f>
        <v>Noel Fuster</v>
      </c>
      <c r="B18">
        <f>PLANTILLA!E21</f>
        <v>17</v>
      </c>
      <c r="C18" s="33">
        <f ca="1">PLANTILLA!F21</f>
        <v>79</v>
      </c>
      <c r="D18" s="220" t="str">
        <f>PLANTILLA!G21</f>
        <v>IMP</v>
      </c>
      <c r="E18" s="30">
        <f>PLANTILLA!M21</f>
        <v>43046</v>
      </c>
      <c r="F18" s="47">
        <f>PLANTILLA!Q21</f>
        <v>6</v>
      </c>
      <c r="G18" s="48">
        <f t="shared" si="1"/>
        <v>0.92582009977255142</v>
      </c>
      <c r="H18" s="48">
        <f t="shared" si="2"/>
        <v>0.99928545900129484</v>
      </c>
      <c r="I18" s="51">
        <f t="shared" ca="1" si="3"/>
        <v>0.47559486560567099</v>
      </c>
      <c r="J18" s="39">
        <f>PLANTILLA!I21</f>
        <v>0.5</v>
      </c>
      <c r="K18" s="46">
        <f>PLANTILLA!X21</f>
        <v>0</v>
      </c>
      <c r="L18" s="46">
        <f>PLANTILLA!Y21</f>
        <v>4</v>
      </c>
      <c r="M18" s="46">
        <f>PLANTILLA!Z21</f>
        <v>2</v>
      </c>
      <c r="N18" s="46">
        <f>PLANTILLA!AA21</f>
        <v>2</v>
      </c>
      <c r="O18" s="46">
        <f>PLANTILLA!AB21</f>
        <v>3.0496666666666665</v>
      </c>
      <c r="P18" s="46">
        <f>PLANTILLA!AC21</f>
        <v>5.1527777777777777</v>
      </c>
      <c r="Q18" s="46">
        <f>PLANTILLA!AD21</f>
        <v>2.5</v>
      </c>
      <c r="R18" s="46">
        <f t="shared" ref="R18:R19" si="136">((2*(O18+1))+(L18+1))/8</f>
        <v>1.6374166666666667</v>
      </c>
      <c r="S18" s="46">
        <f t="shared" ref="S18:S19" si="137">(0.5*P18+ 0.3*Q18)/10</f>
        <v>0.33263888888888887</v>
      </c>
      <c r="T18" s="46">
        <f t="shared" ref="T18:T19" si="138">(0.4*L18+0.3*Q18)/10</f>
        <v>0.23500000000000001</v>
      </c>
      <c r="U18" s="46">
        <f t="shared" ref="U18:U19" ca="1" si="139">IF(TODAY()-E18&gt;335,(Q18+1+(LOG(J18)*4/3))*(F18/7)^0.5,(Q18+((TODAY()-E18)^0.5)/(336^0.5)+(LOG(J18)*4/3))*(F18/7)^0.5)</f>
        <v>2.3832660411975235</v>
      </c>
      <c r="V18" s="46">
        <f t="shared" ref="V18:V19" ca="1" si="140">IF(F18=7,U18,IF(TODAY()-E18&gt;335,(Q18+1+(LOG(J18)*4/3))*((F18+0.99)/7)^0.5,(Q18+((TODAY()-E18)^0.5)/(336^0.5)+(LOG(J18)*4/3))*((F18+0.99)/7)^0.5))</f>
        <v>2.5723821512250069</v>
      </c>
      <c r="W18" s="37">
        <f t="shared" ref="W18:W19" ca="1" si="141">IF(TODAY()-E18&gt;335,((K18+1+(LOG(J18)*4/3))*0.597)+((L18+1+(LOG(J18)*4/3))*0.276),((K18+(((TODAY()-E18)^0.5)/(336^0.5))+(LOG(J18)*4/3))*0.597)+((L18+(((TODAY()-E18)^0.5)/(336^0.5))+(LOG(J18)*4/3))*0.276))</f>
        <v>1.1687954027208767</v>
      </c>
      <c r="X18" s="37">
        <f t="shared" ref="X18:X19" ca="1" si="142">IF(TODAY()-E18&gt;335,((K18+1+(LOG(J18)*4/3))*0.866)+((L18+1+(LOG(J18)*4/3))*0.425),((K18+(((TODAY()-E18)^0.5)/(336^0.5))+(LOG(J18)*4/3))*0.866)+((L18+(((TODAY()-E18)^0.5)/(336^0.5))+(LOG(J18)*4/3))*0.425))</f>
        <v>1.7958200056273212</v>
      </c>
      <c r="Y18" s="37">
        <f t="shared" ref="Y18:Y19" ca="1" si="143">W18</f>
        <v>1.1687954027208767</v>
      </c>
      <c r="Z18" s="37">
        <f t="shared" ref="Z18:Z19" ca="1" si="144">IF(TODAY()-E18&gt;335,((L18+1+(LOG(J18)*4/3))*0.516),((L18+(((TODAY()-E18)^0.5)/(336^0.516))+(LOG(J18)*4/3))*0.516))</f>
        <v>2.0804880840927216</v>
      </c>
      <c r="AA18" s="37">
        <f t="shared" ref="AA18:AA19" ca="1" si="145">IF(TODAY()-E18&gt;335,((L18+1+(LOG(J18)*4/3))*1),((L18+(((TODAY()-E18)^0.5)/(336^0.5))+(LOG(J18)*4/3))*1))</f>
        <v>4.0742215380536955</v>
      </c>
      <c r="AB18" s="37">
        <f t="shared" ref="AB18:AB19" ca="1" si="146">Z18/2</f>
        <v>1.0402440420463608</v>
      </c>
      <c r="AC18" s="37">
        <f t="shared" ref="AC18:AC19" ca="1" si="147">IF(TODAY()-E18&gt;335,((M18+1+(LOG(J18)*4/3))*0.238),((M18+(((TODAY()-E18)^0.5)/(336^0.238))+(LOG(J18)*4/3))*0.238))</f>
        <v>0.90012802223125388</v>
      </c>
      <c r="AD18" s="37">
        <f t="shared" ref="AD18:AD19" ca="1" si="148">IF(TODAY()-E18&gt;335,((L18+1+(LOG(J18)*4/3))*0.378),((L18+(((TODAY()-E18)^0.5)/(336^0.516))+(LOG(J18)*4/3))*0.378))</f>
        <v>1.5240784802074587</v>
      </c>
      <c r="AE18" s="37">
        <f t="shared" ref="AE18:AE19" ca="1" si="149">IF(TODAY()-E18&gt;335,((L18+1+(LOG(J18)*4/3))*0.723),((L18+(((TODAY()-E18)^0.5)/(336^0.5))+(LOG(J18)*4/3))*0.723))</f>
        <v>2.9456621720128218</v>
      </c>
      <c r="AF18" s="37">
        <f t="shared" ref="AF18:AF19" ca="1" si="150">AD18/2</f>
        <v>0.76203924010372937</v>
      </c>
      <c r="AG18" s="37">
        <f t="shared" ref="AG18:AG19" ca="1" si="151">IF(TODAY()-E18&gt;335,((M18+1+(LOG(J18)*4/3))*0.385),((M18+(((TODAY()-E18)^0.5)/(336^0.238))+(LOG(J18)*4/3))*0.385))</f>
        <v>1.4560894477270283</v>
      </c>
      <c r="AH18" s="37">
        <f t="shared" ref="AH18:AH19" ca="1" si="152">IF(TODAY()-E18&gt;335,((L18+1+(LOG(J18)*4/3))*0.92),((L18+(((TODAY()-E18)^0.5)/(336^0.5))+(LOG(J18)*4/3))*0.92))</f>
        <v>3.7482838150093998</v>
      </c>
      <c r="AI18" s="37">
        <f t="shared" ref="AI18:AI19" ca="1" si="153">IF(TODAY()-E18&gt;335,((L18+1+(LOG(J18)*4/3))*0.414),((L18+(((TODAY()-E18)^0.5)/(336^0.414))+(LOG(J18)*4/3))*0.414))</f>
        <v>1.8145466856742307</v>
      </c>
      <c r="AJ18" s="37">
        <f t="shared" ref="AJ18:AJ19" ca="1" si="154">IF(TODAY()-E18&gt;335,((M18+1+(LOG(J18)*4/3))*0.167),((M18+(((TODAY()-E18)^0.5)/(336^0.5))+(LOG(J18)*4/3))*0.167))</f>
        <v>0.34639499685496722</v>
      </c>
      <c r="AK18" s="37">
        <f t="shared" ref="AK18:AK19" ca="1" si="155">IF(TODAY()-E18&gt;335,((N18+1+(LOG(J18)*4/3))*0.588),((N18+(((TODAY()-E18)^0.5)/(336^0.5))+(LOG(J18)*4/3))*0.588))</f>
        <v>1.2196422643755731</v>
      </c>
      <c r="AL18" s="37">
        <f t="shared" ref="AL18:AL19" ca="1" si="156">IF(TODAY()-E18&gt;335,((L18+1+(LOG(J18)*4/3))*0.754),((L18+(((TODAY()-E18)^0.5)/(336^0.5))+(LOG(J18)*4/3))*0.754))</f>
        <v>3.0719630396924864</v>
      </c>
      <c r="AM18" s="37">
        <f t="shared" ref="AM18:AM19" ca="1" si="157">IF(TODAY()-E18&gt;335,((L18+1+(LOG(J18)*4/3))*0.708),((L18+(((TODAY()-E18)^0.5)/(336^0.414))+(LOG(J18)*4/3))*0.708))</f>
        <v>3.1031378102834668</v>
      </c>
      <c r="AN18" s="37">
        <f t="shared" ref="AN18:AN19" ca="1" si="158">IF(TODAY()-E18&gt;335,((Q18+1+(LOG(J18)*4/3))*0.167),((Q18+(((TODAY()-E18)^0.5)/(336^0.5))+(LOG(J18)*4/3))*0.167))</f>
        <v>0.42989499685496724</v>
      </c>
      <c r="AO18" s="37">
        <f t="shared" ref="AO18:AO19" ca="1" si="159">IF(TODAY()-E18&gt;335,((R18+1+(LOG(J18)*4/3))*0.288),((R18+(((TODAY()-E18)^0.5)/(336^0.5))+(LOG(J18)*4/3))*0.288))</f>
        <v>0.49295180295946439</v>
      </c>
      <c r="AP18" s="37">
        <f t="shared" ref="AP18:AP19" ca="1" si="160">IF(TODAY()-E18&gt;335,((L18+1+(LOG(J18)*4/3))*0.27),((L18+(((TODAY()-E18)^0.5)/(336^0.5))+(LOG(J18)*4/3))*0.27))</f>
        <v>1.1000398152744979</v>
      </c>
      <c r="AQ18" s="37">
        <f t="shared" ref="AQ18:AQ19" ca="1" si="161">IF(TODAY()-E18&gt;335,((L18+1+(LOG(J18)*4/3))*0.594),((L18+(((TODAY()-E18)^0.5)/(336^0.5))+(LOG(J18)*4/3))*0.594))</f>
        <v>2.420087593603895</v>
      </c>
      <c r="AR18" s="37">
        <f t="shared" ref="AR18:AR19" ca="1" si="162">AP18/2</f>
        <v>0.55001990763724895</v>
      </c>
      <c r="AS18" s="37">
        <f t="shared" ref="AS18:AS19" ca="1" si="163">IF(TODAY()-E18&gt;335,((M18+1+(LOG(J18)*4/3))*0.944),((M18+(((TODAY()-E18)^0.5)/(336^0.5))+(LOG(J18)*4/3))*0.944))</f>
        <v>1.9580651319226889</v>
      </c>
      <c r="AT18" s="37">
        <f t="shared" ref="AT18:AT19" ca="1" si="164">IF(TODAY()-E18&gt;335,((O18+1+(LOG(J18)*4/3))*0.13),((O18+(((TODAY()-E18)^0.5)/(336^0.5))+(LOG(J18)*4/3))*0.13))</f>
        <v>0.40610546661364721</v>
      </c>
      <c r="AU18" s="37">
        <f t="shared" ref="AU18:AU19" ca="1" si="165">IF(TODAY()-E18&gt;335,((P18+1+(LOG(J18)*4/3))*0.173)+((O18+1+(LOG(J18)*4/3))*0.12),((P18+(((TODAY()-E18)^0.5)/(336^0.5))+(LOG(J18)*4/3))*0.173)+((O18+(((TODAY()-E18)^0.5)/(336^0.5))+(LOG(J18)*4/3))*0.12))</f>
        <v>1.2791374662052883</v>
      </c>
      <c r="AV18" s="37">
        <f t="shared" ref="AV18:AV19" ca="1" si="166">AT18/2</f>
        <v>0.20305273330682361</v>
      </c>
      <c r="AW18" s="37">
        <f t="shared" ref="AW18:AW19" ca="1" si="167">IF(TODAY()-E18&gt;335,((L18+1+(LOG(J18)*4/3))*0.189),((L18+(((TODAY()-E18)^0.5)/(336^0.5))+(LOG(J18)*4/3))*0.189))</f>
        <v>0.7700278706921484</v>
      </c>
      <c r="AX18" s="37">
        <f t="shared" ref="AX18:AX19" ca="1" si="168">IF(TODAY()-E18&gt;335,((L18+1+(LOG(J18)*4/3))*0.4),((L18+(((TODAY()-E18)^0.5)/(336^0.5))+(LOG(J18)*4/3))*0.4))</f>
        <v>1.6296886152214782</v>
      </c>
      <c r="AY18" s="37">
        <f t="shared" ref="AY18:AY19" ca="1" si="169">AW18/2</f>
        <v>0.3850139353460742</v>
      </c>
      <c r="AZ18" s="37">
        <f t="shared" ref="AZ18:AZ19" ca="1" si="170">IF(TODAY()-E18&gt;335,((M18+1+(LOG(J18)*4/3))*1),((M18+(((TODAY()-E18)^0.5)/(336^0.5))+(LOG(J18)*4/3))*1))</f>
        <v>2.0742215380536959</v>
      </c>
      <c r="BA18" s="37">
        <f t="shared" ref="BA18:BA19" ca="1" si="171">IF(TODAY()-E18&gt;335,((O18+1+(LOG(J18)*4/3))*0.253),((O18+(((TODAY()-E18)^0.5)/(336^0.5))+(LOG(J18)*4/3))*0.253))</f>
        <v>0.79034371579425178</v>
      </c>
      <c r="BB18" s="37">
        <f t="shared" ref="BB18:BB19" ca="1" si="172">IF(TODAY()-E18&gt;335,((P18+1+(LOG(J18)*4/3))*0.21)+((O18+1+(LOG(J18)*4/3))*0.341),((P18+(((TODAY()-E18)^0.5)/(336^0.5))+(LOG(J18)*4/3))*0.21)+((O18+(((TODAY()-E18)^0.5)/(336^0.5))+(LOG(J18)*4/3))*0.341))</f>
        <v>2.1629157341342529</v>
      </c>
      <c r="BC18" s="37">
        <f t="shared" ref="BC18:BC19" ca="1" si="173">BA18/2</f>
        <v>0.39517185789712589</v>
      </c>
      <c r="BD18" s="37">
        <f t="shared" ref="BD18:BD19" ca="1" si="174">IF(TODAY()-E18&gt;335,((L18+1+(LOG(J18)*4/3))*0.291),((L18+(((TODAY()-E18)^0.5)/(336^0.5))+(LOG(J18)*4/3))*0.291))</f>
        <v>1.1855984675736253</v>
      </c>
      <c r="BE18" s="37">
        <f t="shared" ref="BE18:BE19" ca="1" si="175">IF(TODAY()-E18&gt;335,((L18+1+(LOG(J18)*4/3))*0.348),((L18+(((TODAY()-E18)^0.5)/(336^0.5))+(LOG(J18)*4/3))*0.348))</f>
        <v>1.417829095242686</v>
      </c>
      <c r="BF18" s="37">
        <f t="shared" ref="BF18:BF19" ca="1" si="176">IF(TODAY()-E18&gt;335,((M18+1+(LOG(J18)*4/3))*0.881),((M18+(((TODAY()-E18)^0.5)/(336^0.5))+(LOG(J18)*4/3))*0.881))</f>
        <v>1.8273891750253062</v>
      </c>
      <c r="BG18" s="37">
        <f t="shared" ref="BG18:BG19" ca="1" si="177">IF(TODAY()-E18&gt;335,((N18+1+(LOG(J18)*4/3))*0.574)+((O18+1+(LOG(J18)*4/3))*0.315),((N18+(((TODAY()-E18)^0.5)/(336^0.5))+(LOG(J18)*4/3))*0.574)+((O18+(((TODAY()-E18)^0.5)/(336^0.5))+(LOG(J18)*4/3))*0.315))</f>
        <v>2.1746279473297356</v>
      </c>
      <c r="BH18" s="37">
        <f t="shared" ref="BH18:BH19" ca="1" si="178">IF(TODAY()-E18&gt;335,((O18+1+(LOG(J18)*4/3))*0.241),((O18+(((TODAY()-E18)^0.5)/(336^0.5))+(LOG(J18)*4/3))*0.241))</f>
        <v>0.75285705733760744</v>
      </c>
      <c r="BI18" s="37">
        <f t="shared" ref="BI18:BI19" ca="1" si="179">IF(TODAY()-E18&gt;335,((L18+1+(LOG(J18)*4/3))*0.485),((L18+(((TODAY()-E18)^0.5)/(336^0.5))+(LOG(J18)*4/3))*0.485))</f>
        <v>1.9759974459560423</v>
      </c>
      <c r="BJ18" s="37">
        <f t="shared" ref="BJ18:BJ19" ca="1" si="180">IF(TODAY()-E18&gt;335,((L18+1+(LOG(J18)*4/3))*0.264),((L18+(((TODAY()-E18)^0.5)/(336^0.5))+(LOG(J18)*4/3))*0.264))</f>
        <v>1.0755944860461757</v>
      </c>
      <c r="BK18" s="37">
        <f t="shared" ref="BK18:BK19" ca="1" si="181">IF(TODAY()-E18&gt;335,((M18+1+(LOG(J18)*4/3))*0.381),((M18+(((TODAY()-E18)^0.5)/(336^0.5))+(LOG(J18)*4/3))*0.381))</f>
        <v>0.79027840599845811</v>
      </c>
      <c r="BL18" s="37">
        <f t="shared" ref="BL18:BL19" ca="1" si="182">IF(TODAY()-E18&gt;335,((N18+1+(LOG(J18)*4/3))*0.673)+((O18+1+(LOG(J18)*4/3))*0.201),((N18+(((TODAY()-E18)^0.5)/(336^0.5))+(LOG(J18)*4/3))*0.673)+((O18+(((TODAY()-E18)^0.5)/(336^0.5))+(LOG(J18)*4/3))*0.201))</f>
        <v>2.0238526242589305</v>
      </c>
      <c r="BM18" s="37">
        <f t="shared" ref="BM18:BM19" ca="1" si="183">IF(TODAY()-E18&gt;335,((O18+1+(LOG(J18)*4/3))*0.052),((O18+(((TODAY()-E18)^0.5)/(336^0.5))+(LOG(J18)*4/3))*0.052))</f>
        <v>0.16244218664545887</v>
      </c>
      <c r="BN18" s="37">
        <f t="shared" ref="BN18:BN19" ca="1" si="184">IF(TODAY()-E18&gt;335,((L18+1+(LOG(J18)*4/3))*0.18),((L18+(((TODAY()-E18)^0.5)/(336^0.5))+(LOG(J18)*4/3))*0.18))</f>
        <v>0.73335987684966519</v>
      </c>
      <c r="BO18" s="37">
        <f t="shared" ref="BO18:BO19" ca="1" si="185">IF(TODAY()-E18&gt;335,((L18+1+(LOG(J18)*4/3))*0.068),((L18+(((TODAY()-E18)^0.5)/(336^0.5))+(LOG(J18)*4/3))*0.068))</f>
        <v>0.27704706458765133</v>
      </c>
      <c r="BP18" s="37">
        <f t="shared" ref="BP18:BP19" ca="1" si="186">IF(TODAY()-E18&gt;335,((M18+1+(LOG(J18)*4/3))*0.305),((M18+(((TODAY()-E18)^0.5)/(336^0.5))+(LOG(J18)*4/3))*0.305))</f>
        <v>0.63263756910637725</v>
      </c>
      <c r="BQ18" s="37">
        <f t="shared" ref="BQ18:BQ19" ca="1" si="187">IF(TODAY()-E18&gt;335,((N18+1+(LOG(J18)*4/3))*1)+((O18+1+(LOG(J18)*4/3))*0.286),((N18+(((TODAY()-E18)^0.5)/(336^0.5))+(LOG(J18)*4/3))*1)+((O18+(((TODAY()-E18)^0.5)/(336^0.5))+(LOG(J18)*4/3))*0.286))</f>
        <v>2.9676535646037197</v>
      </c>
      <c r="BR18" s="37">
        <f t="shared" ref="BR18:BR19" ca="1" si="188">IF(TODAY()-E18&gt;335,((O18+1+(LOG(J18)*4/3))*0.135),((O18+(((TODAY()-E18)^0.5)/(336^0.5))+(LOG(J18)*4/3))*0.135))</f>
        <v>0.42172490763724901</v>
      </c>
      <c r="BS18" s="37">
        <f t="shared" ref="BS18:BS19" ca="1" si="189">IF(TODAY()-E18&gt;335,((L18+1+(LOG(J18)*4/3))*0.284),((L18+(((TODAY()-E18)^0.5)/(336^0.5))+(LOG(J18)*4/3))*0.284))</f>
        <v>1.1570789168072495</v>
      </c>
      <c r="BT18" s="37">
        <f t="shared" ref="BT18:BT19" ca="1" si="190">IF(TODAY()-E18&gt;335,((L18+1+(LOG(J18)*4/3))*0.244),((L18+(((TODAY()-E18)^0.5)/(336^0.5))+(LOG(J18)*4/3))*0.244))</f>
        <v>0.99411005528510166</v>
      </c>
      <c r="BU18" s="37">
        <f t="shared" ref="BU18:BU19" ca="1" si="191">IF(TODAY()-E18&gt;335,((M18+1+(LOG(J18)*4/3))*0.631),((M18+(((TODAY()-E18)^0.5)/(336^0.5))+(LOG(J18)*4/3))*0.631))</f>
        <v>1.3088337905118821</v>
      </c>
      <c r="BV18" s="37">
        <f t="shared" ref="BV18:BV19" ca="1" si="192">IF(TODAY()-E18&gt;335,((N18+1+(LOG(J18)*4/3))*0.702)+((O18+1+(LOG(J18)*4/3))*0.193),((N18+(((TODAY()-E18)^0.5)/(336^0.5))+(LOG(J18)*4/3))*0.702)+((O18+(((TODAY()-E18)^0.5)/(336^0.5))+(LOG(J18)*4/3))*0.193))</f>
        <v>2.0590139432247243</v>
      </c>
      <c r="BW18" s="37">
        <f t="shared" ref="BW18:BW19" ca="1" si="193">IF(TODAY()-E18&gt;335,((O18+1+(LOG(J18)*4/3))*0.148),((O18+(((TODAY()-E18)^0.5)/(336^0.5))+(LOG(J18)*4/3))*0.148))</f>
        <v>0.46233545429861367</v>
      </c>
      <c r="BX18" s="37">
        <f t="shared" ref="BX18:BX19" ca="1" si="194">IF(TODAY()-E18&gt;335,((M18+1+(LOG(J18)*4/3))*0.406),((M18+(((TODAY()-E18)^0.5)/(336^0.5))+(LOG(J18)*4/3))*0.406))</f>
        <v>0.84213394444980061</v>
      </c>
      <c r="BY18" s="37">
        <f t="shared" ref="BY18:BY19" ca="1" si="195">IF(D18="TEC",IF(TODAY()-E18&gt;335,((N18+1+(LOG(J18)*4/3))*0.15)+((O18+1+(LOG(J18)*4/3))*0.324)+((P18+1+(LOG(J18)*4/3))*0.127),((N18+(((TODAY()-E18)^0.5)/(336^0.5))+(LOG(J18)*4/3))*0.15)+((O18+(((TODAY()-E18)^0.5)/(336^0.5))+(LOG(J18)*4/3))*0.324)+((P18+(((TODAY()-E18)^0.5)/(336^0.5))+(LOG(J18)*4/3))*0.127)),IF(TODAY()-E18&gt;335,((N18+1+(LOG(J18)*4/3))*0.144)+((O18+1+(LOG(J18)*4/3))*0.25)+((P18+1+(LOG(J18)*4/3))*0.127),((N18+(((TODAY()-E18)^0.5)/(336^0.5))+(LOG(J18)*4/3))*0.144)+((O18+(((TODAY()-E18)^0.5)/(336^0.5))+(LOG(J18)*4/3))*0.25)+((P18+(((TODAY()-E18)^0.5)/(336^0.5))+(LOG(J18)*4/3))*0.127)))</f>
        <v>1.7434888657704199</v>
      </c>
      <c r="BZ18" s="37">
        <f t="shared" ref="BZ18:BZ19" ca="1" si="196">IF(D18="TEC",IF(TODAY()-E18&gt;335,((O18+1+(LOG(J18)*4/3))*0.543)+((P18+1+(LOG(J18)*4/3))*0.583),((O18+(((TODAY()-E18)^0.5)/(336^0.5))+(LOG(J18)*4/3))*0.543)+((P18+(((TODAY()-E18)^0.5)/(336^0.5))+(LOG(J18)*4/3))*0.583)),IF(TODAY()-E18&gt;335,((O18+1+(LOG(J18)*4/3))*0.543)+((P18+1+(LOG(J18)*4/3))*0.583),((O18+(((TODAY()-E18)^0.5)/(336^0.5))+(LOG(J18)*4/3))*0.543)+((P18+(((TODAY()-E18)^0.5)/(336^0.5))+(LOG(J18)*4/3))*0.583)))</f>
        <v>4.7436118962929061</v>
      </c>
      <c r="CA18" s="37">
        <f t="shared" ref="CA18:CA19" ca="1" si="197">BY18</f>
        <v>1.7434888657704199</v>
      </c>
      <c r="CB18" s="37">
        <f t="shared" ref="CB18:CB19" ca="1" si="198">IF(TODAY()-E18&gt;335,((P18+1+(LOG(J18)*4/3))*0.26)+((N18+1+(LOG(J18)*4/3))*0.221)+((O18+1+(LOG(J18)*4/3))*0.142),((P18+(((TODAY()-E18)^0.5)/(336^0.5))+(LOG(J18)*4/3))*0.26)+((N18+(((TODAY()-E18)^0.5)/(336^0.5))+(LOG(J18)*4/3))*0.221)+((P18+(((TODAY()-E18)^0.5)/(336^0.5))+(LOG(J18)*4/3))*0.142))</f>
        <v>2.5596566848741187</v>
      </c>
      <c r="CC18" s="37">
        <f t="shared" ref="CC18:CC19" ca="1" si="199">IF(TODAY()-E18&gt;335,((P18+1+(LOG(J18)*4/3))*1)+((O18+1+(LOG(J18)*4/3))*0.369),((P18+(((TODAY()-E18)^0.5)/(336^0.5))+(LOG(J18)*4/3))*1)+((O18+(((TODAY()-E18)^0.5)/(336^0.5))+(LOG(J18)*4/3))*0.369))</f>
        <v>6.3797140633732869</v>
      </c>
      <c r="CD18" s="37">
        <f t="shared" ref="CD18:CD19" ca="1" si="200">CB18</f>
        <v>2.5596566848741187</v>
      </c>
      <c r="CE18" s="37">
        <f t="shared" ref="CE18:CE19" ca="1" si="201">IF(TODAY()-E18&gt;335,((M18+1+(LOG(J18)*4/3))*0.25),((M18+(((TODAY()-E18)^0.5)/(336^0.5))+(LOG(J18)*4/3))*0.25))</f>
        <v>0.51855538451342398</v>
      </c>
    </row>
    <row r="19" spans="1:83" x14ac:dyDescent="0.25">
      <c r="A19" t="str">
        <f>PLANTILLA!D22</f>
        <v>Casildo Abraldes</v>
      </c>
      <c r="B19">
        <f>PLANTILLA!E22</f>
        <v>17</v>
      </c>
      <c r="C19" s="33">
        <f ca="1">PLANTILLA!F22</f>
        <v>43</v>
      </c>
      <c r="D19" s="220">
        <f>PLANTILLA!G22</f>
        <v>0</v>
      </c>
      <c r="E19" s="30">
        <f>PLANTILLA!M22</f>
        <v>43090</v>
      </c>
      <c r="F19" s="47">
        <f>PLANTILLA!Q22</f>
        <v>5</v>
      </c>
      <c r="G19" s="48">
        <f t="shared" si="1"/>
        <v>0.84515425472851657</v>
      </c>
      <c r="H19" s="48">
        <f t="shared" si="2"/>
        <v>0.92504826128926143</v>
      </c>
      <c r="I19" s="51">
        <f t="shared" ca="1" si="3"/>
        <v>0.30860669992418388</v>
      </c>
      <c r="J19" s="39">
        <f>PLANTILLA!I22</f>
        <v>1.3</v>
      </c>
      <c r="K19" s="46">
        <f>PLANTILLA!X22</f>
        <v>0</v>
      </c>
      <c r="L19" s="46">
        <f>PLANTILLA!Y22</f>
        <v>3</v>
      </c>
      <c r="M19" s="46">
        <f>PLANTILLA!Z22</f>
        <v>2</v>
      </c>
      <c r="N19" s="46">
        <f>PLANTILLA!AA22</f>
        <v>5</v>
      </c>
      <c r="O19" s="46">
        <f>PLANTILLA!AB22</f>
        <v>5</v>
      </c>
      <c r="P19" s="46">
        <f>PLANTILLA!AC22</f>
        <v>7</v>
      </c>
      <c r="Q19" s="46">
        <f>PLANTILLA!AD22</f>
        <v>4</v>
      </c>
      <c r="R19" s="46">
        <f t="shared" si="136"/>
        <v>2</v>
      </c>
      <c r="S19" s="46">
        <f t="shared" si="137"/>
        <v>0.47000000000000003</v>
      </c>
      <c r="T19" s="46">
        <f t="shared" si="138"/>
        <v>0.24000000000000005</v>
      </c>
      <c r="U19" s="46">
        <f t="shared" ca="1" si="139"/>
        <v>3.769836896392921</v>
      </c>
      <c r="V19" s="46">
        <f t="shared" ca="1" si="140"/>
        <v>4.1262066029266737</v>
      </c>
      <c r="W19" s="37">
        <f t="shared" ca="1" si="141"/>
        <v>1.2300437111189706</v>
      </c>
      <c r="X19" s="37">
        <f t="shared" ca="1" si="142"/>
        <v>1.8695457400396229</v>
      </c>
      <c r="Y19" s="37">
        <f t="shared" ca="1" si="143"/>
        <v>1.2300437111189706</v>
      </c>
      <c r="Z19" s="37">
        <f t="shared" ca="1" si="144"/>
        <v>1.7714817378213776</v>
      </c>
      <c r="AA19" s="37">
        <f t="shared" ca="1" si="145"/>
        <v>3.4605311696666328</v>
      </c>
      <c r="AB19" s="37">
        <f t="shared" ca="1" si="146"/>
        <v>0.88574086891068882</v>
      </c>
      <c r="AC19" s="37">
        <f t="shared" ca="1" si="147"/>
        <v>0.84935463255232768</v>
      </c>
      <c r="AD19" s="37">
        <f t="shared" ca="1" si="148"/>
        <v>1.297713366078451</v>
      </c>
      <c r="AE19" s="37">
        <f t="shared" ca="1" si="149"/>
        <v>2.5019640356689754</v>
      </c>
      <c r="AF19" s="37">
        <f t="shared" ca="1" si="150"/>
        <v>0.6488566830392255</v>
      </c>
      <c r="AG19" s="37">
        <f t="shared" ca="1" si="151"/>
        <v>1.3739560232464125</v>
      </c>
      <c r="AH19" s="37">
        <f t="shared" ca="1" si="152"/>
        <v>3.1836886760933023</v>
      </c>
      <c r="AI19" s="37">
        <f t="shared" ca="1" si="153"/>
        <v>1.5155998033846712</v>
      </c>
      <c r="AJ19" s="37">
        <f t="shared" ca="1" si="154"/>
        <v>0.41090870533432772</v>
      </c>
      <c r="AK19" s="37">
        <f t="shared" ca="1" si="155"/>
        <v>3.2107923277639796</v>
      </c>
      <c r="AL19" s="37">
        <f t="shared" ca="1" si="156"/>
        <v>2.6092405019286411</v>
      </c>
      <c r="AM19" s="37">
        <f t="shared" ca="1" si="157"/>
        <v>2.5918953159332059</v>
      </c>
      <c r="AN19" s="37">
        <f t="shared" ca="1" si="158"/>
        <v>0.74490870533432763</v>
      </c>
      <c r="AO19" s="37">
        <f t="shared" ca="1" si="159"/>
        <v>0.70863297686399018</v>
      </c>
      <c r="AP19" s="37">
        <f t="shared" ca="1" si="160"/>
        <v>0.93434341580999092</v>
      </c>
      <c r="AQ19" s="37">
        <f t="shared" ca="1" si="161"/>
        <v>2.0555555147819797</v>
      </c>
      <c r="AR19" s="37">
        <f t="shared" ca="1" si="162"/>
        <v>0.46717170790499546</v>
      </c>
      <c r="AS19" s="37">
        <f t="shared" ca="1" si="163"/>
        <v>2.3227414241653013</v>
      </c>
      <c r="AT19" s="37">
        <f t="shared" ca="1" si="164"/>
        <v>0.70986905205666218</v>
      </c>
      <c r="AU19" s="37">
        <f t="shared" ca="1" si="165"/>
        <v>1.9459356327123232</v>
      </c>
      <c r="AV19" s="37">
        <f t="shared" ca="1" si="166"/>
        <v>0.35493452602833109</v>
      </c>
      <c r="AW19" s="37">
        <f t="shared" ca="1" si="167"/>
        <v>0.65404039106699363</v>
      </c>
      <c r="AX19" s="37">
        <f t="shared" ca="1" si="168"/>
        <v>1.3842124678666532</v>
      </c>
      <c r="AY19" s="37">
        <f t="shared" ca="1" si="169"/>
        <v>0.32702019553349682</v>
      </c>
      <c r="AZ19" s="37">
        <f t="shared" ca="1" si="170"/>
        <v>2.4605311696666328</v>
      </c>
      <c r="BA19" s="37">
        <f t="shared" ca="1" si="171"/>
        <v>1.381514385925658</v>
      </c>
      <c r="BB19" s="37">
        <f t="shared" ca="1" si="172"/>
        <v>3.4287526744863142</v>
      </c>
      <c r="BC19" s="37">
        <f t="shared" ca="1" si="173"/>
        <v>0.690757192962829</v>
      </c>
      <c r="BD19" s="37">
        <f t="shared" ca="1" si="174"/>
        <v>1.00701457037299</v>
      </c>
      <c r="BE19" s="37">
        <f t="shared" ca="1" si="175"/>
        <v>1.2042648470439881</v>
      </c>
      <c r="BF19" s="37">
        <f t="shared" ca="1" si="176"/>
        <v>2.1677279604763036</v>
      </c>
      <c r="BG19" s="37">
        <f t="shared" ca="1" si="177"/>
        <v>4.8544122098336366</v>
      </c>
      <c r="BH19" s="37">
        <f t="shared" ca="1" si="178"/>
        <v>1.3159880118896583</v>
      </c>
      <c r="BI19" s="37">
        <f t="shared" ca="1" si="179"/>
        <v>1.6783576172883168</v>
      </c>
      <c r="BJ19" s="37">
        <f t="shared" ca="1" si="180"/>
        <v>0.91358022879199108</v>
      </c>
      <c r="BK19" s="37">
        <f t="shared" ca="1" si="181"/>
        <v>0.93746237564298707</v>
      </c>
      <c r="BL19" s="37">
        <f t="shared" ca="1" si="182"/>
        <v>4.7725042422886368</v>
      </c>
      <c r="BM19" s="37">
        <f t="shared" ca="1" si="183"/>
        <v>0.28394762082266489</v>
      </c>
      <c r="BN19" s="37">
        <f t="shared" ca="1" si="184"/>
        <v>0.62289561053999387</v>
      </c>
      <c r="BO19" s="37">
        <f t="shared" ca="1" si="185"/>
        <v>0.23531611953733106</v>
      </c>
      <c r="BP19" s="37">
        <f t="shared" ca="1" si="186"/>
        <v>0.75046200674832297</v>
      </c>
      <c r="BQ19" s="37">
        <f t="shared" ca="1" si="187"/>
        <v>7.0222430841912891</v>
      </c>
      <c r="BR19" s="37">
        <f t="shared" ca="1" si="188"/>
        <v>0.73717170790499542</v>
      </c>
      <c r="BS19" s="37">
        <f t="shared" ca="1" si="189"/>
        <v>0.98279085218532358</v>
      </c>
      <c r="BT19" s="37">
        <f t="shared" ca="1" si="190"/>
        <v>0.84436960539865835</v>
      </c>
      <c r="BU19" s="37">
        <f t="shared" ca="1" si="191"/>
        <v>1.5525951680596453</v>
      </c>
      <c r="BV19" s="37">
        <f t="shared" ca="1" si="192"/>
        <v>4.887175396851636</v>
      </c>
      <c r="BW19" s="37">
        <f t="shared" ca="1" si="193"/>
        <v>0.80815861311066151</v>
      </c>
      <c r="BX19" s="37">
        <f t="shared" ca="1" si="194"/>
        <v>0.99897565488465301</v>
      </c>
      <c r="BY19" s="37">
        <f t="shared" ca="1" si="195"/>
        <v>3.0989367393963154</v>
      </c>
      <c r="BZ19" s="37">
        <f t="shared" ca="1" si="196"/>
        <v>7.3145580970446273</v>
      </c>
      <c r="CA19" s="37">
        <f t="shared" ca="1" si="197"/>
        <v>3.0989367393963154</v>
      </c>
      <c r="CB19" s="37">
        <f t="shared" ca="1" si="198"/>
        <v>4.2059109187023118</v>
      </c>
      <c r="CC19" s="37">
        <f t="shared" ca="1" si="199"/>
        <v>9.4754671712736194</v>
      </c>
      <c r="CD19" s="37">
        <f t="shared" ca="1" si="200"/>
        <v>4.2059109187023118</v>
      </c>
      <c r="CE19" s="37">
        <f t="shared" ca="1" si="201"/>
        <v>0.61513279241665819</v>
      </c>
    </row>
    <row r="20" spans="1:83" x14ac:dyDescent="0.25">
      <c r="C20" s="33"/>
      <c r="D20" s="194"/>
      <c r="E20" s="30"/>
      <c r="F20" s="47"/>
      <c r="G20" s="48"/>
      <c r="H20" s="48"/>
      <c r="I20" s="51"/>
      <c r="J20" s="39"/>
      <c r="K20" s="46"/>
      <c r="L20" s="46"/>
      <c r="M20" s="46"/>
      <c r="N20" s="46"/>
      <c r="O20" s="46"/>
      <c r="P20" s="46"/>
      <c r="Q20" s="46"/>
      <c r="R20" s="46"/>
      <c r="S20" s="46"/>
      <c r="T20" s="46"/>
      <c r="U20" s="46"/>
      <c r="V20" s="46"/>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c r="BU20" s="37"/>
      <c r="BV20" s="37"/>
      <c r="BW20" s="37"/>
      <c r="BX20" s="37"/>
      <c r="BY20" s="37"/>
      <c r="BZ20" s="37"/>
      <c r="CA20" s="37"/>
      <c r="CB20" s="37"/>
      <c r="CC20" s="37"/>
      <c r="CD20" s="37"/>
      <c r="CE20" s="37"/>
    </row>
    <row r="21" spans="1:83" x14ac:dyDescent="0.25">
      <c r="C21" s="33"/>
      <c r="D21" s="194"/>
      <c r="E21" s="30"/>
      <c r="F21" s="47"/>
      <c r="G21" s="48"/>
      <c r="H21" s="48"/>
      <c r="I21" s="51"/>
      <c r="J21" s="39"/>
      <c r="K21" s="46"/>
      <c r="L21" s="46"/>
      <c r="M21" s="46"/>
      <c r="N21" s="46"/>
      <c r="O21" s="46"/>
      <c r="P21" s="46"/>
      <c r="Q21" s="46"/>
      <c r="R21" s="46"/>
      <c r="S21" s="46"/>
      <c r="T21" s="46"/>
      <c r="U21" s="46"/>
      <c r="V21" s="46"/>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c r="BU21" s="37"/>
      <c r="BV21" s="37"/>
      <c r="BW21" s="37"/>
      <c r="BX21" s="37"/>
      <c r="BY21" s="37"/>
      <c r="BZ21" s="37"/>
      <c r="CA21" s="37"/>
      <c r="CB21" s="37"/>
      <c r="CC21" s="37"/>
      <c r="CD21" s="37"/>
      <c r="CE21" s="37"/>
    </row>
    <row r="24" spans="1:83" x14ac:dyDescent="0.25">
      <c r="M24" s="37"/>
      <c r="N24" s="37"/>
      <c r="AH24" s="37" t="e">
        <f>#REF!*#REF!</f>
        <v>#REF!</v>
      </c>
      <c r="AI24" s="37" t="e">
        <f>#REF!*#REF!</f>
        <v>#REF!</v>
      </c>
    </row>
    <row r="25" spans="1:83" ht="18.75" x14ac:dyDescent="0.3">
      <c r="A25" s="103" t="s">
        <v>162</v>
      </c>
      <c r="B25" s="103" t="s">
        <v>163</v>
      </c>
      <c r="C25" s="103"/>
      <c r="D25" s="104"/>
      <c r="Z25" s="37"/>
      <c r="AA25" s="37"/>
      <c r="BV25" s="37"/>
      <c r="BW25" s="37"/>
    </row>
    <row r="26" spans="1:83" x14ac:dyDescent="0.25">
      <c r="A26" s="105" t="s">
        <v>164</v>
      </c>
      <c r="B26" s="106">
        <v>1</v>
      </c>
      <c r="C26" s="108">
        <v>0.624</v>
      </c>
      <c r="D26" s="109">
        <v>0.245</v>
      </c>
      <c r="AH26" s="37" t="e">
        <f>#REF!*#REF!</f>
        <v>#REF!</v>
      </c>
      <c r="AI26" s="37" t="e">
        <f>#REF!*#REF!</f>
        <v>#REF!</v>
      </c>
    </row>
    <row r="27" spans="1:83" x14ac:dyDescent="0.25">
      <c r="A27" s="105" t="s">
        <v>165</v>
      </c>
      <c r="B27" s="106">
        <v>1</v>
      </c>
      <c r="C27" s="108">
        <v>1.002</v>
      </c>
      <c r="D27" s="109">
        <v>0.34</v>
      </c>
      <c r="AG27" s="116"/>
      <c r="AH27" s="117"/>
    </row>
    <row r="28" spans="1:83" x14ac:dyDescent="0.25">
      <c r="A28" s="105" t="s">
        <v>166</v>
      </c>
      <c r="B28" s="106">
        <v>1</v>
      </c>
      <c r="C28" s="108">
        <v>0.46800000000000003</v>
      </c>
      <c r="D28" s="109">
        <v>0.125</v>
      </c>
      <c r="Z28" s="37"/>
      <c r="AA28" s="37"/>
      <c r="AH28" s="118" t="e">
        <f>(AI24-AH26)/AI24</f>
        <v>#REF!</v>
      </c>
      <c r="AI28" s="118" t="e">
        <f>(AH24-AI26)/AH24</f>
        <v>#REF!</v>
      </c>
      <c r="BV28" s="37"/>
      <c r="BW28" s="37"/>
    </row>
    <row r="29" spans="1:83" x14ac:dyDescent="0.25">
      <c r="A29" s="105" t="s">
        <v>167</v>
      </c>
      <c r="B29" s="106">
        <v>1</v>
      </c>
      <c r="C29" s="108">
        <v>0.877</v>
      </c>
      <c r="D29" s="109">
        <v>0.25</v>
      </c>
      <c r="W29" s="117"/>
    </row>
    <row r="30" spans="1:83" x14ac:dyDescent="0.25">
      <c r="A30" s="105" t="s">
        <v>168</v>
      </c>
      <c r="B30" s="106">
        <v>1</v>
      </c>
      <c r="C30" s="108">
        <v>0.59299999999999997</v>
      </c>
      <c r="D30" s="109">
        <v>0.19</v>
      </c>
      <c r="W30" s="117"/>
    </row>
    <row r="32" spans="1:83" x14ac:dyDescent="0.25">
      <c r="Z32" s="117"/>
      <c r="AA32" s="117"/>
      <c r="BV32" s="117"/>
      <c r="BW32" s="117"/>
    </row>
  </sheetData>
  <conditionalFormatting sqref="U3:V21">
    <cfRule type="cellIs" dxfId="10" priority="20" operator="greaterThan">
      <formula>15</formula>
    </cfRule>
  </conditionalFormatting>
  <conditionalFormatting sqref="R3:R21">
    <cfRule type="cellIs" dxfId="9" priority="19" operator="greaterThan">
      <formula>3.2</formula>
    </cfRule>
  </conditionalFormatting>
  <conditionalFormatting sqref="S3:T21">
    <cfRule type="cellIs" dxfId="8" priority="18" operator="greaterThan">
      <formula>0.6</formula>
    </cfRule>
  </conditionalFormatting>
  <conditionalFormatting sqref="AK3:AM21 AO3:BD21 BF3:CE21 W3:AI21">
    <cfRule type="cellIs" dxfId="7" priority="17" operator="greaterThan">
      <formula>12.5</formula>
    </cfRule>
  </conditionalFormatting>
  <conditionalFormatting sqref="J3:J21">
    <cfRule type="cellIs" dxfId="6" priority="14" operator="greaterThan">
      <formula>7</formula>
    </cfRule>
  </conditionalFormatting>
  <conditionalFormatting sqref="K3:Q21">
    <cfRule type="colorScale" priority="4998">
      <colorScale>
        <cfvo type="min"/>
        <cfvo type="max"/>
        <color rgb="FFFCFCFF"/>
        <color rgb="FFF8696B"/>
      </colorScale>
    </cfRule>
  </conditionalFormatting>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U76"/>
  <sheetViews>
    <sheetView zoomScale="90" zoomScaleNormal="90" workbookViewId="0">
      <pane ySplit="1" topLeftCell="A2" activePane="bottomLeft" state="frozen"/>
      <selection pane="bottomLeft" activeCell="D26" sqref="D26:D29"/>
    </sheetView>
  </sheetViews>
  <sheetFormatPr baseColWidth="10" defaultColWidth="11.42578125" defaultRowHeight="15" x14ac:dyDescent="0.25"/>
  <cols>
    <col min="1" max="1" width="17.140625" bestFit="1" customWidth="1"/>
    <col min="2" max="3" width="17.7109375" bestFit="1" customWidth="1"/>
    <col min="4" max="4" width="20.85546875" bestFit="1" customWidth="1"/>
    <col min="5" max="5" width="3.140625" customWidth="1"/>
    <col min="6" max="6" width="38.7109375" bestFit="1" customWidth="1"/>
    <col min="7" max="7" width="5.7109375" bestFit="1" customWidth="1"/>
    <col min="8" max="8" width="5.28515625" bestFit="1" customWidth="1"/>
    <col min="9" max="9" width="4.5703125" bestFit="1" customWidth="1"/>
    <col min="10" max="10" width="4.140625" bestFit="1" customWidth="1"/>
    <col min="11" max="11" width="10" bestFit="1" customWidth="1"/>
    <col min="12" max="12" width="12.7109375" bestFit="1" customWidth="1"/>
    <col min="13" max="13" width="5.28515625" bestFit="1" customWidth="1"/>
    <col min="14" max="14" width="17.5703125" bestFit="1" customWidth="1"/>
    <col min="15" max="15" width="21.28515625" bestFit="1" customWidth="1"/>
    <col min="16" max="16" width="9.7109375" bestFit="1" customWidth="1"/>
    <col min="17" max="18" width="13.5703125" bestFit="1" customWidth="1"/>
    <col min="19" max="19" width="17.140625" bestFit="1" customWidth="1"/>
    <col min="20" max="20" width="9.7109375" bestFit="1" customWidth="1"/>
    <col min="21" max="21" width="13.5703125" bestFit="1" customWidth="1"/>
  </cols>
  <sheetData>
    <row r="1" spans="1:21" ht="19.5" x14ac:dyDescent="0.25">
      <c r="A1" s="234" t="s">
        <v>203</v>
      </c>
      <c r="B1" s="234"/>
      <c r="C1" s="234"/>
      <c r="D1" s="234"/>
      <c r="F1" s="10" t="s">
        <v>3</v>
      </c>
      <c r="G1" s="10" t="s">
        <v>4</v>
      </c>
      <c r="H1" s="10" t="s">
        <v>5</v>
      </c>
      <c r="I1" s="34" t="s">
        <v>87</v>
      </c>
      <c r="J1" s="34" t="s">
        <v>7</v>
      </c>
      <c r="K1" s="34" t="s">
        <v>68</v>
      </c>
      <c r="L1" s="34" t="s">
        <v>186</v>
      </c>
      <c r="M1" s="34" t="s">
        <v>268</v>
      </c>
      <c r="N1" s="132" t="s">
        <v>187</v>
      </c>
      <c r="O1" s="132" t="s">
        <v>188</v>
      </c>
      <c r="P1" s="132" t="s">
        <v>263</v>
      </c>
      <c r="Q1" s="132" t="s">
        <v>119</v>
      </c>
      <c r="R1" s="133" t="s">
        <v>189</v>
      </c>
      <c r="S1" s="133" t="s">
        <v>190</v>
      </c>
      <c r="T1" s="133" t="s">
        <v>263</v>
      </c>
      <c r="U1" s="133" t="s">
        <v>119</v>
      </c>
    </row>
    <row r="2" spans="1:21" x14ac:dyDescent="0.25">
      <c r="A2" s="235" t="s">
        <v>204</v>
      </c>
      <c r="B2" s="236" t="s">
        <v>205</v>
      </c>
      <c r="C2" s="236" t="s">
        <v>206</v>
      </c>
      <c r="D2" s="236" t="s">
        <v>207</v>
      </c>
      <c r="F2" s="213" t="s">
        <v>354</v>
      </c>
      <c r="G2">
        <v>36</v>
      </c>
      <c r="H2">
        <v>92</v>
      </c>
      <c r="I2" s="111">
        <v>14.3</v>
      </c>
      <c r="J2" s="113">
        <v>4</v>
      </c>
      <c r="K2" s="70">
        <v>2448</v>
      </c>
      <c r="L2" s="70">
        <v>1000</v>
      </c>
      <c r="M2" s="128">
        <v>3</v>
      </c>
      <c r="N2" s="70">
        <v>325000</v>
      </c>
      <c r="O2" s="70">
        <f>L2+N2</f>
        <v>326000</v>
      </c>
      <c r="P2" s="134">
        <v>6.5</v>
      </c>
      <c r="Q2" s="162">
        <f>O2/P2</f>
        <v>50153.846153846156</v>
      </c>
      <c r="R2" s="70">
        <v>2375000</v>
      </c>
      <c r="S2" s="70">
        <f>R2+L2</f>
        <v>2376000</v>
      </c>
      <c r="T2" s="135">
        <f>P2</f>
        <v>6.5</v>
      </c>
      <c r="U2" s="162">
        <f>S2/T2</f>
        <v>365538.46153846156</v>
      </c>
    </row>
    <row r="3" spans="1:21" x14ac:dyDescent="0.25">
      <c r="A3" s="235"/>
      <c r="B3" s="236"/>
      <c r="C3" s="236"/>
      <c r="D3" s="236"/>
      <c r="F3" s="213" t="s">
        <v>355</v>
      </c>
      <c r="G3">
        <v>40</v>
      </c>
      <c r="H3">
        <v>26</v>
      </c>
      <c r="I3" s="111">
        <v>14.1</v>
      </c>
      <c r="J3" s="113">
        <v>5</v>
      </c>
      <c r="K3" s="70">
        <v>468</v>
      </c>
      <c r="L3" s="70">
        <v>410000</v>
      </c>
      <c r="M3" s="128">
        <v>3</v>
      </c>
      <c r="N3" s="70">
        <v>335000</v>
      </c>
      <c r="O3" s="70">
        <f>L3+N3</f>
        <v>745000</v>
      </c>
      <c r="P3" s="134">
        <v>8</v>
      </c>
      <c r="Q3" s="162">
        <f>O3/P3</f>
        <v>93125</v>
      </c>
      <c r="R3" s="70">
        <v>2390000</v>
      </c>
      <c r="S3" s="70">
        <f>R3+L3</f>
        <v>2800000</v>
      </c>
      <c r="T3" s="135">
        <f>P3</f>
        <v>8</v>
      </c>
      <c r="U3" s="162">
        <f>S3/T3</f>
        <v>350000</v>
      </c>
    </row>
    <row r="4" spans="1:21" x14ac:dyDescent="0.25">
      <c r="A4" s="158" t="s">
        <v>205</v>
      </c>
      <c r="B4" s="159" t="s">
        <v>208</v>
      </c>
      <c r="C4" s="159" t="s">
        <v>209</v>
      </c>
      <c r="D4" s="159" t="s">
        <v>209</v>
      </c>
      <c r="F4" s="213" t="s">
        <v>356</v>
      </c>
      <c r="G4">
        <v>35</v>
      </c>
      <c r="H4">
        <v>85</v>
      </c>
      <c r="I4" s="111">
        <v>18.2</v>
      </c>
      <c r="J4" s="113">
        <v>4</v>
      </c>
      <c r="K4" s="70">
        <v>14808</v>
      </c>
      <c r="L4" s="70">
        <v>1245000</v>
      </c>
      <c r="M4" s="128">
        <v>3</v>
      </c>
      <c r="N4" s="70">
        <v>259000</v>
      </c>
      <c r="O4" s="70">
        <f>L4+N4</f>
        <v>1504000</v>
      </c>
      <c r="P4" s="134">
        <v>6.5</v>
      </c>
      <c r="Q4" s="162">
        <f>O4/P4</f>
        <v>231384.61538461538</v>
      </c>
      <c r="R4" s="70">
        <v>1850000</v>
      </c>
      <c r="S4" s="70">
        <f>R4+L4</f>
        <v>3095000</v>
      </c>
      <c r="T4" s="135">
        <f>P4</f>
        <v>6.5</v>
      </c>
      <c r="U4" s="162">
        <f>S4/T4</f>
        <v>476153.84615384613</v>
      </c>
    </row>
    <row r="5" spans="1:21" x14ac:dyDescent="0.25">
      <c r="A5" s="160" t="s">
        <v>206</v>
      </c>
      <c r="B5" s="161" t="s">
        <v>210</v>
      </c>
      <c r="C5" s="161" t="s">
        <v>211</v>
      </c>
      <c r="D5" s="161" t="s">
        <v>209</v>
      </c>
      <c r="F5" s="213" t="s">
        <v>357</v>
      </c>
      <c r="G5">
        <v>36</v>
      </c>
      <c r="H5">
        <v>97</v>
      </c>
      <c r="I5" s="111">
        <v>14</v>
      </c>
      <c r="J5" s="113">
        <v>5</v>
      </c>
      <c r="K5" s="70">
        <v>4956</v>
      </c>
      <c r="L5" s="70">
        <v>405000</v>
      </c>
      <c r="M5" s="128">
        <v>3</v>
      </c>
      <c r="N5" s="136">
        <v>337500</v>
      </c>
      <c r="O5" s="70">
        <f>L5+N5</f>
        <v>742500</v>
      </c>
      <c r="P5" s="134">
        <v>8</v>
      </c>
      <c r="Q5" s="162">
        <f>O5/P5</f>
        <v>92812.5</v>
      </c>
      <c r="R5" s="70">
        <v>2400000</v>
      </c>
      <c r="S5" s="70">
        <f>R5+L5</f>
        <v>2805000</v>
      </c>
      <c r="T5" s="135">
        <f>P5</f>
        <v>8</v>
      </c>
      <c r="U5" s="162">
        <f>S5/T5</f>
        <v>350625</v>
      </c>
    </row>
    <row r="6" spans="1:21" x14ac:dyDescent="0.25">
      <c r="A6" s="158" t="s">
        <v>207</v>
      </c>
      <c r="B6" s="159" t="s">
        <v>212</v>
      </c>
      <c r="C6" s="159" t="s">
        <v>213</v>
      </c>
      <c r="D6" s="159" t="s">
        <v>214</v>
      </c>
      <c r="F6" s="213" t="s">
        <v>359</v>
      </c>
      <c r="G6">
        <v>40</v>
      </c>
      <c r="H6">
        <v>71</v>
      </c>
      <c r="I6" s="111">
        <v>15.3</v>
      </c>
      <c r="J6" s="113">
        <v>5</v>
      </c>
      <c r="K6" s="70">
        <v>840</v>
      </c>
      <c r="L6" s="70">
        <v>325000</v>
      </c>
      <c r="M6" s="128">
        <v>3</v>
      </c>
      <c r="N6" s="70">
        <v>305000</v>
      </c>
      <c r="O6" s="70">
        <f>L6+N6</f>
        <v>630000</v>
      </c>
      <c r="P6" s="134">
        <v>8</v>
      </c>
      <c r="Q6" s="162">
        <f>O6/P6</f>
        <v>78750</v>
      </c>
      <c r="R6" s="70">
        <v>2200000</v>
      </c>
      <c r="S6" s="70">
        <f>R6+L6</f>
        <v>2525000</v>
      </c>
      <c r="T6" s="135">
        <f>P6</f>
        <v>8</v>
      </c>
      <c r="U6" s="162">
        <f>S6/T6</f>
        <v>315625</v>
      </c>
    </row>
    <row r="7" spans="1:21" x14ac:dyDescent="0.25">
      <c r="A7" s="160" t="s">
        <v>215</v>
      </c>
      <c r="B7" s="161" t="s">
        <v>216</v>
      </c>
      <c r="C7" s="161" t="s">
        <v>217</v>
      </c>
      <c r="D7" s="161" t="s">
        <v>218</v>
      </c>
      <c r="I7" s="111">
        <v>0</v>
      </c>
      <c r="J7" s="113">
        <v>0</v>
      </c>
      <c r="K7" s="70"/>
      <c r="L7" s="70"/>
      <c r="M7" s="128">
        <v>3</v>
      </c>
      <c r="N7" s="70"/>
      <c r="O7" s="70">
        <f t="shared" ref="O7:O14" si="0">L7+N7</f>
        <v>0</v>
      </c>
      <c r="P7" s="134">
        <v>9</v>
      </c>
      <c r="Q7" s="162">
        <f t="shared" ref="Q7:Q14" si="1">O7/P7</f>
        <v>0</v>
      </c>
      <c r="R7" s="70"/>
      <c r="S7" s="70">
        <f t="shared" ref="S7:S14" si="2">R7+L7</f>
        <v>0</v>
      </c>
      <c r="T7" s="135">
        <f t="shared" ref="T7:T14" si="3">P7</f>
        <v>9</v>
      </c>
      <c r="U7" s="162">
        <f t="shared" ref="U7:U14" si="4">S7/T7</f>
        <v>0</v>
      </c>
    </row>
    <row r="8" spans="1:21" x14ac:dyDescent="0.25">
      <c r="A8" s="158" t="s">
        <v>219</v>
      </c>
      <c r="B8" s="159" t="s">
        <v>220</v>
      </c>
      <c r="C8" s="159" t="s">
        <v>221</v>
      </c>
      <c r="D8" s="159" t="s">
        <v>222</v>
      </c>
      <c r="F8" s="213" t="s">
        <v>358</v>
      </c>
      <c r="G8">
        <v>38</v>
      </c>
      <c r="H8">
        <v>105</v>
      </c>
      <c r="I8" s="111">
        <v>17.8</v>
      </c>
      <c r="J8" s="113">
        <v>4</v>
      </c>
      <c r="K8" s="70">
        <v>1080</v>
      </c>
      <c r="L8" s="70">
        <v>320000</v>
      </c>
      <c r="M8" s="128">
        <v>3</v>
      </c>
      <c r="N8" s="70">
        <v>269000</v>
      </c>
      <c r="O8" s="70">
        <f t="shared" si="0"/>
        <v>589000</v>
      </c>
      <c r="P8" s="134">
        <v>6.5</v>
      </c>
      <c r="Q8" s="162">
        <f t="shared" si="1"/>
        <v>90615.38461538461</v>
      </c>
      <c r="R8" s="70">
        <v>1900000</v>
      </c>
      <c r="S8" s="70">
        <f t="shared" si="2"/>
        <v>2220000</v>
      </c>
      <c r="T8" s="135">
        <f t="shared" si="3"/>
        <v>6.5</v>
      </c>
      <c r="U8" s="162">
        <f t="shared" si="4"/>
        <v>341538.46153846156</v>
      </c>
    </row>
    <row r="9" spans="1:21" x14ac:dyDescent="0.25">
      <c r="A9" s="160" t="s">
        <v>223</v>
      </c>
      <c r="B9" s="161" t="s">
        <v>224</v>
      </c>
      <c r="C9" s="161" t="s">
        <v>225</v>
      </c>
      <c r="D9" s="161" t="s">
        <v>226</v>
      </c>
      <c r="F9" s="213" t="s">
        <v>360</v>
      </c>
      <c r="G9">
        <v>40</v>
      </c>
      <c r="H9">
        <v>43</v>
      </c>
      <c r="I9" s="111">
        <v>33.4</v>
      </c>
      <c r="J9" s="113">
        <v>4</v>
      </c>
      <c r="K9" s="70">
        <f>470*1.2</f>
        <v>564</v>
      </c>
      <c r="L9" s="70">
        <v>920000</v>
      </c>
      <c r="M9" s="128">
        <v>3</v>
      </c>
      <c r="N9" s="70">
        <v>125000</v>
      </c>
      <c r="O9" s="70">
        <f t="shared" si="0"/>
        <v>1045000</v>
      </c>
      <c r="P9" s="134">
        <v>6.5</v>
      </c>
      <c r="Q9" s="162">
        <f t="shared" si="1"/>
        <v>160769.23076923078</v>
      </c>
      <c r="R9" s="70">
        <v>1050000</v>
      </c>
      <c r="S9" s="70">
        <f t="shared" si="2"/>
        <v>1970000</v>
      </c>
      <c r="T9" s="135">
        <f t="shared" si="3"/>
        <v>6.5</v>
      </c>
      <c r="U9" s="162">
        <f t="shared" si="4"/>
        <v>303076.92307692306</v>
      </c>
    </row>
    <row r="10" spans="1:21" x14ac:dyDescent="0.25">
      <c r="A10" s="158" t="s">
        <v>227</v>
      </c>
      <c r="B10" s="159" t="s">
        <v>228</v>
      </c>
      <c r="C10" s="159" t="s">
        <v>229</v>
      </c>
      <c r="D10" s="159" t="s">
        <v>230</v>
      </c>
      <c r="F10" s="213" t="s">
        <v>361</v>
      </c>
      <c r="G10">
        <v>38</v>
      </c>
      <c r="H10">
        <v>73</v>
      </c>
      <c r="I10" s="111">
        <v>15.5</v>
      </c>
      <c r="J10" s="113">
        <v>4</v>
      </c>
      <c r="K10" s="70">
        <v>1280</v>
      </c>
      <c r="L10" s="70">
        <v>10000</v>
      </c>
      <c r="M10" s="128">
        <v>3</v>
      </c>
      <c r="N10" s="70">
        <v>305000</v>
      </c>
      <c r="O10" s="70">
        <f t="shared" si="0"/>
        <v>315000</v>
      </c>
      <c r="P10" s="134">
        <v>6.5</v>
      </c>
      <c r="Q10" s="162">
        <f t="shared" si="1"/>
        <v>48461.538461538461</v>
      </c>
      <c r="R10" s="70">
        <v>2200000</v>
      </c>
      <c r="S10" s="70">
        <f t="shared" si="2"/>
        <v>2210000</v>
      </c>
      <c r="T10" s="135">
        <f t="shared" si="3"/>
        <v>6.5</v>
      </c>
      <c r="U10" s="162">
        <f t="shared" si="4"/>
        <v>340000</v>
      </c>
    </row>
    <row r="11" spans="1:21" x14ac:dyDescent="0.25">
      <c r="A11" s="160" t="s">
        <v>231</v>
      </c>
      <c r="B11" s="161" t="s">
        <v>232</v>
      </c>
      <c r="C11" s="161" t="s">
        <v>233</v>
      </c>
      <c r="D11" s="161" t="s">
        <v>234</v>
      </c>
      <c r="F11" s="213" t="s">
        <v>362</v>
      </c>
      <c r="G11">
        <v>38</v>
      </c>
      <c r="H11">
        <v>33</v>
      </c>
      <c r="I11" s="111">
        <v>16.7</v>
      </c>
      <c r="J11" s="113">
        <v>4</v>
      </c>
      <c r="K11" s="70">
        <v>1224</v>
      </c>
      <c r="L11" s="70">
        <v>10000</v>
      </c>
      <c r="M11" s="128">
        <v>3</v>
      </c>
      <c r="N11" s="136">
        <v>283000</v>
      </c>
      <c r="O11" s="70">
        <f t="shared" si="0"/>
        <v>293000</v>
      </c>
      <c r="P11" s="134">
        <v>6.5</v>
      </c>
      <c r="Q11" s="162">
        <f t="shared" si="1"/>
        <v>45076.923076923078</v>
      </c>
      <c r="R11" s="70">
        <v>2005000</v>
      </c>
      <c r="S11" s="70">
        <f t="shared" si="2"/>
        <v>2015000</v>
      </c>
      <c r="T11" s="135">
        <f t="shared" si="3"/>
        <v>6.5</v>
      </c>
      <c r="U11" s="162">
        <f t="shared" si="4"/>
        <v>310000</v>
      </c>
    </row>
    <row r="12" spans="1:21" x14ac:dyDescent="0.25">
      <c r="A12" s="158" t="s">
        <v>235</v>
      </c>
      <c r="B12" s="159" t="s">
        <v>236</v>
      </c>
      <c r="C12" s="159" t="s">
        <v>237</v>
      </c>
      <c r="D12" s="159" t="s">
        <v>238</v>
      </c>
      <c r="F12" s="213" t="s">
        <v>363</v>
      </c>
      <c r="G12">
        <v>38</v>
      </c>
      <c r="H12">
        <v>106</v>
      </c>
      <c r="I12" s="111">
        <v>15.1</v>
      </c>
      <c r="J12" s="113">
        <v>4</v>
      </c>
      <c r="K12" s="70">
        <v>1368</v>
      </c>
      <c r="L12" s="70">
        <v>5000</v>
      </c>
      <c r="M12" s="128">
        <v>3</v>
      </c>
      <c r="N12" s="70">
        <v>315000</v>
      </c>
      <c r="O12" s="70">
        <f t="shared" si="0"/>
        <v>320000</v>
      </c>
      <c r="P12" s="134">
        <v>6.5</v>
      </c>
      <c r="Q12" s="162">
        <f t="shared" si="1"/>
        <v>49230.769230769234</v>
      </c>
      <c r="R12" s="70">
        <v>2242290</v>
      </c>
      <c r="S12" s="70">
        <f t="shared" si="2"/>
        <v>2247290</v>
      </c>
      <c r="T12" s="135">
        <f t="shared" si="3"/>
        <v>6.5</v>
      </c>
      <c r="U12" s="162">
        <f t="shared" si="4"/>
        <v>345736.92307692306</v>
      </c>
    </row>
    <row r="13" spans="1:21" x14ac:dyDescent="0.25">
      <c r="A13" s="160" t="s">
        <v>239</v>
      </c>
      <c r="B13" s="161" t="s">
        <v>240</v>
      </c>
      <c r="C13" s="161" t="s">
        <v>241</v>
      </c>
      <c r="D13" s="161" t="s">
        <v>242</v>
      </c>
      <c r="F13" s="213" t="s">
        <v>372</v>
      </c>
      <c r="G13">
        <v>58</v>
      </c>
      <c r="H13">
        <v>49</v>
      </c>
      <c r="I13" s="111">
        <v>16</v>
      </c>
      <c r="J13" s="113">
        <v>4</v>
      </c>
      <c r="K13" s="70">
        <v>300</v>
      </c>
      <c r="L13" s="70">
        <v>125000</v>
      </c>
      <c r="M13" s="128">
        <v>3</v>
      </c>
      <c r="N13" s="70">
        <v>296000</v>
      </c>
      <c r="O13" s="70">
        <f t="shared" si="0"/>
        <v>421000</v>
      </c>
      <c r="P13" s="134">
        <v>6.5</v>
      </c>
      <c r="Q13" s="162">
        <f t="shared" si="1"/>
        <v>64769.230769230766</v>
      </c>
      <c r="R13" s="70">
        <v>2105000</v>
      </c>
      <c r="S13" s="70">
        <f t="shared" si="2"/>
        <v>2230000</v>
      </c>
      <c r="T13" s="135">
        <f t="shared" si="3"/>
        <v>6.5</v>
      </c>
      <c r="U13" s="162">
        <f t="shared" si="4"/>
        <v>343076.92307692306</v>
      </c>
    </row>
    <row r="14" spans="1:21" x14ac:dyDescent="0.25">
      <c r="A14" s="158" t="s">
        <v>243</v>
      </c>
      <c r="B14" s="159" t="s">
        <v>244</v>
      </c>
      <c r="C14" s="159" t="s">
        <v>245</v>
      </c>
      <c r="D14" s="159" t="s">
        <v>246</v>
      </c>
      <c r="I14" s="111">
        <v>0</v>
      </c>
      <c r="J14" s="113">
        <v>0</v>
      </c>
      <c r="K14" s="70"/>
      <c r="L14" s="70"/>
      <c r="M14" s="128">
        <v>3</v>
      </c>
      <c r="N14" s="70"/>
      <c r="O14" s="70">
        <f t="shared" si="0"/>
        <v>0</v>
      </c>
      <c r="P14" s="134">
        <v>9</v>
      </c>
      <c r="Q14" s="162">
        <f t="shared" si="1"/>
        <v>0</v>
      </c>
      <c r="R14" s="70"/>
      <c r="S14" s="70">
        <f t="shared" si="2"/>
        <v>0</v>
      </c>
      <c r="T14" s="135">
        <f t="shared" si="3"/>
        <v>9</v>
      </c>
      <c r="U14" s="162">
        <f t="shared" si="4"/>
        <v>0</v>
      </c>
    </row>
    <row r="15" spans="1:21" x14ac:dyDescent="0.25">
      <c r="A15" s="160" t="s">
        <v>247</v>
      </c>
      <c r="B15" s="161" t="s">
        <v>248</v>
      </c>
      <c r="C15" s="161" t="s">
        <v>249</v>
      </c>
      <c r="D15" s="161" t="s">
        <v>250</v>
      </c>
      <c r="I15" s="111">
        <v>0</v>
      </c>
      <c r="J15" s="113">
        <v>0</v>
      </c>
      <c r="K15" s="70"/>
      <c r="L15" s="70"/>
      <c r="M15" s="128">
        <v>3</v>
      </c>
      <c r="N15" s="70"/>
      <c r="O15" s="70">
        <f t="shared" ref="O15:O46" si="5">L15+N15</f>
        <v>0</v>
      </c>
      <c r="P15" s="134">
        <v>9</v>
      </c>
      <c r="Q15" s="162">
        <f t="shared" ref="Q15:Q46" si="6">O15/P15</f>
        <v>0</v>
      </c>
      <c r="R15" s="70"/>
      <c r="S15" s="70">
        <f t="shared" ref="S15:S46" si="7">R15+L15</f>
        <v>0</v>
      </c>
      <c r="T15" s="135">
        <f t="shared" ref="T15:T46" si="8">P15</f>
        <v>9</v>
      </c>
      <c r="U15" s="162">
        <f t="shared" ref="U15:U46" si="9">S15/T15</f>
        <v>0</v>
      </c>
    </row>
    <row r="16" spans="1:21" x14ac:dyDescent="0.25">
      <c r="A16" s="158" t="s">
        <v>251</v>
      </c>
      <c r="B16" s="159" t="s">
        <v>252</v>
      </c>
      <c r="C16" s="159" t="s">
        <v>253</v>
      </c>
      <c r="D16" s="159" t="s">
        <v>254</v>
      </c>
      <c r="I16" s="111">
        <v>0</v>
      </c>
      <c r="J16" s="113">
        <v>0</v>
      </c>
      <c r="K16" s="70"/>
      <c r="L16" s="70"/>
      <c r="M16" s="128">
        <v>3</v>
      </c>
      <c r="N16" s="136"/>
      <c r="O16" s="70">
        <f t="shared" si="5"/>
        <v>0</v>
      </c>
      <c r="P16" s="134">
        <v>9</v>
      </c>
      <c r="Q16" s="162">
        <f t="shared" si="6"/>
        <v>0</v>
      </c>
      <c r="R16" s="70"/>
      <c r="S16" s="70">
        <f t="shared" si="7"/>
        <v>0</v>
      </c>
      <c r="T16" s="135">
        <f t="shared" si="8"/>
        <v>9</v>
      </c>
      <c r="U16" s="162">
        <f t="shared" si="9"/>
        <v>0</v>
      </c>
    </row>
    <row r="17" spans="1:21" x14ac:dyDescent="0.25">
      <c r="A17" s="160" t="s">
        <v>255</v>
      </c>
      <c r="B17" s="161" t="s">
        <v>256</v>
      </c>
      <c r="C17" s="161" t="s">
        <v>257</v>
      </c>
      <c r="D17" s="161" t="s">
        <v>258</v>
      </c>
      <c r="I17" s="111">
        <v>0</v>
      </c>
      <c r="J17" s="113">
        <v>0</v>
      </c>
      <c r="K17" s="70"/>
      <c r="L17" s="70"/>
      <c r="M17" s="128">
        <v>3</v>
      </c>
      <c r="N17" s="70"/>
      <c r="O17" s="70">
        <f t="shared" si="5"/>
        <v>0</v>
      </c>
      <c r="P17" s="134">
        <v>9</v>
      </c>
      <c r="Q17" s="162">
        <f t="shared" si="6"/>
        <v>0</v>
      </c>
      <c r="R17" s="70"/>
      <c r="S17" s="70">
        <f t="shared" si="7"/>
        <v>0</v>
      </c>
      <c r="T17" s="135">
        <f t="shared" si="8"/>
        <v>9</v>
      </c>
      <c r="U17" s="162">
        <f t="shared" si="9"/>
        <v>0</v>
      </c>
    </row>
    <row r="18" spans="1:21" x14ac:dyDescent="0.25">
      <c r="A18" s="158" t="s">
        <v>259</v>
      </c>
      <c r="B18" s="159" t="s">
        <v>260</v>
      </c>
      <c r="C18" s="159" t="s">
        <v>261</v>
      </c>
      <c r="D18" s="159" t="s">
        <v>262</v>
      </c>
      <c r="I18" s="111">
        <v>0</v>
      </c>
      <c r="J18" s="113">
        <v>0</v>
      </c>
      <c r="K18" s="70"/>
      <c r="L18" s="70"/>
      <c r="M18" s="128">
        <v>3</v>
      </c>
      <c r="N18" s="70"/>
      <c r="O18" s="70">
        <f t="shared" si="5"/>
        <v>0</v>
      </c>
      <c r="P18" s="134">
        <v>9</v>
      </c>
      <c r="Q18" s="162">
        <f t="shared" si="6"/>
        <v>0</v>
      </c>
      <c r="R18" s="70"/>
      <c r="S18" s="70">
        <f t="shared" si="7"/>
        <v>0</v>
      </c>
      <c r="T18" s="135">
        <f t="shared" si="8"/>
        <v>9</v>
      </c>
      <c r="U18" s="162">
        <f t="shared" si="9"/>
        <v>0</v>
      </c>
    </row>
    <row r="19" spans="1:21" x14ac:dyDescent="0.25">
      <c r="I19" s="111">
        <v>0</v>
      </c>
      <c r="J19" s="113">
        <v>0</v>
      </c>
      <c r="K19" s="70"/>
      <c r="L19" s="70"/>
      <c r="M19" s="128">
        <v>3</v>
      </c>
      <c r="N19" s="70"/>
      <c r="O19" s="70">
        <f t="shared" si="5"/>
        <v>0</v>
      </c>
      <c r="P19" s="134">
        <v>9</v>
      </c>
      <c r="Q19" s="162">
        <f t="shared" si="6"/>
        <v>0</v>
      </c>
      <c r="R19" s="70"/>
      <c r="S19" s="70">
        <f t="shared" si="7"/>
        <v>0</v>
      </c>
      <c r="T19" s="135">
        <f t="shared" si="8"/>
        <v>9</v>
      </c>
      <c r="U19" s="162">
        <f t="shared" si="9"/>
        <v>0</v>
      </c>
    </row>
    <row r="20" spans="1:21" x14ac:dyDescent="0.25">
      <c r="A20" s="10" t="s">
        <v>201</v>
      </c>
      <c r="B20" s="10" t="s">
        <v>202</v>
      </c>
      <c r="I20" s="111">
        <v>0</v>
      </c>
      <c r="J20" s="113">
        <v>0</v>
      </c>
      <c r="K20" s="70"/>
      <c r="L20" s="70"/>
      <c r="M20" s="128">
        <v>3</v>
      </c>
      <c r="N20" s="70"/>
      <c r="O20" s="70">
        <f t="shared" si="5"/>
        <v>0</v>
      </c>
      <c r="P20" s="134">
        <v>9</v>
      </c>
      <c r="Q20" s="162">
        <f t="shared" si="6"/>
        <v>0</v>
      </c>
      <c r="R20" s="70"/>
      <c r="S20" s="70">
        <f t="shared" si="7"/>
        <v>0</v>
      </c>
      <c r="T20" s="135">
        <f t="shared" si="8"/>
        <v>9</v>
      </c>
      <c r="U20" s="162">
        <f t="shared" si="9"/>
        <v>0</v>
      </c>
    </row>
    <row r="21" spans="1:21" x14ac:dyDescent="0.25">
      <c r="A21" s="192" t="s">
        <v>200</v>
      </c>
      <c r="B21" s="192">
        <v>2</v>
      </c>
      <c r="I21" s="111">
        <v>0</v>
      </c>
      <c r="J21" s="113">
        <v>0</v>
      </c>
      <c r="K21" s="70"/>
      <c r="L21" s="70"/>
      <c r="M21" s="128">
        <v>3</v>
      </c>
      <c r="N21" s="136"/>
      <c r="O21" s="70">
        <f t="shared" si="5"/>
        <v>0</v>
      </c>
      <c r="P21" s="134">
        <v>9</v>
      </c>
      <c r="Q21" s="162">
        <f t="shared" si="6"/>
        <v>0</v>
      </c>
      <c r="R21" s="70"/>
      <c r="S21" s="70">
        <f t="shared" si="7"/>
        <v>0</v>
      </c>
      <c r="T21" s="135">
        <f t="shared" si="8"/>
        <v>9</v>
      </c>
      <c r="U21" s="162">
        <f t="shared" si="9"/>
        <v>0</v>
      </c>
    </row>
    <row r="22" spans="1:21" x14ac:dyDescent="0.25">
      <c r="A22" s="192" t="s">
        <v>199</v>
      </c>
      <c r="B22" s="192">
        <v>1.5</v>
      </c>
      <c r="I22" s="111">
        <v>0</v>
      </c>
      <c r="J22" s="113">
        <v>0</v>
      </c>
      <c r="K22" s="70"/>
      <c r="L22" s="70"/>
      <c r="M22" s="128">
        <v>3</v>
      </c>
      <c r="N22" s="70"/>
      <c r="O22" s="70">
        <f t="shared" si="5"/>
        <v>0</v>
      </c>
      <c r="P22" s="134">
        <v>9</v>
      </c>
      <c r="Q22" s="162">
        <f t="shared" si="6"/>
        <v>0</v>
      </c>
      <c r="R22" s="70"/>
      <c r="S22" s="70">
        <f t="shared" si="7"/>
        <v>0</v>
      </c>
      <c r="T22" s="135">
        <f t="shared" si="8"/>
        <v>9</v>
      </c>
      <c r="U22" s="162">
        <f t="shared" si="9"/>
        <v>0</v>
      </c>
    </row>
    <row r="23" spans="1:21" x14ac:dyDescent="0.25">
      <c r="A23" s="192" t="s">
        <v>198</v>
      </c>
      <c r="B23" s="192">
        <v>1.5</v>
      </c>
      <c r="I23" s="111">
        <v>0</v>
      </c>
      <c r="J23" s="113">
        <v>0</v>
      </c>
      <c r="K23" s="70"/>
      <c r="L23" s="70"/>
      <c r="M23" s="128">
        <v>3</v>
      </c>
      <c r="N23" s="70"/>
      <c r="O23" s="70">
        <f t="shared" si="5"/>
        <v>0</v>
      </c>
      <c r="P23" s="134">
        <v>9</v>
      </c>
      <c r="Q23" s="162">
        <f t="shared" si="6"/>
        <v>0</v>
      </c>
      <c r="R23" s="70"/>
      <c r="S23" s="70">
        <f t="shared" si="7"/>
        <v>0</v>
      </c>
      <c r="T23" s="135">
        <f t="shared" si="8"/>
        <v>9</v>
      </c>
      <c r="U23" s="162">
        <f t="shared" si="9"/>
        <v>0</v>
      </c>
    </row>
    <row r="24" spans="1:21" x14ac:dyDescent="0.25">
      <c r="A24" s="192" t="s">
        <v>195</v>
      </c>
      <c r="B24" s="192">
        <v>1.5</v>
      </c>
      <c r="I24" s="111">
        <v>0</v>
      </c>
      <c r="J24" s="113">
        <v>0</v>
      </c>
      <c r="K24" s="70"/>
      <c r="L24" s="70"/>
      <c r="M24" s="128">
        <v>3</v>
      </c>
      <c r="N24" s="70"/>
      <c r="O24" s="70">
        <f t="shared" si="5"/>
        <v>0</v>
      </c>
      <c r="P24" s="134">
        <v>9</v>
      </c>
      <c r="Q24" s="162">
        <f t="shared" si="6"/>
        <v>0</v>
      </c>
      <c r="R24" s="70"/>
      <c r="S24" s="70">
        <f t="shared" si="7"/>
        <v>0</v>
      </c>
      <c r="T24" s="135">
        <f t="shared" si="8"/>
        <v>9</v>
      </c>
      <c r="U24" s="162">
        <f t="shared" si="9"/>
        <v>0</v>
      </c>
    </row>
    <row r="25" spans="1:21" x14ac:dyDescent="0.25">
      <c r="A25" s="192" t="s">
        <v>196</v>
      </c>
      <c r="B25" s="192">
        <v>1.5</v>
      </c>
      <c r="I25" s="111">
        <v>0</v>
      </c>
      <c r="J25" s="113">
        <v>0</v>
      </c>
      <c r="K25" s="70"/>
      <c r="L25" s="70"/>
      <c r="M25" s="128">
        <v>3</v>
      </c>
      <c r="N25" s="70"/>
      <c r="O25" s="70">
        <f t="shared" si="5"/>
        <v>0</v>
      </c>
      <c r="P25" s="134">
        <v>9</v>
      </c>
      <c r="Q25" s="162">
        <f t="shared" si="6"/>
        <v>0</v>
      </c>
      <c r="R25" s="70"/>
      <c r="S25" s="70">
        <f t="shared" si="7"/>
        <v>0</v>
      </c>
      <c r="T25" s="135">
        <f t="shared" si="8"/>
        <v>9</v>
      </c>
      <c r="U25" s="162">
        <f t="shared" si="9"/>
        <v>0</v>
      </c>
    </row>
    <row r="26" spans="1:21" x14ac:dyDescent="0.25">
      <c r="A26" s="192" t="s">
        <v>197</v>
      </c>
      <c r="B26" s="192">
        <v>1.5</v>
      </c>
      <c r="I26" s="111">
        <v>0</v>
      </c>
      <c r="J26" s="113">
        <v>0</v>
      </c>
      <c r="K26" s="70"/>
      <c r="L26" s="70"/>
      <c r="M26" s="128">
        <v>3</v>
      </c>
      <c r="N26" s="136"/>
      <c r="O26" s="70">
        <f t="shared" si="5"/>
        <v>0</v>
      </c>
      <c r="P26" s="134">
        <v>9</v>
      </c>
      <c r="Q26" s="162">
        <f t="shared" si="6"/>
        <v>0</v>
      </c>
      <c r="R26" s="70"/>
      <c r="S26" s="70">
        <f t="shared" si="7"/>
        <v>0</v>
      </c>
      <c r="T26" s="135">
        <f t="shared" si="8"/>
        <v>9</v>
      </c>
      <c r="U26" s="162">
        <f t="shared" si="9"/>
        <v>0</v>
      </c>
    </row>
    <row r="27" spans="1:21" x14ac:dyDescent="0.25">
      <c r="A27" s="192"/>
      <c r="B27" s="192"/>
      <c r="I27" s="111">
        <v>0</v>
      </c>
      <c r="J27" s="113">
        <v>0</v>
      </c>
      <c r="K27" s="70"/>
      <c r="L27" s="70"/>
      <c r="M27" s="128">
        <v>3</v>
      </c>
      <c r="N27" s="70"/>
      <c r="O27" s="70">
        <f t="shared" si="5"/>
        <v>0</v>
      </c>
      <c r="P27" s="134">
        <v>9</v>
      </c>
      <c r="Q27" s="162">
        <f t="shared" si="6"/>
        <v>0</v>
      </c>
      <c r="R27" s="70"/>
      <c r="S27" s="70">
        <f t="shared" si="7"/>
        <v>0</v>
      </c>
      <c r="T27" s="135">
        <f t="shared" si="8"/>
        <v>9</v>
      </c>
      <c r="U27" s="162">
        <f t="shared" si="9"/>
        <v>0</v>
      </c>
    </row>
    <row r="28" spans="1:21" x14ac:dyDescent="0.25">
      <c r="A28" s="10" t="s">
        <v>264</v>
      </c>
      <c r="B28" s="10" t="s">
        <v>265</v>
      </c>
      <c r="I28" s="111">
        <v>0</v>
      </c>
      <c r="J28" s="113">
        <v>0</v>
      </c>
      <c r="K28" s="70"/>
      <c r="L28" s="70"/>
      <c r="M28" s="128">
        <v>3</v>
      </c>
      <c r="N28" s="70"/>
      <c r="O28" s="70">
        <f t="shared" si="5"/>
        <v>0</v>
      </c>
      <c r="P28" s="134">
        <v>9</v>
      </c>
      <c r="Q28" s="162">
        <f t="shared" si="6"/>
        <v>0</v>
      </c>
      <c r="R28" s="70"/>
      <c r="S28" s="70">
        <f t="shared" si="7"/>
        <v>0</v>
      </c>
      <c r="T28" s="135">
        <f t="shared" si="8"/>
        <v>9</v>
      </c>
      <c r="U28" s="162">
        <f t="shared" si="9"/>
        <v>0</v>
      </c>
    </row>
    <row r="29" spans="1:21" x14ac:dyDescent="0.25">
      <c r="A29" s="192" t="s">
        <v>137</v>
      </c>
      <c r="B29" s="39">
        <v>9.5</v>
      </c>
      <c r="I29" s="111">
        <v>0</v>
      </c>
      <c r="J29" s="113">
        <v>0</v>
      </c>
      <c r="K29" s="70"/>
      <c r="L29" s="70"/>
      <c r="M29" s="128">
        <v>3</v>
      </c>
      <c r="N29" s="70"/>
      <c r="O29" s="70">
        <f t="shared" si="5"/>
        <v>0</v>
      </c>
      <c r="P29" s="134">
        <v>9</v>
      </c>
      <c r="Q29" s="162">
        <f t="shared" si="6"/>
        <v>0</v>
      </c>
      <c r="R29" s="70"/>
      <c r="S29" s="70">
        <f t="shared" si="7"/>
        <v>0</v>
      </c>
      <c r="T29" s="135">
        <f t="shared" si="8"/>
        <v>9</v>
      </c>
      <c r="U29" s="162">
        <f t="shared" si="9"/>
        <v>0</v>
      </c>
    </row>
    <row r="30" spans="1:21" x14ac:dyDescent="0.25">
      <c r="A30" s="192" t="s">
        <v>105</v>
      </c>
      <c r="B30" s="39">
        <v>8</v>
      </c>
      <c r="I30" s="111">
        <v>0</v>
      </c>
      <c r="J30" s="113">
        <v>0</v>
      </c>
      <c r="K30" s="70"/>
      <c r="L30" s="70"/>
      <c r="M30" s="128">
        <v>3</v>
      </c>
      <c r="N30" s="70"/>
      <c r="O30" s="70">
        <f t="shared" si="5"/>
        <v>0</v>
      </c>
      <c r="P30" s="134">
        <v>9</v>
      </c>
      <c r="Q30" s="162">
        <f t="shared" si="6"/>
        <v>0</v>
      </c>
      <c r="R30" s="70"/>
      <c r="S30" s="70">
        <f t="shared" si="7"/>
        <v>0</v>
      </c>
      <c r="T30" s="135">
        <f t="shared" si="8"/>
        <v>9</v>
      </c>
      <c r="U30" s="162">
        <f t="shared" si="9"/>
        <v>0</v>
      </c>
    </row>
    <row r="31" spans="1:21" x14ac:dyDescent="0.25">
      <c r="A31" s="192" t="s">
        <v>106</v>
      </c>
      <c r="B31" s="39">
        <f>B30-1.5</f>
        <v>6.5</v>
      </c>
      <c r="I31" s="111">
        <v>0</v>
      </c>
      <c r="J31" s="113">
        <v>0</v>
      </c>
      <c r="K31" s="70"/>
      <c r="L31" s="70"/>
      <c r="M31" s="128">
        <v>3</v>
      </c>
      <c r="N31" s="136"/>
      <c r="O31" s="70">
        <f t="shared" si="5"/>
        <v>0</v>
      </c>
      <c r="P31" s="134">
        <v>9</v>
      </c>
      <c r="Q31" s="162">
        <f t="shared" si="6"/>
        <v>0</v>
      </c>
      <c r="R31" s="70"/>
      <c r="S31" s="70">
        <f t="shared" si="7"/>
        <v>0</v>
      </c>
      <c r="T31" s="135">
        <f t="shared" si="8"/>
        <v>9</v>
      </c>
      <c r="U31" s="162">
        <f t="shared" si="9"/>
        <v>0</v>
      </c>
    </row>
    <row r="32" spans="1:21" x14ac:dyDescent="0.25">
      <c r="A32" s="192" t="s">
        <v>107</v>
      </c>
      <c r="B32" s="39">
        <f>B31-1.5</f>
        <v>5</v>
      </c>
      <c r="I32" s="111">
        <v>0</v>
      </c>
      <c r="J32" s="113">
        <v>0</v>
      </c>
      <c r="K32" s="70"/>
      <c r="L32" s="70"/>
      <c r="M32" s="128">
        <v>3</v>
      </c>
      <c r="N32" s="70"/>
      <c r="O32" s="70">
        <f t="shared" si="5"/>
        <v>0</v>
      </c>
      <c r="P32" s="134">
        <v>9</v>
      </c>
      <c r="Q32" s="162">
        <f t="shared" si="6"/>
        <v>0</v>
      </c>
      <c r="R32" s="70"/>
      <c r="S32" s="70">
        <f t="shared" si="7"/>
        <v>0</v>
      </c>
      <c r="T32" s="135">
        <f t="shared" si="8"/>
        <v>9</v>
      </c>
      <c r="U32" s="162">
        <f t="shared" si="9"/>
        <v>0</v>
      </c>
    </row>
    <row r="33" spans="1:21" x14ac:dyDescent="0.25">
      <c r="A33" s="192" t="s">
        <v>108</v>
      </c>
      <c r="B33" s="39">
        <f>2+1.5</f>
        <v>3.5</v>
      </c>
      <c r="I33" s="111">
        <v>0</v>
      </c>
      <c r="J33" s="113">
        <v>0</v>
      </c>
      <c r="K33" s="70"/>
      <c r="L33" s="70"/>
      <c r="M33" s="128">
        <v>3</v>
      </c>
      <c r="N33" s="70"/>
      <c r="O33" s="70">
        <f t="shared" si="5"/>
        <v>0</v>
      </c>
      <c r="P33" s="134">
        <v>9</v>
      </c>
      <c r="Q33" s="162">
        <f t="shared" si="6"/>
        <v>0</v>
      </c>
      <c r="R33" s="70"/>
      <c r="S33" s="70">
        <f t="shared" si="7"/>
        <v>0</v>
      </c>
      <c r="T33" s="135">
        <f t="shared" si="8"/>
        <v>9</v>
      </c>
      <c r="U33" s="162">
        <f t="shared" si="9"/>
        <v>0</v>
      </c>
    </row>
    <row r="34" spans="1:21" x14ac:dyDescent="0.25">
      <c r="A34" s="192" t="s">
        <v>267</v>
      </c>
      <c r="B34" s="39">
        <v>2</v>
      </c>
      <c r="I34" s="111">
        <v>0</v>
      </c>
      <c r="J34" s="113">
        <v>0</v>
      </c>
      <c r="K34" s="70"/>
      <c r="L34" s="70"/>
      <c r="M34" s="128">
        <v>3</v>
      </c>
      <c r="N34" s="70"/>
      <c r="O34" s="70">
        <f t="shared" si="5"/>
        <v>0</v>
      </c>
      <c r="P34" s="134">
        <v>9</v>
      </c>
      <c r="Q34" s="162">
        <f t="shared" si="6"/>
        <v>0</v>
      </c>
      <c r="R34" s="70"/>
      <c r="S34" s="70">
        <f t="shared" si="7"/>
        <v>0</v>
      </c>
      <c r="T34" s="135">
        <f t="shared" si="8"/>
        <v>9</v>
      </c>
      <c r="U34" s="162">
        <f t="shared" si="9"/>
        <v>0</v>
      </c>
    </row>
    <row r="35" spans="1:21" x14ac:dyDescent="0.25">
      <c r="A35" s="192" t="s">
        <v>266</v>
      </c>
      <c r="B35" s="39">
        <v>1</v>
      </c>
      <c r="I35" s="111">
        <v>0</v>
      </c>
      <c r="J35" s="113">
        <v>0</v>
      </c>
      <c r="K35" s="70"/>
      <c r="L35" s="70"/>
      <c r="M35" s="128">
        <v>3</v>
      </c>
      <c r="N35" s="70"/>
      <c r="O35" s="70">
        <f t="shared" si="5"/>
        <v>0</v>
      </c>
      <c r="P35" s="134">
        <v>9</v>
      </c>
      <c r="Q35" s="162">
        <f t="shared" si="6"/>
        <v>0</v>
      </c>
      <c r="R35" s="70"/>
      <c r="S35" s="70">
        <f t="shared" si="7"/>
        <v>0</v>
      </c>
      <c r="T35" s="135">
        <f t="shared" si="8"/>
        <v>9</v>
      </c>
      <c r="U35" s="162">
        <f t="shared" si="9"/>
        <v>0</v>
      </c>
    </row>
    <row r="36" spans="1:21" x14ac:dyDescent="0.25">
      <c r="I36" s="111">
        <v>0</v>
      </c>
      <c r="J36" s="113">
        <v>0</v>
      </c>
      <c r="K36" s="70"/>
      <c r="L36" s="70"/>
      <c r="M36" s="128">
        <v>3</v>
      </c>
      <c r="N36" s="136"/>
      <c r="O36" s="70">
        <f t="shared" si="5"/>
        <v>0</v>
      </c>
      <c r="P36" s="134">
        <v>9</v>
      </c>
      <c r="Q36" s="162">
        <f t="shared" si="6"/>
        <v>0</v>
      </c>
      <c r="R36" s="70"/>
      <c r="S36" s="70">
        <f t="shared" si="7"/>
        <v>0</v>
      </c>
      <c r="T36" s="135">
        <f t="shared" si="8"/>
        <v>9</v>
      </c>
      <c r="U36" s="162">
        <f t="shared" si="9"/>
        <v>0</v>
      </c>
    </row>
    <row r="37" spans="1:21" x14ac:dyDescent="0.25">
      <c r="I37" s="111">
        <v>0</v>
      </c>
      <c r="J37" s="113">
        <v>0</v>
      </c>
      <c r="K37" s="70"/>
      <c r="L37" s="70"/>
      <c r="M37" s="128">
        <v>3</v>
      </c>
      <c r="N37" s="70"/>
      <c r="O37" s="70">
        <f t="shared" si="5"/>
        <v>0</v>
      </c>
      <c r="P37" s="134">
        <v>9</v>
      </c>
      <c r="Q37" s="162">
        <f t="shared" si="6"/>
        <v>0</v>
      </c>
      <c r="R37" s="70"/>
      <c r="S37" s="70">
        <f t="shared" si="7"/>
        <v>0</v>
      </c>
      <c r="T37" s="135">
        <f t="shared" si="8"/>
        <v>9</v>
      </c>
      <c r="U37" s="162">
        <f t="shared" si="9"/>
        <v>0</v>
      </c>
    </row>
    <row r="38" spans="1:21" x14ac:dyDescent="0.25">
      <c r="I38" s="111">
        <v>0</v>
      </c>
      <c r="J38" s="113">
        <v>0</v>
      </c>
      <c r="K38" s="70"/>
      <c r="L38" s="70"/>
      <c r="M38" s="128">
        <v>3</v>
      </c>
      <c r="N38" s="70"/>
      <c r="O38" s="70">
        <f t="shared" si="5"/>
        <v>0</v>
      </c>
      <c r="P38" s="134">
        <v>9</v>
      </c>
      <c r="Q38" s="162">
        <f t="shared" si="6"/>
        <v>0</v>
      </c>
      <c r="R38" s="70"/>
      <c r="S38" s="70">
        <f t="shared" si="7"/>
        <v>0</v>
      </c>
      <c r="T38" s="135">
        <f t="shared" si="8"/>
        <v>9</v>
      </c>
      <c r="U38" s="162">
        <f t="shared" si="9"/>
        <v>0</v>
      </c>
    </row>
    <row r="39" spans="1:21" x14ac:dyDescent="0.25">
      <c r="I39" s="111">
        <v>0</v>
      </c>
      <c r="J39" s="113">
        <v>0</v>
      </c>
      <c r="K39" s="70"/>
      <c r="L39" s="70"/>
      <c r="M39" s="128">
        <v>3</v>
      </c>
      <c r="N39" s="70"/>
      <c r="O39" s="70">
        <f t="shared" si="5"/>
        <v>0</v>
      </c>
      <c r="P39" s="134">
        <v>9</v>
      </c>
      <c r="Q39" s="162">
        <f t="shared" si="6"/>
        <v>0</v>
      </c>
      <c r="R39" s="70"/>
      <c r="S39" s="70">
        <f t="shared" si="7"/>
        <v>0</v>
      </c>
      <c r="T39" s="135">
        <f t="shared" si="8"/>
        <v>9</v>
      </c>
      <c r="U39" s="162">
        <f t="shared" si="9"/>
        <v>0</v>
      </c>
    </row>
    <row r="40" spans="1:21" x14ac:dyDescent="0.25">
      <c r="I40" s="111">
        <v>0</v>
      </c>
      <c r="J40" s="113">
        <v>0</v>
      </c>
      <c r="K40" s="70"/>
      <c r="L40" s="70"/>
      <c r="M40" s="128">
        <v>3</v>
      </c>
      <c r="N40" s="70"/>
      <c r="O40" s="70">
        <f t="shared" si="5"/>
        <v>0</v>
      </c>
      <c r="P40" s="134">
        <v>9</v>
      </c>
      <c r="Q40" s="162">
        <f t="shared" si="6"/>
        <v>0</v>
      </c>
      <c r="R40" s="70"/>
      <c r="S40" s="70">
        <f t="shared" si="7"/>
        <v>0</v>
      </c>
      <c r="T40" s="135">
        <f t="shared" si="8"/>
        <v>9</v>
      </c>
      <c r="U40" s="162">
        <f t="shared" si="9"/>
        <v>0</v>
      </c>
    </row>
    <row r="41" spans="1:21" x14ac:dyDescent="0.25">
      <c r="I41" s="111">
        <v>0</v>
      </c>
      <c r="J41" s="113">
        <v>0</v>
      </c>
      <c r="K41" s="70"/>
      <c r="L41" s="70"/>
      <c r="M41" s="128">
        <v>3</v>
      </c>
      <c r="N41" s="136"/>
      <c r="O41" s="70">
        <f t="shared" si="5"/>
        <v>0</v>
      </c>
      <c r="P41" s="134">
        <v>9</v>
      </c>
      <c r="Q41" s="162">
        <f t="shared" si="6"/>
        <v>0</v>
      </c>
      <c r="R41" s="70"/>
      <c r="S41" s="70">
        <f t="shared" si="7"/>
        <v>0</v>
      </c>
      <c r="T41" s="135">
        <f t="shared" si="8"/>
        <v>9</v>
      </c>
      <c r="U41" s="162">
        <f t="shared" si="9"/>
        <v>0</v>
      </c>
    </row>
    <row r="42" spans="1:21" x14ac:dyDescent="0.25">
      <c r="I42" s="111">
        <v>0</v>
      </c>
      <c r="J42" s="113">
        <v>0</v>
      </c>
      <c r="K42" s="70"/>
      <c r="L42" s="70"/>
      <c r="M42" s="128">
        <v>3</v>
      </c>
      <c r="N42" s="70"/>
      <c r="O42" s="70">
        <f t="shared" si="5"/>
        <v>0</v>
      </c>
      <c r="P42" s="134">
        <v>9</v>
      </c>
      <c r="Q42" s="162">
        <f t="shared" si="6"/>
        <v>0</v>
      </c>
      <c r="R42" s="70"/>
      <c r="S42" s="70">
        <f t="shared" si="7"/>
        <v>0</v>
      </c>
      <c r="T42" s="135">
        <f t="shared" si="8"/>
        <v>9</v>
      </c>
      <c r="U42" s="162">
        <f t="shared" si="9"/>
        <v>0</v>
      </c>
    </row>
    <row r="43" spans="1:21" x14ac:dyDescent="0.25">
      <c r="I43" s="111">
        <v>0</v>
      </c>
      <c r="J43" s="113">
        <v>0</v>
      </c>
      <c r="K43" s="70"/>
      <c r="L43" s="70"/>
      <c r="M43" s="128">
        <v>3</v>
      </c>
      <c r="N43" s="70"/>
      <c r="O43" s="70">
        <f t="shared" si="5"/>
        <v>0</v>
      </c>
      <c r="P43" s="134">
        <v>9</v>
      </c>
      <c r="Q43" s="162">
        <f t="shared" si="6"/>
        <v>0</v>
      </c>
      <c r="R43" s="70"/>
      <c r="S43" s="70">
        <f t="shared" si="7"/>
        <v>0</v>
      </c>
      <c r="T43" s="135">
        <f t="shared" si="8"/>
        <v>9</v>
      </c>
      <c r="U43" s="162">
        <f t="shared" si="9"/>
        <v>0</v>
      </c>
    </row>
    <row r="44" spans="1:21" x14ac:dyDescent="0.25">
      <c r="I44" s="111">
        <v>0</v>
      </c>
      <c r="J44" s="113">
        <v>0</v>
      </c>
      <c r="K44" s="70"/>
      <c r="L44" s="70"/>
      <c r="M44" s="128">
        <v>3</v>
      </c>
      <c r="N44" s="70"/>
      <c r="O44" s="70">
        <f t="shared" si="5"/>
        <v>0</v>
      </c>
      <c r="P44" s="134">
        <v>9</v>
      </c>
      <c r="Q44" s="162">
        <f t="shared" si="6"/>
        <v>0</v>
      </c>
      <c r="R44" s="70"/>
      <c r="S44" s="70">
        <f t="shared" si="7"/>
        <v>0</v>
      </c>
      <c r="T44" s="135">
        <f t="shared" si="8"/>
        <v>9</v>
      </c>
      <c r="U44" s="162">
        <f t="shared" si="9"/>
        <v>0</v>
      </c>
    </row>
    <row r="45" spans="1:21" x14ac:dyDescent="0.25">
      <c r="I45" s="111">
        <v>0</v>
      </c>
      <c r="J45" s="113">
        <v>0</v>
      </c>
      <c r="K45" s="70"/>
      <c r="L45" s="70"/>
      <c r="M45" s="128">
        <v>3</v>
      </c>
      <c r="N45" s="70"/>
      <c r="O45" s="70">
        <f t="shared" si="5"/>
        <v>0</v>
      </c>
      <c r="P45" s="134">
        <v>9</v>
      </c>
      <c r="Q45" s="162">
        <f t="shared" si="6"/>
        <v>0</v>
      </c>
      <c r="R45" s="70"/>
      <c r="S45" s="70">
        <f t="shared" si="7"/>
        <v>0</v>
      </c>
      <c r="T45" s="135">
        <f t="shared" si="8"/>
        <v>9</v>
      </c>
      <c r="U45" s="162">
        <f t="shared" si="9"/>
        <v>0</v>
      </c>
    </row>
    <row r="46" spans="1:21" x14ac:dyDescent="0.25">
      <c r="I46" s="111">
        <v>0</v>
      </c>
      <c r="J46" s="113">
        <v>0</v>
      </c>
      <c r="K46" s="70"/>
      <c r="L46" s="70"/>
      <c r="M46" s="128">
        <v>3</v>
      </c>
      <c r="N46" s="70"/>
      <c r="O46" s="70">
        <f t="shared" si="5"/>
        <v>0</v>
      </c>
      <c r="P46" s="134">
        <v>9</v>
      </c>
      <c r="Q46" s="162">
        <f t="shared" si="6"/>
        <v>0</v>
      </c>
      <c r="R46" s="70"/>
      <c r="S46" s="70">
        <f t="shared" si="7"/>
        <v>0</v>
      </c>
      <c r="T46" s="135">
        <f t="shared" si="8"/>
        <v>9</v>
      </c>
      <c r="U46" s="162">
        <f t="shared" si="9"/>
        <v>0</v>
      </c>
    </row>
    <row r="47" spans="1:21" x14ac:dyDescent="0.25">
      <c r="I47" s="111">
        <v>0</v>
      </c>
      <c r="J47" s="113">
        <v>0</v>
      </c>
      <c r="K47" s="70"/>
      <c r="L47" s="70"/>
      <c r="M47" s="128">
        <v>3</v>
      </c>
      <c r="N47" s="136"/>
      <c r="O47" s="70">
        <f t="shared" ref="O47:O76" si="10">L47+N47</f>
        <v>0</v>
      </c>
      <c r="P47" s="134">
        <v>9</v>
      </c>
      <c r="Q47" s="162">
        <f t="shared" ref="Q47:Q76" si="11">O47/P47</f>
        <v>0</v>
      </c>
      <c r="R47" s="70"/>
      <c r="S47" s="70">
        <f t="shared" ref="S47:S76" si="12">R47+L47</f>
        <v>0</v>
      </c>
      <c r="T47" s="135">
        <f t="shared" ref="T47:T76" si="13">P47</f>
        <v>9</v>
      </c>
      <c r="U47" s="162">
        <f t="shared" ref="U47:U76" si="14">S47/T47</f>
        <v>0</v>
      </c>
    </row>
    <row r="48" spans="1:21" x14ac:dyDescent="0.25">
      <c r="I48" s="111">
        <v>0</v>
      </c>
      <c r="J48" s="113">
        <v>0</v>
      </c>
      <c r="K48" s="70"/>
      <c r="L48" s="70"/>
      <c r="M48" s="128">
        <v>3</v>
      </c>
      <c r="N48" s="70"/>
      <c r="O48" s="70">
        <f t="shared" si="10"/>
        <v>0</v>
      </c>
      <c r="P48" s="134">
        <v>9</v>
      </c>
      <c r="Q48" s="162">
        <f t="shared" si="11"/>
        <v>0</v>
      </c>
      <c r="R48" s="70"/>
      <c r="S48" s="70">
        <f t="shared" si="12"/>
        <v>0</v>
      </c>
      <c r="T48" s="135">
        <f t="shared" si="13"/>
        <v>9</v>
      </c>
      <c r="U48" s="162">
        <f t="shared" si="14"/>
        <v>0</v>
      </c>
    </row>
    <row r="49" spans="1:21" x14ac:dyDescent="0.25">
      <c r="I49" s="111">
        <v>0</v>
      </c>
      <c r="J49" s="113">
        <v>0</v>
      </c>
      <c r="K49" s="70"/>
      <c r="L49" s="70"/>
      <c r="M49" s="128">
        <v>3</v>
      </c>
      <c r="N49" s="70"/>
      <c r="O49" s="70">
        <f t="shared" si="10"/>
        <v>0</v>
      </c>
      <c r="P49" s="134">
        <v>9</v>
      </c>
      <c r="Q49" s="162">
        <f t="shared" si="11"/>
        <v>0</v>
      </c>
      <c r="R49" s="70"/>
      <c r="S49" s="70">
        <f t="shared" si="12"/>
        <v>0</v>
      </c>
      <c r="T49" s="135">
        <f t="shared" si="13"/>
        <v>9</v>
      </c>
      <c r="U49" s="162">
        <f t="shared" si="14"/>
        <v>0</v>
      </c>
    </row>
    <row r="50" spans="1:21" x14ac:dyDescent="0.25">
      <c r="A50" s="30"/>
      <c r="I50" s="111">
        <v>0</v>
      </c>
      <c r="J50" s="113">
        <v>0</v>
      </c>
      <c r="K50" s="70"/>
      <c r="L50" s="70"/>
      <c r="M50" s="128">
        <v>3</v>
      </c>
      <c r="N50" s="70"/>
      <c r="O50" s="70">
        <f t="shared" si="10"/>
        <v>0</v>
      </c>
      <c r="P50" s="134">
        <v>9</v>
      </c>
      <c r="Q50" s="162">
        <f t="shared" si="11"/>
        <v>0</v>
      </c>
      <c r="R50" s="70"/>
      <c r="S50" s="70">
        <f t="shared" si="12"/>
        <v>0</v>
      </c>
      <c r="T50" s="135">
        <f t="shared" si="13"/>
        <v>9</v>
      </c>
      <c r="U50" s="162">
        <f t="shared" si="14"/>
        <v>0</v>
      </c>
    </row>
    <row r="51" spans="1:21" x14ac:dyDescent="0.25">
      <c r="A51" s="30"/>
      <c r="I51" s="111">
        <v>0</v>
      </c>
      <c r="J51" s="113">
        <v>0</v>
      </c>
      <c r="K51" s="70"/>
      <c r="L51" s="70"/>
      <c r="M51" s="128">
        <v>3</v>
      </c>
      <c r="N51" s="70"/>
      <c r="O51" s="70">
        <f t="shared" si="10"/>
        <v>0</v>
      </c>
      <c r="P51" s="134">
        <v>9</v>
      </c>
      <c r="Q51" s="162">
        <f t="shared" si="11"/>
        <v>0</v>
      </c>
      <c r="R51" s="70"/>
      <c r="S51" s="70">
        <f t="shared" si="12"/>
        <v>0</v>
      </c>
      <c r="T51" s="135">
        <f t="shared" si="13"/>
        <v>9</v>
      </c>
      <c r="U51" s="162">
        <f t="shared" si="14"/>
        <v>0</v>
      </c>
    </row>
    <row r="52" spans="1:21" x14ac:dyDescent="0.25">
      <c r="A52" s="30"/>
      <c r="I52" s="111">
        <v>0</v>
      </c>
      <c r="J52" s="113">
        <v>0</v>
      </c>
      <c r="K52" s="70"/>
      <c r="L52" s="70"/>
      <c r="M52" s="128">
        <v>3</v>
      </c>
      <c r="N52" s="136"/>
      <c r="O52" s="70">
        <f t="shared" si="10"/>
        <v>0</v>
      </c>
      <c r="P52" s="134">
        <v>9</v>
      </c>
      <c r="Q52" s="162">
        <f t="shared" si="11"/>
        <v>0</v>
      </c>
      <c r="R52" s="70"/>
      <c r="S52" s="70">
        <f t="shared" si="12"/>
        <v>0</v>
      </c>
      <c r="T52" s="135">
        <f t="shared" si="13"/>
        <v>9</v>
      </c>
      <c r="U52" s="162">
        <f t="shared" si="14"/>
        <v>0</v>
      </c>
    </row>
    <row r="53" spans="1:21" x14ac:dyDescent="0.25">
      <c r="I53" s="111">
        <v>0</v>
      </c>
      <c r="J53" s="113">
        <v>0</v>
      </c>
      <c r="K53" s="70"/>
      <c r="L53" s="70"/>
      <c r="M53" s="128">
        <v>3</v>
      </c>
      <c r="N53" s="70"/>
      <c r="O53" s="70">
        <f t="shared" si="10"/>
        <v>0</v>
      </c>
      <c r="P53" s="134">
        <v>9</v>
      </c>
      <c r="Q53" s="162">
        <f t="shared" si="11"/>
        <v>0</v>
      </c>
      <c r="R53" s="70"/>
      <c r="S53" s="70">
        <f t="shared" si="12"/>
        <v>0</v>
      </c>
      <c r="T53" s="135">
        <f t="shared" si="13"/>
        <v>9</v>
      </c>
      <c r="U53" s="162">
        <f t="shared" si="14"/>
        <v>0</v>
      </c>
    </row>
    <row r="54" spans="1:21" x14ac:dyDescent="0.25">
      <c r="I54" s="111">
        <v>0</v>
      </c>
      <c r="J54" s="113">
        <v>0</v>
      </c>
      <c r="K54" s="70"/>
      <c r="L54" s="70"/>
      <c r="M54" s="128">
        <v>3</v>
      </c>
      <c r="N54" s="70"/>
      <c r="O54" s="70">
        <f t="shared" si="10"/>
        <v>0</v>
      </c>
      <c r="P54" s="134">
        <v>9</v>
      </c>
      <c r="Q54" s="162">
        <f t="shared" si="11"/>
        <v>0</v>
      </c>
      <c r="R54" s="70"/>
      <c r="S54" s="70">
        <f t="shared" si="12"/>
        <v>0</v>
      </c>
      <c r="T54" s="135">
        <f t="shared" si="13"/>
        <v>9</v>
      </c>
      <c r="U54" s="162">
        <f t="shared" si="14"/>
        <v>0</v>
      </c>
    </row>
    <row r="55" spans="1:21" x14ac:dyDescent="0.25">
      <c r="I55" s="111">
        <v>0</v>
      </c>
      <c r="J55" s="113">
        <v>0</v>
      </c>
      <c r="K55" s="70"/>
      <c r="L55" s="70"/>
      <c r="M55" s="128">
        <v>3</v>
      </c>
      <c r="N55" s="70"/>
      <c r="O55" s="70">
        <f t="shared" si="10"/>
        <v>0</v>
      </c>
      <c r="P55" s="134">
        <v>9</v>
      </c>
      <c r="Q55" s="162">
        <f t="shared" si="11"/>
        <v>0</v>
      </c>
      <c r="R55" s="70"/>
      <c r="S55" s="70">
        <f t="shared" si="12"/>
        <v>0</v>
      </c>
      <c r="T55" s="135">
        <f t="shared" si="13"/>
        <v>9</v>
      </c>
      <c r="U55" s="162">
        <f t="shared" si="14"/>
        <v>0</v>
      </c>
    </row>
    <row r="56" spans="1:21" x14ac:dyDescent="0.25">
      <c r="I56" s="111">
        <v>0</v>
      </c>
      <c r="J56" s="113">
        <v>0</v>
      </c>
      <c r="K56" s="70"/>
      <c r="L56" s="70"/>
      <c r="M56" s="128">
        <v>3</v>
      </c>
      <c r="N56" s="70"/>
      <c r="O56" s="70">
        <f t="shared" si="10"/>
        <v>0</v>
      </c>
      <c r="P56" s="134">
        <v>9</v>
      </c>
      <c r="Q56" s="162">
        <f t="shared" si="11"/>
        <v>0</v>
      </c>
      <c r="R56" s="70"/>
      <c r="S56" s="70">
        <f t="shared" si="12"/>
        <v>0</v>
      </c>
      <c r="T56" s="135">
        <f t="shared" si="13"/>
        <v>9</v>
      </c>
      <c r="U56" s="162">
        <f t="shared" si="14"/>
        <v>0</v>
      </c>
    </row>
    <row r="57" spans="1:21" x14ac:dyDescent="0.25">
      <c r="A57" s="30"/>
      <c r="I57" s="111">
        <v>0</v>
      </c>
      <c r="J57" s="113">
        <v>0</v>
      </c>
      <c r="K57" s="70"/>
      <c r="L57" s="70"/>
      <c r="M57" s="128">
        <v>3</v>
      </c>
      <c r="N57" s="70"/>
      <c r="O57" s="70">
        <f t="shared" si="10"/>
        <v>0</v>
      </c>
      <c r="P57" s="134">
        <v>9</v>
      </c>
      <c r="Q57" s="162">
        <f t="shared" si="11"/>
        <v>0</v>
      </c>
      <c r="R57" s="70"/>
      <c r="S57" s="70">
        <f t="shared" si="12"/>
        <v>0</v>
      </c>
      <c r="T57" s="135">
        <f t="shared" si="13"/>
        <v>9</v>
      </c>
      <c r="U57" s="162">
        <f t="shared" si="14"/>
        <v>0</v>
      </c>
    </row>
    <row r="58" spans="1:21" x14ac:dyDescent="0.25">
      <c r="A58" s="30"/>
      <c r="I58" s="111">
        <v>0</v>
      </c>
      <c r="J58" s="113">
        <v>0</v>
      </c>
      <c r="K58" s="70"/>
      <c r="L58" s="70"/>
      <c r="M58" s="128">
        <v>3</v>
      </c>
      <c r="N58" s="136"/>
      <c r="O58" s="70">
        <f t="shared" si="10"/>
        <v>0</v>
      </c>
      <c r="P58" s="134">
        <v>9</v>
      </c>
      <c r="Q58" s="162">
        <f t="shared" si="11"/>
        <v>0</v>
      </c>
      <c r="R58" s="70"/>
      <c r="S58" s="70">
        <f t="shared" si="12"/>
        <v>0</v>
      </c>
      <c r="T58" s="135">
        <f t="shared" si="13"/>
        <v>9</v>
      </c>
      <c r="U58" s="162">
        <f t="shared" si="14"/>
        <v>0</v>
      </c>
    </row>
    <row r="59" spans="1:21" x14ac:dyDescent="0.25">
      <c r="A59" s="30"/>
      <c r="I59" s="111">
        <v>0</v>
      </c>
      <c r="J59" s="113">
        <v>0</v>
      </c>
      <c r="K59" s="70"/>
      <c r="L59" s="70"/>
      <c r="M59" s="128">
        <v>3</v>
      </c>
      <c r="N59" s="70"/>
      <c r="O59" s="70">
        <f t="shared" si="10"/>
        <v>0</v>
      </c>
      <c r="P59" s="134">
        <v>9</v>
      </c>
      <c r="Q59" s="162">
        <f t="shared" si="11"/>
        <v>0</v>
      </c>
      <c r="R59" s="70"/>
      <c r="S59" s="70">
        <f t="shared" si="12"/>
        <v>0</v>
      </c>
      <c r="T59" s="135">
        <f t="shared" si="13"/>
        <v>9</v>
      </c>
      <c r="U59" s="162">
        <f t="shared" si="14"/>
        <v>0</v>
      </c>
    </row>
    <row r="60" spans="1:21" x14ac:dyDescent="0.25">
      <c r="I60" s="111">
        <v>0</v>
      </c>
      <c r="J60" s="113">
        <v>0</v>
      </c>
      <c r="K60" s="70"/>
      <c r="L60" s="70"/>
      <c r="M60" s="128">
        <v>3</v>
      </c>
      <c r="N60" s="70"/>
      <c r="O60" s="70">
        <f t="shared" si="10"/>
        <v>0</v>
      </c>
      <c r="P60" s="134">
        <v>9</v>
      </c>
      <c r="Q60" s="162">
        <f t="shared" si="11"/>
        <v>0</v>
      </c>
      <c r="R60" s="70"/>
      <c r="S60" s="70">
        <f t="shared" si="12"/>
        <v>0</v>
      </c>
      <c r="T60" s="135">
        <f t="shared" si="13"/>
        <v>9</v>
      </c>
      <c r="U60" s="162">
        <f t="shared" si="14"/>
        <v>0</v>
      </c>
    </row>
    <row r="61" spans="1:21" x14ac:dyDescent="0.25">
      <c r="I61" s="111">
        <v>0</v>
      </c>
      <c r="J61" s="113">
        <v>0</v>
      </c>
      <c r="K61" s="70"/>
      <c r="L61" s="70"/>
      <c r="M61" s="128">
        <v>3</v>
      </c>
      <c r="N61" s="70"/>
      <c r="O61" s="70">
        <f t="shared" si="10"/>
        <v>0</v>
      </c>
      <c r="P61" s="134">
        <v>9</v>
      </c>
      <c r="Q61" s="162">
        <f t="shared" si="11"/>
        <v>0</v>
      </c>
      <c r="R61" s="70"/>
      <c r="S61" s="70">
        <f t="shared" si="12"/>
        <v>0</v>
      </c>
      <c r="T61" s="135">
        <f t="shared" si="13"/>
        <v>9</v>
      </c>
      <c r="U61" s="162">
        <f t="shared" si="14"/>
        <v>0</v>
      </c>
    </row>
    <row r="62" spans="1:21" x14ac:dyDescent="0.25">
      <c r="I62" s="111">
        <v>0</v>
      </c>
      <c r="J62" s="113">
        <v>0</v>
      </c>
      <c r="K62" s="70"/>
      <c r="L62" s="70"/>
      <c r="M62" s="128">
        <v>3</v>
      </c>
      <c r="N62" s="70"/>
      <c r="O62" s="70">
        <f t="shared" si="10"/>
        <v>0</v>
      </c>
      <c r="P62" s="134">
        <v>9</v>
      </c>
      <c r="Q62" s="162">
        <f t="shared" si="11"/>
        <v>0</v>
      </c>
      <c r="R62" s="70"/>
      <c r="S62" s="70">
        <f t="shared" si="12"/>
        <v>0</v>
      </c>
      <c r="T62" s="135">
        <f t="shared" si="13"/>
        <v>9</v>
      </c>
      <c r="U62" s="162">
        <f t="shared" si="14"/>
        <v>0</v>
      </c>
    </row>
    <row r="63" spans="1:21" x14ac:dyDescent="0.25">
      <c r="I63" s="111">
        <v>0</v>
      </c>
      <c r="J63" s="113">
        <v>0</v>
      </c>
      <c r="K63" s="70"/>
      <c r="L63" s="70"/>
      <c r="M63" s="128">
        <v>3</v>
      </c>
      <c r="N63" s="136"/>
      <c r="O63" s="70">
        <f t="shared" si="10"/>
        <v>0</v>
      </c>
      <c r="P63" s="134">
        <v>9</v>
      </c>
      <c r="Q63" s="162">
        <f t="shared" si="11"/>
        <v>0</v>
      </c>
      <c r="R63" s="70"/>
      <c r="S63" s="70">
        <f t="shared" si="12"/>
        <v>0</v>
      </c>
      <c r="T63" s="135">
        <f t="shared" si="13"/>
        <v>9</v>
      </c>
      <c r="U63" s="162">
        <f t="shared" si="14"/>
        <v>0</v>
      </c>
    </row>
    <row r="64" spans="1:21" x14ac:dyDescent="0.25">
      <c r="I64" s="111">
        <v>0</v>
      </c>
      <c r="J64" s="113">
        <v>0</v>
      </c>
      <c r="K64" s="70"/>
      <c r="L64" s="70"/>
      <c r="M64" s="128">
        <v>3</v>
      </c>
      <c r="N64" s="70"/>
      <c r="O64" s="70">
        <f t="shared" si="10"/>
        <v>0</v>
      </c>
      <c r="P64" s="134">
        <v>9</v>
      </c>
      <c r="Q64" s="162">
        <f t="shared" si="11"/>
        <v>0</v>
      </c>
      <c r="R64" s="70"/>
      <c r="S64" s="70">
        <f t="shared" si="12"/>
        <v>0</v>
      </c>
      <c r="T64" s="135">
        <f t="shared" si="13"/>
        <v>9</v>
      </c>
      <c r="U64" s="162">
        <f t="shared" si="14"/>
        <v>0</v>
      </c>
    </row>
    <row r="65" spans="9:21" x14ac:dyDescent="0.25">
      <c r="I65" s="111">
        <v>0</v>
      </c>
      <c r="J65" s="113">
        <v>0</v>
      </c>
      <c r="K65" s="70"/>
      <c r="L65" s="70"/>
      <c r="M65" s="128">
        <v>3</v>
      </c>
      <c r="N65" s="70"/>
      <c r="O65" s="70">
        <f t="shared" si="10"/>
        <v>0</v>
      </c>
      <c r="P65" s="134">
        <v>9</v>
      </c>
      <c r="Q65" s="162">
        <f t="shared" si="11"/>
        <v>0</v>
      </c>
      <c r="R65" s="70"/>
      <c r="S65" s="70">
        <f t="shared" si="12"/>
        <v>0</v>
      </c>
      <c r="T65" s="135">
        <f t="shared" si="13"/>
        <v>9</v>
      </c>
      <c r="U65" s="162">
        <f t="shared" si="14"/>
        <v>0</v>
      </c>
    </row>
    <row r="66" spans="9:21" x14ac:dyDescent="0.25">
      <c r="I66" s="111">
        <v>0</v>
      </c>
      <c r="J66" s="113">
        <v>0</v>
      </c>
      <c r="K66" s="70"/>
      <c r="L66" s="70"/>
      <c r="M66" s="128">
        <v>3</v>
      </c>
      <c r="N66" s="70"/>
      <c r="O66" s="70">
        <f t="shared" si="10"/>
        <v>0</v>
      </c>
      <c r="P66" s="134">
        <v>9</v>
      </c>
      <c r="Q66" s="162">
        <f t="shared" si="11"/>
        <v>0</v>
      </c>
      <c r="R66" s="70"/>
      <c r="S66" s="70">
        <f t="shared" si="12"/>
        <v>0</v>
      </c>
      <c r="T66" s="135">
        <f t="shared" si="13"/>
        <v>9</v>
      </c>
      <c r="U66" s="162">
        <f t="shared" si="14"/>
        <v>0</v>
      </c>
    </row>
    <row r="67" spans="9:21" x14ac:dyDescent="0.25">
      <c r="I67" s="111">
        <v>0</v>
      </c>
      <c r="J67" s="113">
        <v>0</v>
      </c>
      <c r="K67" s="70"/>
      <c r="L67" s="70"/>
      <c r="M67" s="128">
        <v>3</v>
      </c>
      <c r="N67" s="70"/>
      <c r="O67" s="70">
        <f t="shared" si="10"/>
        <v>0</v>
      </c>
      <c r="P67" s="134">
        <v>9</v>
      </c>
      <c r="Q67" s="162">
        <f t="shared" si="11"/>
        <v>0</v>
      </c>
      <c r="R67" s="70"/>
      <c r="S67" s="70">
        <f t="shared" si="12"/>
        <v>0</v>
      </c>
      <c r="T67" s="135">
        <f t="shared" si="13"/>
        <v>9</v>
      </c>
      <c r="U67" s="162">
        <f t="shared" si="14"/>
        <v>0</v>
      </c>
    </row>
    <row r="68" spans="9:21" x14ac:dyDescent="0.25">
      <c r="I68" s="111">
        <v>0</v>
      </c>
      <c r="J68" s="113">
        <v>0</v>
      </c>
      <c r="K68" s="70"/>
      <c r="L68" s="70"/>
      <c r="M68" s="128">
        <v>3</v>
      </c>
      <c r="N68" s="70"/>
      <c r="O68" s="70">
        <f t="shared" si="10"/>
        <v>0</v>
      </c>
      <c r="P68" s="134">
        <v>9</v>
      </c>
      <c r="Q68" s="162">
        <f t="shared" si="11"/>
        <v>0</v>
      </c>
      <c r="R68" s="70"/>
      <c r="S68" s="70">
        <f t="shared" si="12"/>
        <v>0</v>
      </c>
      <c r="T68" s="135">
        <f t="shared" si="13"/>
        <v>9</v>
      </c>
      <c r="U68" s="162">
        <f t="shared" si="14"/>
        <v>0</v>
      </c>
    </row>
    <row r="69" spans="9:21" x14ac:dyDescent="0.25">
      <c r="I69" s="111">
        <v>0</v>
      </c>
      <c r="J69" s="113">
        <v>0</v>
      </c>
      <c r="K69" s="70"/>
      <c r="L69" s="70"/>
      <c r="M69" s="128">
        <v>3</v>
      </c>
      <c r="N69" s="136"/>
      <c r="O69" s="70">
        <f t="shared" si="10"/>
        <v>0</v>
      </c>
      <c r="P69" s="134">
        <v>9</v>
      </c>
      <c r="Q69" s="162">
        <f t="shared" si="11"/>
        <v>0</v>
      </c>
      <c r="R69" s="70"/>
      <c r="S69" s="70">
        <f t="shared" si="12"/>
        <v>0</v>
      </c>
      <c r="T69" s="135">
        <f t="shared" si="13"/>
        <v>9</v>
      </c>
      <c r="U69" s="162">
        <f t="shared" si="14"/>
        <v>0</v>
      </c>
    </row>
    <row r="70" spans="9:21" x14ac:dyDescent="0.25">
      <c r="I70" s="111">
        <v>0</v>
      </c>
      <c r="J70" s="113">
        <v>0</v>
      </c>
      <c r="K70" s="70"/>
      <c r="L70" s="70"/>
      <c r="M70" s="128">
        <v>3</v>
      </c>
      <c r="N70" s="70"/>
      <c r="O70" s="70">
        <f t="shared" si="10"/>
        <v>0</v>
      </c>
      <c r="P70" s="134">
        <v>9</v>
      </c>
      <c r="Q70" s="162">
        <f t="shared" si="11"/>
        <v>0</v>
      </c>
      <c r="R70" s="70"/>
      <c r="S70" s="70">
        <f t="shared" si="12"/>
        <v>0</v>
      </c>
      <c r="T70" s="135">
        <f t="shared" si="13"/>
        <v>9</v>
      </c>
      <c r="U70" s="162">
        <f t="shared" si="14"/>
        <v>0</v>
      </c>
    </row>
    <row r="71" spans="9:21" x14ac:dyDescent="0.25">
      <c r="I71" s="111">
        <v>0</v>
      </c>
      <c r="J71" s="113">
        <v>0</v>
      </c>
      <c r="K71" s="70"/>
      <c r="L71" s="70"/>
      <c r="M71" s="128">
        <v>3</v>
      </c>
      <c r="N71" s="70"/>
      <c r="O71" s="70">
        <f t="shared" si="10"/>
        <v>0</v>
      </c>
      <c r="P71" s="134">
        <v>9</v>
      </c>
      <c r="Q71" s="162">
        <f t="shared" si="11"/>
        <v>0</v>
      </c>
      <c r="R71" s="70"/>
      <c r="S71" s="70">
        <f t="shared" si="12"/>
        <v>0</v>
      </c>
      <c r="T71" s="135">
        <f t="shared" si="13"/>
        <v>9</v>
      </c>
      <c r="U71" s="162">
        <f t="shared" si="14"/>
        <v>0</v>
      </c>
    </row>
    <row r="72" spans="9:21" x14ac:dyDescent="0.25">
      <c r="I72" s="111">
        <v>0</v>
      </c>
      <c r="J72" s="113">
        <v>0</v>
      </c>
      <c r="K72" s="70"/>
      <c r="L72" s="70"/>
      <c r="M72" s="128">
        <v>3</v>
      </c>
      <c r="N72" s="70"/>
      <c r="O72" s="70">
        <f t="shared" si="10"/>
        <v>0</v>
      </c>
      <c r="P72" s="134">
        <v>9</v>
      </c>
      <c r="Q72" s="162">
        <f t="shared" si="11"/>
        <v>0</v>
      </c>
      <c r="R72" s="70"/>
      <c r="S72" s="70">
        <f t="shared" si="12"/>
        <v>0</v>
      </c>
      <c r="T72" s="135">
        <f t="shared" si="13"/>
        <v>9</v>
      </c>
      <c r="U72" s="162">
        <f t="shared" si="14"/>
        <v>0</v>
      </c>
    </row>
    <row r="73" spans="9:21" x14ac:dyDescent="0.25">
      <c r="I73" s="111">
        <v>0</v>
      </c>
      <c r="J73" s="113">
        <v>0</v>
      </c>
      <c r="K73" s="70"/>
      <c r="L73" s="70"/>
      <c r="M73" s="128">
        <v>3</v>
      </c>
      <c r="N73" s="70"/>
      <c r="O73" s="70">
        <f t="shared" si="10"/>
        <v>0</v>
      </c>
      <c r="P73" s="134">
        <v>9</v>
      </c>
      <c r="Q73" s="162">
        <f t="shared" si="11"/>
        <v>0</v>
      </c>
      <c r="R73" s="70"/>
      <c r="S73" s="70">
        <f t="shared" si="12"/>
        <v>0</v>
      </c>
      <c r="T73" s="135">
        <f t="shared" si="13"/>
        <v>9</v>
      </c>
      <c r="U73" s="162">
        <f t="shared" si="14"/>
        <v>0</v>
      </c>
    </row>
    <row r="74" spans="9:21" x14ac:dyDescent="0.25">
      <c r="I74" s="111">
        <v>0</v>
      </c>
      <c r="J74" s="113">
        <v>0</v>
      </c>
      <c r="K74" s="70"/>
      <c r="L74" s="70"/>
      <c r="M74" s="128">
        <v>3</v>
      </c>
      <c r="N74" s="136"/>
      <c r="O74" s="70">
        <f t="shared" si="10"/>
        <v>0</v>
      </c>
      <c r="P74" s="134">
        <v>9</v>
      </c>
      <c r="Q74" s="162">
        <f t="shared" si="11"/>
        <v>0</v>
      </c>
      <c r="R74" s="70"/>
      <c r="S74" s="70">
        <f t="shared" si="12"/>
        <v>0</v>
      </c>
      <c r="T74" s="135">
        <f t="shared" si="13"/>
        <v>9</v>
      </c>
      <c r="U74" s="162">
        <f t="shared" si="14"/>
        <v>0</v>
      </c>
    </row>
    <row r="75" spans="9:21" x14ac:dyDescent="0.25">
      <c r="I75" s="111">
        <v>0</v>
      </c>
      <c r="J75" s="113">
        <v>0</v>
      </c>
      <c r="K75" s="70"/>
      <c r="L75" s="70"/>
      <c r="M75" s="128">
        <v>3</v>
      </c>
      <c r="N75" s="70"/>
      <c r="O75" s="70">
        <f t="shared" si="10"/>
        <v>0</v>
      </c>
      <c r="P75" s="134">
        <v>9</v>
      </c>
      <c r="Q75" s="162">
        <f t="shared" si="11"/>
        <v>0</v>
      </c>
      <c r="R75" s="70"/>
      <c r="S75" s="70">
        <f t="shared" si="12"/>
        <v>0</v>
      </c>
      <c r="T75" s="135">
        <f t="shared" si="13"/>
        <v>9</v>
      </c>
      <c r="U75" s="162">
        <f t="shared" si="14"/>
        <v>0</v>
      </c>
    </row>
    <row r="76" spans="9:21" x14ac:dyDescent="0.25">
      <c r="I76" s="111">
        <v>0</v>
      </c>
      <c r="J76" s="113">
        <v>0</v>
      </c>
      <c r="K76" s="70"/>
      <c r="L76" s="70"/>
      <c r="M76" s="128">
        <v>3</v>
      </c>
      <c r="N76" s="70"/>
      <c r="O76" s="70">
        <f t="shared" si="10"/>
        <v>0</v>
      </c>
      <c r="P76" s="134">
        <v>9</v>
      </c>
      <c r="Q76" s="162">
        <f t="shared" si="11"/>
        <v>0</v>
      </c>
      <c r="R76" s="70"/>
      <c r="S76" s="70">
        <f t="shared" si="12"/>
        <v>0</v>
      </c>
      <c r="T76" s="135">
        <f t="shared" si="13"/>
        <v>9</v>
      </c>
      <c r="U76" s="162">
        <f t="shared" si="14"/>
        <v>0</v>
      </c>
    </row>
  </sheetData>
  <sortState ref="F2:U52">
    <sortCondition ref="U2:U52"/>
  </sortState>
  <mergeCells count="5">
    <mergeCell ref="A1:D1"/>
    <mergeCell ref="A2:A3"/>
    <mergeCell ref="B2:B3"/>
    <mergeCell ref="C2:C3"/>
    <mergeCell ref="D2:D3"/>
  </mergeCells>
  <conditionalFormatting sqref="J2:J76">
    <cfRule type="colorScale" priority="4251">
      <colorScale>
        <cfvo type="min"/>
        <cfvo type="max"/>
        <color rgb="FFFCFCFF"/>
        <color rgb="FFF8696B"/>
      </colorScale>
    </cfRule>
  </conditionalFormatting>
  <conditionalFormatting sqref="I2:I76">
    <cfRule type="dataBar" priority="4253">
      <dataBar>
        <cfvo type="min"/>
        <cfvo type="max"/>
        <color rgb="FFFFB628"/>
      </dataBar>
      <extLst>
        <ext xmlns:x14="http://schemas.microsoft.com/office/spreadsheetml/2009/9/main" uri="{B025F937-C7B1-47D3-B67F-A62EFF666E3E}">
          <x14:id>{A109550C-2FA1-4E2F-9B66-866D08B4621C}</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109550C-2FA1-4E2F-9B66-866D08B4621C}">
            <x14:dataBar minLength="0" maxLength="100" border="1" negativeBarBorderColorSameAsPositive="0">
              <x14:cfvo type="autoMin"/>
              <x14:cfvo type="autoMax"/>
              <x14:borderColor rgb="FFFFB628"/>
              <x14:negativeFillColor rgb="FFFF0000"/>
              <x14:negativeBorderColor rgb="FFFF0000"/>
              <x14:axisColor rgb="FF000000"/>
            </x14:dataBar>
          </x14:cfRule>
          <xm:sqref>I2:I76</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AJ70"/>
  <sheetViews>
    <sheetView zoomScaleNormal="100" workbookViewId="0">
      <selection activeCell="E12" sqref="E12"/>
    </sheetView>
  </sheetViews>
  <sheetFormatPr baseColWidth="10" defaultColWidth="11.42578125" defaultRowHeight="15" x14ac:dyDescent="0.25"/>
  <cols>
    <col min="1" max="1" width="5.28515625" bestFit="1" customWidth="1"/>
    <col min="2" max="2" width="5.7109375" bestFit="1" customWidth="1"/>
    <col min="3" max="3" width="6.5703125" bestFit="1" customWidth="1"/>
    <col min="4" max="4" width="18.7109375" bestFit="1" customWidth="1"/>
    <col min="5" max="5" width="6.42578125" bestFit="1" customWidth="1"/>
    <col min="6" max="6" width="5.7109375" bestFit="1" customWidth="1"/>
    <col min="7" max="7" width="5" bestFit="1" customWidth="1"/>
    <col min="8" max="8" width="4.28515625" bestFit="1" customWidth="1"/>
    <col min="9" max="9" width="4.85546875" bestFit="1" customWidth="1"/>
    <col min="10" max="10" width="5.140625" bestFit="1" customWidth="1"/>
    <col min="11" max="11" width="5.7109375" bestFit="1" customWidth="1"/>
    <col min="12" max="19" width="6.140625" bestFit="1" customWidth="1"/>
    <col min="20" max="27" width="6" bestFit="1" customWidth="1"/>
    <col min="28" max="28" width="5.7109375" bestFit="1" customWidth="1"/>
    <col min="29" max="29" width="4.85546875" bestFit="1" customWidth="1"/>
    <col min="30" max="36" width="5.5703125" bestFit="1" customWidth="1"/>
  </cols>
  <sheetData>
    <row r="1" spans="1:36" x14ac:dyDescent="0.25">
      <c r="C1" s="137"/>
      <c r="D1" s="110"/>
      <c r="G1" s="65"/>
      <c r="H1" s="52"/>
      <c r="J1" s="65"/>
      <c r="K1" s="65"/>
      <c r="M1" s="138"/>
      <c r="T1" s="237"/>
      <c r="U1" s="237"/>
      <c r="V1" s="237"/>
      <c r="W1" s="139"/>
      <c r="X1" s="237" t="s">
        <v>169</v>
      </c>
      <c r="Y1" s="237"/>
      <c r="Z1" s="114">
        <f>T2+U2+V2+W2+X2+Y2+Z2</f>
        <v>43</v>
      </c>
      <c r="AA1" s="32">
        <f>Z1/16</f>
        <v>2.6875</v>
      </c>
      <c r="AC1" s="65"/>
      <c r="AD1" s="65"/>
      <c r="AE1" s="65"/>
      <c r="AF1" s="65"/>
      <c r="AG1" s="65"/>
      <c r="AH1" s="65"/>
      <c r="AI1" s="65"/>
      <c r="AJ1" s="65"/>
    </row>
    <row r="2" spans="1:36" x14ac:dyDescent="0.25">
      <c r="A2" s="140"/>
      <c r="B2" s="140"/>
      <c r="C2" s="141"/>
      <c r="D2" s="142">
        <f ca="1">TODAY()</f>
        <v>43122</v>
      </c>
      <c r="G2" s="65"/>
      <c r="H2" s="143"/>
      <c r="I2" s="143"/>
      <c r="J2" s="144"/>
      <c r="K2" s="144"/>
      <c r="L2" s="143"/>
      <c r="M2" s="145"/>
      <c r="N2" s="143"/>
      <c r="O2" s="143"/>
      <c r="P2" s="143"/>
      <c r="Q2" s="143"/>
      <c r="R2" s="143"/>
      <c r="S2" s="143"/>
      <c r="T2" s="148">
        <v>0</v>
      </c>
      <c r="U2" s="149">
        <v>0</v>
      </c>
      <c r="V2" s="149">
        <v>0</v>
      </c>
      <c r="W2" s="148">
        <v>29</v>
      </c>
      <c r="X2" s="150">
        <v>0</v>
      </c>
      <c r="Y2" s="150">
        <v>14</v>
      </c>
      <c r="Z2" s="150">
        <v>0</v>
      </c>
      <c r="AA2" s="146"/>
      <c r="AB2" s="147"/>
      <c r="AC2" s="147"/>
      <c r="AD2" s="147"/>
      <c r="AE2" s="147"/>
      <c r="AF2" s="147"/>
      <c r="AG2" s="147"/>
      <c r="AH2" s="147"/>
      <c r="AI2" s="147"/>
      <c r="AJ2" s="147"/>
    </row>
    <row r="3" spans="1:36" x14ac:dyDescent="0.25">
      <c r="A3" s="10" t="s">
        <v>1</v>
      </c>
      <c r="B3" s="10" t="s">
        <v>2</v>
      </c>
      <c r="C3" s="11" t="s">
        <v>185</v>
      </c>
      <c r="D3" s="12" t="s">
        <v>3</v>
      </c>
      <c r="E3" s="10" t="s">
        <v>4</v>
      </c>
      <c r="F3" s="10" t="s">
        <v>5</v>
      </c>
      <c r="G3" s="10" t="s">
        <v>6</v>
      </c>
      <c r="H3" s="10" t="s">
        <v>7</v>
      </c>
      <c r="I3" s="10" t="s">
        <v>8</v>
      </c>
      <c r="J3" s="10" t="s">
        <v>9</v>
      </c>
      <c r="K3" s="13" t="s">
        <v>191</v>
      </c>
      <c r="L3" s="13" t="s">
        <v>192</v>
      </c>
      <c r="M3" s="10" t="s">
        <v>15</v>
      </c>
      <c r="N3" s="10" t="s">
        <v>16</v>
      </c>
      <c r="O3" s="10" t="s">
        <v>17</v>
      </c>
      <c r="P3" s="10" t="s">
        <v>18</v>
      </c>
      <c r="Q3" s="10" t="s">
        <v>19</v>
      </c>
      <c r="R3" s="10" t="s">
        <v>20</v>
      </c>
      <c r="S3" s="10" t="s">
        <v>6</v>
      </c>
      <c r="T3" s="152" t="s">
        <v>15</v>
      </c>
      <c r="U3" s="152" t="s">
        <v>16</v>
      </c>
      <c r="V3" s="152" t="s">
        <v>17</v>
      </c>
      <c r="W3" s="152" t="s">
        <v>18</v>
      </c>
      <c r="X3" s="152" t="s">
        <v>19</v>
      </c>
      <c r="Y3" s="152" t="s">
        <v>20</v>
      </c>
      <c r="Z3" s="152" t="s">
        <v>6</v>
      </c>
      <c r="AA3" s="151" t="s">
        <v>4</v>
      </c>
      <c r="AB3" s="151" t="s">
        <v>5</v>
      </c>
      <c r="AC3" s="152" t="s">
        <v>8</v>
      </c>
      <c r="AD3" s="152" t="s">
        <v>15</v>
      </c>
      <c r="AE3" s="152" t="s">
        <v>16</v>
      </c>
      <c r="AF3" s="152" t="s">
        <v>17</v>
      </c>
      <c r="AG3" s="152" t="s">
        <v>18</v>
      </c>
      <c r="AH3" s="152" t="s">
        <v>19</v>
      </c>
      <c r="AI3" s="152" t="s">
        <v>20</v>
      </c>
      <c r="AJ3" s="152" t="s">
        <v>6</v>
      </c>
    </row>
    <row r="4" spans="1:36" ht="16.5" customHeight="1" x14ac:dyDescent="0.25">
      <c r="A4" s="15" t="str">
        <f>PLANTILLA!A4</f>
        <v>#1</v>
      </c>
      <c r="B4" s="15" t="str">
        <f>PLANTILLA!B4</f>
        <v>CEN</v>
      </c>
      <c r="C4" s="121">
        <f ca="1">PLANTILLA!C4</f>
        <v>10.741071428571429</v>
      </c>
      <c r="D4" s="28" t="str">
        <f>PLANTILLA!D4</f>
        <v>Alberto Ercilla</v>
      </c>
      <c r="E4" s="16">
        <f>PLANTILLA!E4</f>
        <v>22</v>
      </c>
      <c r="F4" s="17">
        <f ca="1">PLANTILLA!F4</f>
        <v>29</v>
      </c>
      <c r="G4" s="18" t="str">
        <f>PLANTILLA!G4</f>
        <v>IMP</v>
      </c>
      <c r="H4" s="4">
        <f>PLANTILLA!H4</f>
        <v>4</v>
      </c>
      <c r="I4" s="27">
        <f>PLANTILLA!I4</f>
        <v>2.2999999999999998</v>
      </c>
      <c r="J4" s="19">
        <f>PLANTILLA!O4</f>
        <v>6.3</v>
      </c>
      <c r="K4" s="6">
        <f t="shared" ref="K4" si="0">(H4)*(H4)*(I4)</f>
        <v>36.799999999999997</v>
      </c>
      <c r="L4" s="6">
        <f t="shared" ref="L4" si="1">(H4+1)*(H4+1)*I4</f>
        <v>57.499999999999993</v>
      </c>
      <c r="M4" s="21">
        <f>PLANTILLA!X4</f>
        <v>0</v>
      </c>
      <c r="N4" s="21">
        <f>PLANTILLA!Y4</f>
        <v>7</v>
      </c>
      <c r="O4" s="21">
        <f>PLANTILLA!Z4</f>
        <v>2</v>
      </c>
      <c r="P4" s="21">
        <f>PLANTILLA!AA4</f>
        <v>5</v>
      </c>
      <c r="Q4" s="21">
        <f>PLANTILLA!AB4</f>
        <v>7</v>
      </c>
      <c r="R4" s="21">
        <f>PLANTILLA!AC4</f>
        <v>5.1428571428571423</v>
      </c>
      <c r="S4" s="21">
        <f>PLANTILLA!AD4</f>
        <v>4</v>
      </c>
      <c r="T4" s="155">
        <v>0</v>
      </c>
      <c r="U4" s="155">
        <v>0</v>
      </c>
      <c r="V4" s="155">
        <v>0</v>
      </c>
      <c r="W4" s="155">
        <v>0.13</v>
      </c>
      <c r="X4" s="155">
        <v>0</v>
      </c>
      <c r="Y4" s="155">
        <f t="shared" ref="Y4:Y17" si="2">0.17</f>
        <v>0.17</v>
      </c>
      <c r="Z4" s="155">
        <v>0</v>
      </c>
      <c r="AA4" s="153">
        <v>20</v>
      </c>
      <c r="AB4" s="154">
        <v>56</v>
      </c>
      <c r="AC4" s="25">
        <f t="shared" ref="AC4:AC17" si="3">I4+$AC$2</f>
        <v>2.2999999999999998</v>
      </c>
      <c r="AD4" s="156">
        <f>M4</f>
        <v>0</v>
      </c>
      <c r="AE4" s="156">
        <f>N4</f>
        <v>7</v>
      </c>
      <c r="AF4" s="156">
        <f>O4</f>
        <v>2</v>
      </c>
      <c r="AG4" s="156">
        <v>5</v>
      </c>
      <c r="AH4" s="156">
        <f>Q4</f>
        <v>7</v>
      </c>
      <c r="AI4" s="156">
        <f>4+4/17</f>
        <v>4.2352941176470589</v>
      </c>
      <c r="AJ4" s="156">
        <f>S4+(Z$2/7)</f>
        <v>4</v>
      </c>
    </row>
    <row r="5" spans="1:36" ht="16.5" customHeight="1" x14ac:dyDescent="0.25">
      <c r="A5" s="15" t="str">
        <f>PLANTILLA!A5</f>
        <v>#28</v>
      </c>
      <c r="B5" s="15" t="str">
        <f>PLANTILLA!B5</f>
        <v>CEN</v>
      </c>
      <c r="C5" s="121">
        <f ca="1">PLANTILLA!C5</f>
        <v>15.258928571428571</v>
      </c>
      <c r="D5" s="28" t="str">
        <f>PLANTILLA!D5</f>
        <v>Marc Dolz</v>
      </c>
      <c r="E5" s="16">
        <f>PLANTILLA!E5</f>
        <v>17</v>
      </c>
      <c r="F5" s="17">
        <f ca="1">PLANTILLA!F5</f>
        <v>83</v>
      </c>
      <c r="G5" s="18" t="str">
        <f>PLANTILLA!G5</f>
        <v>POT</v>
      </c>
      <c r="H5" s="4">
        <f>PLANTILLA!H5</f>
        <v>3</v>
      </c>
      <c r="I5" s="27">
        <f>PLANTILLA!I5</f>
        <v>1</v>
      </c>
      <c r="J5" s="19">
        <f>PLANTILLA!O5</f>
        <v>4.3</v>
      </c>
      <c r="K5" s="6">
        <f t="shared" ref="K5:K17" si="4">(H5)*(H5)*(I5)</f>
        <v>9</v>
      </c>
      <c r="L5" s="6">
        <f t="shared" ref="L5:L17" si="5">(H5+1)*(H5+1)*I5</f>
        <v>16</v>
      </c>
      <c r="M5" s="21">
        <f>PLANTILLA!X5</f>
        <v>0</v>
      </c>
      <c r="N5" s="21">
        <f>PLANTILLA!Y5</f>
        <v>4</v>
      </c>
      <c r="O5" s="21">
        <f>PLANTILLA!Z5</f>
        <v>4</v>
      </c>
      <c r="P5" s="21">
        <f>PLANTILLA!AA5</f>
        <v>3</v>
      </c>
      <c r="Q5" s="21">
        <f>PLANTILLA!AB5</f>
        <v>4.2526666666666664</v>
      </c>
      <c r="R5" s="21">
        <f>PLANTILLA!AC5</f>
        <v>3.1333333333333337</v>
      </c>
      <c r="S5" s="21">
        <f>PLANTILLA!AD5</f>
        <v>0.4</v>
      </c>
      <c r="T5" s="155">
        <v>0</v>
      </c>
      <c r="U5" s="155">
        <v>0</v>
      </c>
      <c r="V5" s="155">
        <v>0</v>
      </c>
      <c r="W5" s="155">
        <v>1</v>
      </c>
      <c r="X5" s="155">
        <v>0</v>
      </c>
      <c r="Y5" s="155">
        <v>1</v>
      </c>
      <c r="Z5" s="155">
        <v>0</v>
      </c>
      <c r="AA5" s="153">
        <v>20</v>
      </c>
      <c r="AB5" s="154">
        <v>59</v>
      </c>
      <c r="AC5" s="25">
        <f t="shared" si="3"/>
        <v>1</v>
      </c>
      <c r="AD5" s="156">
        <f t="shared" ref="AD5:AD17" si="6">M5</f>
        <v>0</v>
      </c>
      <c r="AE5" s="156">
        <f t="shared" ref="AE5:AE17" si="7">N5</f>
        <v>4</v>
      </c>
      <c r="AF5" s="156">
        <f t="shared" ref="AF5:AF17" si="8">O5</f>
        <v>4</v>
      </c>
      <c r="AG5" s="156">
        <f>12+1/5</f>
        <v>12.2</v>
      </c>
      <c r="AH5" s="156">
        <f>Q5+(X$2/16)</f>
        <v>4.2526666666666664</v>
      </c>
      <c r="AI5" s="156">
        <v>8</v>
      </c>
      <c r="AJ5" s="156">
        <f>S5+(Z$2/4)</f>
        <v>0.4</v>
      </c>
    </row>
    <row r="6" spans="1:36" ht="16.5" customHeight="1" x14ac:dyDescent="0.25">
      <c r="A6" s="15" t="str">
        <f>PLANTILLA!A6</f>
        <v>#4</v>
      </c>
      <c r="B6" s="15" t="str">
        <f>PLANTILLA!B6</f>
        <v>CEN</v>
      </c>
      <c r="C6" s="121">
        <f ca="1">PLANTILLA!C6</f>
        <v>15.732142857142858</v>
      </c>
      <c r="D6" s="28" t="str">
        <f>PLANTILLA!D6</f>
        <v>Manuel Parejo</v>
      </c>
      <c r="E6" s="16">
        <f>PLANTILLA!E6</f>
        <v>17</v>
      </c>
      <c r="F6" s="17">
        <f ca="1">PLANTILLA!F6</f>
        <v>30</v>
      </c>
      <c r="G6" s="18">
        <f>PLANTILLA!G6</f>
        <v>0</v>
      </c>
      <c r="H6" s="4">
        <f>PLANTILLA!H6</f>
        <v>1</v>
      </c>
      <c r="I6" s="27">
        <f>PLANTILLA!I6</f>
        <v>1.1000000000000001</v>
      </c>
      <c r="J6" s="19">
        <f>PLANTILLA!O6</f>
        <v>3.8</v>
      </c>
      <c r="K6" s="6">
        <f t="shared" si="4"/>
        <v>1.1000000000000001</v>
      </c>
      <c r="L6" s="6">
        <f t="shared" si="5"/>
        <v>4.4000000000000004</v>
      </c>
      <c r="M6" s="21">
        <f>PLANTILLA!X6</f>
        <v>0</v>
      </c>
      <c r="N6" s="21">
        <f>PLANTILLA!Y6</f>
        <v>5</v>
      </c>
      <c r="O6" s="21">
        <f>PLANTILLA!Z6</f>
        <v>6.7</v>
      </c>
      <c r="P6" s="21">
        <f>PLANTILLA!AA6</f>
        <v>3</v>
      </c>
      <c r="Q6" s="21">
        <f>PLANTILLA!AB6</f>
        <v>2</v>
      </c>
      <c r="R6" s="21">
        <f>PLANTILLA!AC6</f>
        <v>3.2000000000000006</v>
      </c>
      <c r="S6" s="21">
        <f>PLANTILLA!AD6</f>
        <v>2</v>
      </c>
      <c r="T6" s="155">
        <v>0</v>
      </c>
      <c r="U6" s="155">
        <v>0</v>
      </c>
      <c r="V6" s="155">
        <v>0</v>
      </c>
      <c r="W6" s="155">
        <v>1</v>
      </c>
      <c r="X6" s="155">
        <v>0</v>
      </c>
      <c r="Y6" s="155">
        <v>1</v>
      </c>
      <c r="Z6" s="155">
        <v>0</v>
      </c>
      <c r="AA6" s="153">
        <v>20</v>
      </c>
      <c r="AB6" s="154">
        <v>69</v>
      </c>
      <c r="AC6" s="25">
        <f t="shared" si="3"/>
        <v>1.1000000000000001</v>
      </c>
      <c r="AD6" s="156">
        <f t="shared" si="6"/>
        <v>0</v>
      </c>
      <c r="AE6" s="156">
        <f t="shared" si="7"/>
        <v>5</v>
      </c>
      <c r="AF6" s="156">
        <f t="shared" si="8"/>
        <v>6.7</v>
      </c>
      <c r="AG6" s="156">
        <f>13+1/6</f>
        <v>13.166666666666666</v>
      </c>
      <c r="AH6" s="156">
        <f>Q6+(X$2/7)</f>
        <v>2</v>
      </c>
      <c r="AI6" s="156">
        <v>9</v>
      </c>
      <c r="AJ6" s="156">
        <f>S6+(Z$2/3)</f>
        <v>2</v>
      </c>
    </row>
    <row r="7" spans="1:36" ht="16.5" customHeight="1" x14ac:dyDescent="0.25">
      <c r="A7" s="15" t="str">
        <f>PLANTILLA!A7</f>
        <v>#5</v>
      </c>
      <c r="B7" s="15" t="str">
        <f>PLANTILLA!B7</f>
        <v>LAT</v>
      </c>
      <c r="C7" s="121">
        <f ca="1">PLANTILLA!C7</f>
        <v>15.232142857142858</v>
      </c>
      <c r="D7" s="28" t="str">
        <f>PLANTILLA!D7</f>
        <v>Valeri Gomis</v>
      </c>
      <c r="E7" s="16">
        <f>PLANTILLA!E7</f>
        <v>17</v>
      </c>
      <c r="F7" s="17">
        <f ca="1">PLANTILLA!F7</f>
        <v>86</v>
      </c>
      <c r="G7" s="18" t="str">
        <f>PLANTILLA!G7</f>
        <v>IMP</v>
      </c>
      <c r="H7" s="4">
        <f>PLANTILLA!H7</f>
        <v>6</v>
      </c>
      <c r="I7" s="27">
        <f>PLANTILLA!I7</f>
        <v>1.4</v>
      </c>
      <c r="J7" s="19">
        <f>PLANTILLA!O7</f>
        <v>5.0999999999999996</v>
      </c>
      <c r="K7" s="6">
        <f t="shared" si="4"/>
        <v>50.4</v>
      </c>
      <c r="L7" s="6">
        <f t="shared" si="5"/>
        <v>68.599999999999994</v>
      </c>
      <c r="M7" s="21">
        <f>PLANTILLA!X7</f>
        <v>0</v>
      </c>
      <c r="N7" s="21">
        <f>PLANTILLA!Y7</f>
        <v>6</v>
      </c>
      <c r="O7" s="21">
        <f>PLANTILLA!Z7</f>
        <v>3</v>
      </c>
      <c r="P7" s="21">
        <f>PLANTILLA!AA7</f>
        <v>3</v>
      </c>
      <c r="Q7" s="21">
        <f>PLANTILLA!AB7</f>
        <v>5.4</v>
      </c>
      <c r="R7" s="21">
        <f>PLANTILLA!AC7</f>
        <v>4.33</v>
      </c>
      <c r="S7" s="21">
        <f>PLANTILLA!AD7</f>
        <v>3</v>
      </c>
      <c r="T7" s="155">
        <v>0</v>
      </c>
      <c r="U7" s="155">
        <v>0</v>
      </c>
      <c r="V7" s="155">
        <v>0</v>
      </c>
      <c r="W7" s="155">
        <v>0.13</v>
      </c>
      <c r="X7" s="155">
        <v>0</v>
      </c>
      <c r="Y7" s="155">
        <v>0.17</v>
      </c>
      <c r="Z7" s="155">
        <v>0</v>
      </c>
      <c r="AA7" s="153">
        <v>20</v>
      </c>
      <c r="AB7" s="154">
        <v>103</v>
      </c>
      <c r="AC7" s="25">
        <f t="shared" si="3"/>
        <v>1.4</v>
      </c>
      <c r="AD7" s="156">
        <f t="shared" si="6"/>
        <v>0</v>
      </c>
      <c r="AE7" s="156">
        <f t="shared" si="7"/>
        <v>6</v>
      </c>
      <c r="AF7" s="156">
        <f t="shared" si="8"/>
        <v>3</v>
      </c>
      <c r="AG7" s="156">
        <f>5+7/17</f>
        <v>5.4117647058823533</v>
      </c>
      <c r="AH7" s="156">
        <f>Q7+(X$2/6)</f>
        <v>5.4</v>
      </c>
      <c r="AI7" s="156">
        <f>4+4/17</f>
        <v>4.2352941176470589</v>
      </c>
      <c r="AJ7" s="156">
        <f>S7+(Z$2/2.5)</f>
        <v>3</v>
      </c>
    </row>
    <row r="8" spans="1:36" ht="16.5" customHeight="1" x14ac:dyDescent="0.25">
      <c r="A8" s="15" t="str">
        <f>PLANTILLA!A8</f>
        <v>#6</v>
      </c>
      <c r="B8" s="15" t="str">
        <f>PLANTILLA!B8</f>
        <v>LAT</v>
      </c>
      <c r="C8" s="121">
        <f ca="1">PLANTILLA!C8</f>
        <v>15.142857142857142</v>
      </c>
      <c r="D8" s="28" t="str">
        <f>PLANTILLA!D8</f>
        <v>J. G. de Minaya</v>
      </c>
      <c r="E8" s="16">
        <f>PLANTILLA!E8</f>
        <v>17</v>
      </c>
      <c r="F8" s="17">
        <f ca="1">PLANTILLA!F8</f>
        <v>96</v>
      </c>
      <c r="G8" s="18" t="str">
        <f>PLANTILLA!G8</f>
        <v>TEC</v>
      </c>
      <c r="H8" s="4">
        <f>PLANTILLA!H8</f>
        <v>0</v>
      </c>
      <c r="I8" s="27">
        <f>PLANTILLA!I8</f>
        <v>1.5</v>
      </c>
      <c r="J8" s="19">
        <f>PLANTILLA!O8</f>
        <v>3.5</v>
      </c>
      <c r="K8" s="6">
        <f t="shared" si="4"/>
        <v>0</v>
      </c>
      <c r="L8" s="6">
        <f t="shared" si="5"/>
        <v>1.5</v>
      </c>
      <c r="M8" s="21">
        <f>PLANTILLA!X8</f>
        <v>0</v>
      </c>
      <c r="N8" s="21">
        <f>PLANTILLA!Y8</f>
        <v>6</v>
      </c>
      <c r="O8" s="21">
        <f>PLANTILLA!Z8</f>
        <v>5</v>
      </c>
      <c r="P8" s="21">
        <f>PLANTILLA!AA8</f>
        <v>6</v>
      </c>
      <c r="Q8" s="21">
        <f>PLANTILLA!AB8</f>
        <v>6</v>
      </c>
      <c r="R8" s="21">
        <f>PLANTILLA!AC8</f>
        <v>6</v>
      </c>
      <c r="S8" s="21">
        <f>PLANTILLA!AD8</f>
        <v>0</v>
      </c>
      <c r="T8" s="155">
        <v>0</v>
      </c>
      <c r="U8" s="155">
        <v>0</v>
      </c>
      <c r="V8" s="155">
        <v>0</v>
      </c>
      <c r="W8" s="155">
        <v>0.13</v>
      </c>
      <c r="X8" s="155">
        <v>0</v>
      </c>
      <c r="Y8" s="155">
        <f t="shared" si="2"/>
        <v>0.17</v>
      </c>
      <c r="Z8" s="155">
        <v>0</v>
      </c>
      <c r="AA8" s="153">
        <v>20</v>
      </c>
      <c r="AB8" s="154">
        <v>55</v>
      </c>
      <c r="AC8" s="25">
        <f t="shared" si="3"/>
        <v>1.5</v>
      </c>
      <c r="AD8" s="156">
        <f t="shared" si="6"/>
        <v>0</v>
      </c>
      <c r="AE8" s="156">
        <f t="shared" si="7"/>
        <v>6</v>
      </c>
      <c r="AF8" s="156">
        <f t="shared" si="8"/>
        <v>5</v>
      </c>
      <c r="AG8" s="156">
        <f>5+14/18</f>
        <v>5.7777777777777777</v>
      </c>
      <c r="AH8" s="156">
        <f>Q8+(X$2/14)</f>
        <v>6</v>
      </c>
      <c r="AI8" s="156">
        <f>4+4/17</f>
        <v>4.2352941176470589</v>
      </c>
      <c r="AJ8" s="156">
        <f>S8+(Z$2/1)</f>
        <v>0</v>
      </c>
    </row>
    <row r="9" spans="1:36" ht="16.5" customHeight="1" x14ac:dyDescent="0.25">
      <c r="A9" s="15" t="str">
        <f>PLANTILLA!A9</f>
        <v>#20</v>
      </c>
      <c r="B9" s="15" t="str">
        <f>PLANTILLA!B9</f>
        <v>LAT</v>
      </c>
      <c r="C9" s="121">
        <f ca="1">PLANTILLA!C9</f>
        <v>14.839285714285714</v>
      </c>
      <c r="D9" s="28" t="str">
        <f>PLANTILLA!D9</f>
        <v>Roberto Montero</v>
      </c>
      <c r="E9" s="16">
        <f>PLANTILLA!E9</f>
        <v>18</v>
      </c>
      <c r="F9" s="17">
        <f ca="1">PLANTILLA!F9</f>
        <v>18</v>
      </c>
      <c r="G9" s="18" t="str">
        <f>PLANTILLA!G9</f>
        <v>TEC</v>
      </c>
      <c r="H9" s="4">
        <f>PLANTILLA!H9</f>
        <v>2</v>
      </c>
      <c r="I9" s="27">
        <f>PLANTILLA!I9</f>
        <v>0.5</v>
      </c>
      <c r="J9" s="19">
        <f>PLANTILLA!O9</f>
        <v>5.7</v>
      </c>
      <c r="K9" s="6">
        <f t="shared" si="4"/>
        <v>2</v>
      </c>
      <c r="L9" s="6">
        <f t="shared" si="5"/>
        <v>4.5</v>
      </c>
      <c r="M9" s="21">
        <f>PLANTILLA!X9</f>
        <v>0</v>
      </c>
      <c r="N9" s="21">
        <f>PLANTILLA!Y9</f>
        <v>6</v>
      </c>
      <c r="O9" s="21">
        <f>PLANTILLA!Z9</f>
        <v>4</v>
      </c>
      <c r="P9" s="21">
        <f>PLANTILLA!AA9</f>
        <v>4</v>
      </c>
      <c r="Q9" s="21">
        <f>PLANTILLA!AB9</f>
        <v>3.3028</v>
      </c>
      <c r="R9" s="21">
        <f>PLANTILLA!AC9</f>
        <v>3.5966666666666676</v>
      </c>
      <c r="S9" s="21">
        <f>PLANTILLA!AD9</f>
        <v>6</v>
      </c>
      <c r="T9" s="155">
        <v>0</v>
      </c>
      <c r="U9" s="155">
        <v>0</v>
      </c>
      <c r="V9" s="155">
        <v>0</v>
      </c>
      <c r="W9" s="155">
        <v>0.5</v>
      </c>
      <c r="X9" s="155">
        <v>0</v>
      </c>
      <c r="Y9" s="155">
        <v>1</v>
      </c>
      <c r="Z9" s="155">
        <v>0</v>
      </c>
      <c r="AA9" s="153">
        <v>20</v>
      </c>
      <c r="AB9" s="154">
        <v>96</v>
      </c>
      <c r="AC9" s="25">
        <f t="shared" si="3"/>
        <v>0.5</v>
      </c>
      <c r="AD9" s="156">
        <f t="shared" si="6"/>
        <v>0</v>
      </c>
      <c r="AE9" s="156">
        <f t="shared" si="7"/>
        <v>6</v>
      </c>
      <c r="AF9" s="156">
        <f t="shared" si="8"/>
        <v>4</v>
      </c>
      <c r="AG9" s="156">
        <v>9</v>
      </c>
      <c r="AH9" s="156">
        <f>Q9+(X$2/5)</f>
        <v>3.3028</v>
      </c>
      <c r="AI9" s="156">
        <v>9</v>
      </c>
      <c r="AJ9" s="156">
        <f>S9+(Z$2/1)</f>
        <v>6</v>
      </c>
    </row>
    <row r="10" spans="1:36" ht="16.5" customHeight="1" x14ac:dyDescent="0.25">
      <c r="A10" s="15" t="str">
        <f>PLANTILLA!A10</f>
        <v>#23</v>
      </c>
      <c r="B10" s="15" t="str">
        <f>PLANTILLA!B10</f>
        <v>LAT</v>
      </c>
      <c r="C10" s="121">
        <f ca="1">PLANTILLA!C10</f>
        <v>15.267857142857142</v>
      </c>
      <c r="D10" s="28" t="str">
        <f>PLANTILLA!D10</f>
        <v>Eckardt Hägerling</v>
      </c>
      <c r="E10" s="16">
        <f>PLANTILLA!E10</f>
        <v>17</v>
      </c>
      <c r="F10" s="17">
        <f ca="1">PLANTILLA!F10</f>
        <v>82</v>
      </c>
      <c r="G10" s="18" t="str">
        <f>PLANTILLA!G10</f>
        <v>IMP</v>
      </c>
      <c r="H10" s="4">
        <f>PLANTILLA!H10</f>
        <v>3</v>
      </c>
      <c r="I10" s="27">
        <f>PLANTILLA!I10</f>
        <v>1.3</v>
      </c>
      <c r="J10" s="19">
        <f>PLANTILLA!O10</f>
        <v>5.4</v>
      </c>
      <c r="K10" s="6">
        <f t="shared" si="4"/>
        <v>11.700000000000001</v>
      </c>
      <c r="L10" s="6">
        <f t="shared" si="5"/>
        <v>20.8</v>
      </c>
      <c r="M10" s="21">
        <f>PLANTILLA!X10</f>
        <v>0</v>
      </c>
      <c r="N10" s="21">
        <f>PLANTILLA!Y10</f>
        <v>5</v>
      </c>
      <c r="O10" s="21">
        <f>PLANTILLA!Z10</f>
        <v>3</v>
      </c>
      <c r="P10" s="21">
        <f>PLANTILLA!AA10</f>
        <v>4</v>
      </c>
      <c r="Q10" s="21">
        <f>PLANTILLA!AB10</f>
        <v>2.4356</v>
      </c>
      <c r="R10" s="21">
        <f>PLANTILLA!AC10</f>
        <v>4.0633333333333344</v>
      </c>
      <c r="S10" s="21">
        <f>PLANTILLA!AD10</f>
        <v>3</v>
      </c>
      <c r="T10" s="155">
        <v>0</v>
      </c>
      <c r="U10" s="155">
        <v>0</v>
      </c>
      <c r="V10" s="155">
        <v>0</v>
      </c>
      <c r="W10" s="155">
        <v>0.13</v>
      </c>
      <c r="X10" s="155">
        <v>0</v>
      </c>
      <c r="Y10" s="155">
        <f t="shared" si="2"/>
        <v>0.17</v>
      </c>
      <c r="Z10" s="155">
        <v>0</v>
      </c>
      <c r="AA10" s="153">
        <v>20</v>
      </c>
      <c r="AB10" s="154">
        <v>84</v>
      </c>
      <c r="AC10" s="25">
        <f t="shared" si="3"/>
        <v>1.3</v>
      </c>
      <c r="AD10" s="156">
        <f t="shared" si="6"/>
        <v>0</v>
      </c>
      <c r="AE10" s="156">
        <f t="shared" si="7"/>
        <v>5</v>
      </c>
      <c r="AF10" s="156">
        <f t="shared" si="8"/>
        <v>3</v>
      </c>
      <c r="AG10" s="156">
        <f>5</f>
        <v>5</v>
      </c>
      <c r="AH10" s="156">
        <f>Q10+(X$2/16)</f>
        <v>2.4356</v>
      </c>
      <c r="AI10" s="156">
        <f>5+18/19</f>
        <v>5.9473684210526319</v>
      </c>
      <c r="AJ10" s="156">
        <f>S10+(Z$2/5)</f>
        <v>3</v>
      </c>
    </row>
    <row r="11" spans="1:36" ht="16.5" customHeight="1" x14ac:dyDescent="0.25">
      <c r="A11" s="15" t="str">
        <f>PLANTILLA!A11</f>
        <v>#7</v>
      </c>
      <c r="B11" s="15" t="str">
        <f>PLANTILLA!B11</f>
        <v>LAT</v>
      </c>
      <c r="C11" s="121">
        <f ca="1">PLANTILLA!C11</f>
        <v>15.455357142857142</v>
      </c>
      <c r="D11" s="28" t="str">
        <f>PLANTILLA!D11</f>
        <v>Raul Riquelme</v>
      </c>
      <c r="E11" s="16">
        <f>PLANTILLA!E11</f>
        <v>17</v>
      </c>
      <c r="F11" s="17">
        <f ca="1">PLANTILLA!F11</f>
        <v>61</v>
      </c>
      <c r="G11" s="18" t="str">
        <f>PLANTILLA!G11</f>
        <v>RAP</v>
      </c>
      <c r="H11" s="4">
        <f>PLANTILLA!H11</f>
        <v>6</v>
      </c>
      <c r="I11" s="27">
        <f>PLANTILLA!I11</f>
        <v>1.1000000000000001</v>
      </c>
      <c r="J11" s="19">
        <f>PLANTILLA!O11</f>
        <v>3.5</v>
      </c>
      <c r="K11" s="6">
        <f t="shared" si="4"/>
        <v>39.6</v>
      </c>
      <c r="L11" s="6">
        <f t="shared" si="5"/>
        <v>53.900000000000006</v>
      </c>
      <c r="M11" s="21">
        <f>PLANTILLA!X11</f>
        <v>0</v>
      </c>
      <c r="N11" s="21">
        <f>PLANTILLA!Y11</f>
        <v>6</v>
      </c>
      <c r="O11" s="21">
        <f>PLANTILLA!Z11</f>
        <v>3</v>
      </c>
      <c r="P11" s="21">
        <f>PLANTILLA!AA11</f>
        <v>3</v>
      </c>
      <c r="Q11" s="21">
        <f>PLANTILLA!AB11</f>
        <v>3</v>
      </c>
      <c r="R11" s="21">
        <f>PLANTILLA!AC11</f>
        <v>5.5</v>
      </c>
      <c r="S11" s="21">
        <f>PLANTILLA!AD11</f>
        <v>4</v>
      </c>
      <c r="T11" s="155">
        <v>0</v>
      </c>
      <c r="U11" s="155">
        <v>0</v>
      </c>
      <c r="V11" s="155">
        <v>0</v>
      </c>
      <c r="W11" s="155">
        <v>0.13</v>
      </c>
      <c r="X11" s="155">
        <v>0</v>
      </c>
      <c r="Y11" s="155">
        <f t="shared" si="2"/>
        <v>0.17</v>
      </c>
      <c r="Z11" s="155">
        <v>0</v>
      </c>
      <c r="AA11" s="153">
        <v>20</v>
      </c>
      <c r="AB11" s="154">
        <v>54</v>
      </c>
      <c r="AC11" s="25">
        <f t="shared" si="3"/>
        <v>1.1000000000000001</v>
      </c>
      <c r="AD11" s="156">
        <f t="shared" si="6"/>
        <v>0</v>
      </c>
      <c r="AE11" s="156">
        <f t="shared" si="7"/>
        <v>6</v>
      </c>
      <c r="AF11" s="156">
        <f t="shared" si="8"/>
        <v>3</v>
      </c>
      <c r="AG11" s="156">
        <f>5+14/18</f>
        <v>5.7777777777777777</v>
      </c>
      <c r="AH11" s="156">
        <f>Q11+(X$2/9)</f>
        <v>3</v>
      </c>
      <c r="AI11" s="156">
        <f>5+2/20</f>
        <v>5.0999999999999996</v>
      </c>
      <c r="AJ11" s="156">
        <f>S11+(Z$2/3)</f>
        <v>4</v>
      </c>
    </row>
    <row r="12" spans="1:36" ht="16.5" customHeight="1" x14ac:dyDescent="0.25">
      <c r="A12" s="15" t="str">
        <f>PLANTILLA!A12</f>
        <v>#21</v>
      </c>
      <c r="B12" s="15" t="str">
        <f>PLANTILLA!B12</f>
        <v>MED</v>
      </c>
      <c r="C12" s="121">
        <f ca="1">PLANTILLA!C12</f>
        <v>14.901785714285714</v>
      </c>
      <c r="D12" s="28" t="str">
        <f>PLANTILLA!D12</f>
        <v>Fernando Gazón</v>
      </c>
      <c r="E12" s="16">
        <f>PLANTILLA!E12</f>
        <v>18</v>
      </c>
      <c r="F12" s="17">
        <f ca="1">PLANTILLA!F12</f>
        <v>11</v>
      </c>
      <c r="G12" s="18" t="str">
        <f>PLANTILLA!G12</f>
        <v>IMP</v>
      </c>
      <c r="H12" s="4">
        <f>PLANTILLA!H12</f>
        <v>3</v>
      </c>
      <c r="I12" s="27">
        <f>PLANTILLA!I12</f>
        <v>0.5</v>
      </c>
      <c r="J12" s="19">
        <f>PLANTILLA!O12</f>
        <v>5.3</v>
      </c>
      <c r="K12" s="6">
        <f t="shared" si="4"/>
        <v>4.5</v>
      </c>
      <c r="L12" s="6">
        <f t="shared" si="5"/>
        <v>8</v>
      </c>
      <c r="M12" s="21">
        <f>PLANTILLA!X12</f>
        <v>0</v>
      </c>
      <c r="N12" s="21">
        <f>PLANTILLA!Y12</f>
        <v>3</v>
      </c>
      <c r="O12" s="21">
        <f>PLANTILLA!Z12</f>
        <v>6</v>
      </c>
      <c r="P12" s="21">
        <f>PLANTILLA!AA12</f>
        <v>3</v>
      </c>
      <c r="Q12" s="21">
        <f>PLANTILLA!AB12</f>
        <v>4</v>
      </c>
      <c r="R12" s="21">
        <f>PLANTILLA!AC12</f>
        <v>5.0896143790849671</v>
      </c>
      <c r="S12" s="21">
        <f>PLANTILLA!AD12</f>
        <v>3</v>
      </c>
      <c r="T12" s="155">
        <v>0</v>
      </c>
      <c r="U12" s="155">
        <v>0</v>
      </c>
      <c r="V12" s="155">
        <v>0</v>
      </c>
      <c r="W12" s="155">
        <v>1</v>
      </c>
      <c r="X12" s="155">
        <v>0</v>
      </c>
      <c r="Y12" s="155">
        <v>1</v>
      </c>
      <c r="Z12" s="155">
        <v>0</v>
      </c>
      <c r="AA12" s="153">
        <v>20</v>
      </c>
      <c r="AB12" s="154">
        <v>55</v>
      </c>
      <c r="AC12" s="25">
        <f t="shared" si="3"/>
        <v>0.5</v>
      </c>
      <c r="AD12" s="156">
        <f t="shared" si="6"/>
        <v>0</v>
      </c>
      <c r="AE12" s="156">
        <f t="shared" si="7"/>
        <v>3</v>
      </c>
      <c r="AF12" s="156">
        <f t="shared" si="8"/>
        <v>6</v>
      </c>
      <c r="AG12" s="156">
        <f>12+5/6</f>
        <v>12.833333333333334</v>
      </c>
      <c r="AH12" s="156">
        <f>Q12+(X$2/6)</f>
        <v>4</v>
      </c>
      <c r="AI12" s="156">
        <f>8+2/4</f>
        <v>8.5</v>
      </c>
      <c r="AJ12" s="156">
        <f>S12+(Z$2/2.5)</f>
        <v>3</v>
      </c>
    </row>
    <row r="13" spans="1:36" ht="16.5" customHeight="1" x14ac:dyDescent="0.25">
      <c r="A13" s="15" t="str">
        <f>PLANTILLA!A13</f>
        <v>#26</v>
      </c>
      <c r="B13" s="15" t="str">
        <f>PLANTILLA!B13</f>
        <v>MED</v>
      </c>
      <c r="C13" s="121">
        <f ca="1">PLANTILLA!C13</f>
        <v>15.008928571428571</v>
      </c>
      <c r="D13" s="28" t="str">
        <f>PLANTILLA!D13</f>
        <v>Roberto Abenoza</v>
      </c>
      <c r="E13" s="16">
        <f>PLANTILLA!E13</f>
        <v>17</v>
      </c>
      <c r="F13" s="17">
        <f ca="1">PLANTILLA!F13</f>
        <v>111</v>
      </c>
      <c r="G13" s="18" t="str">
        <f>PLANTILLA!G13</f>
        <v>CAB</v>
      </c>
      <c r="H13" s="4">
        <f>PLANTILLA!H13</f>
        <v>4</v>
      </c>
      <c r="I13" s="27">
        <f>PLANTILLA!I13</f>
        <v>0.5</v>
      </c>
      <c r="J13" s="19">
        <f>PLANTILLA!O13</f>
        <v>5.2</v>
      </c>
      <c r="K13" s="6">
        <f t="shared" si="4"/>
        <v>8</v>
      </c>
      <c r="L13" s="6">
        <f t="shared" si="5"/>
        <v>12.5</v>
      </c>
      <c r="M13" s="21">
        <f>PLANTILLA!X13</f>
        <v>0</v>
      </c>
      <c r="N13" s="21">
        <f>PLANTILLA!Y13</f>
        <v>2</v>
      </c>
      <c r="O13" s="21">
        <f>PLANTILLA!Z13</f>
        <v>5</v>
      </c>
      <c r="P13" s="21">
        <f>PLANTILLA!AA13</f>
        <v>3</v>
      </c>
      <c r="Q13" s="21">
        <f>PLANTILLA!AB13</f>
        <v>2.1583999999999999</v>
      </c>
      <c r="R13" s="21">
        <f>PLANTILLA!AC13</f>
        <v>5.2499999999999991</v>
      </c>
      <c r="S13" s="21">
        <f>PLANTILLA!AD13</f>
        <v>5</v>
      </c>
      <c r="T13" s="155">
        <v>0</v>
      </c>
      <c r="U13" s="155">
        <v>0</v>
      </c>
      <c r="V13" s="155">
        <v>0</v>
      </c>
      <c r="W13" s="155">
        <v>1</v>
      </c>
      <c r="X13" s="155">
        <v>0</v>
      </c>
      <c r="Y13" s="155">
        <v>1</v>
      </c>
      <c r="Z13" s="155">
        <v>0</v>
      </c>
      <c r="AA13" s="153">
        <v>20</v>
      </c>
      <c r="AB13" s="154">
        <v>55</v>
      </c>
      <c r="AC13" s="25">
        <f t="shared" si="3"/>
        <v>0.5</v>
      </c>
      <c r="AD13" s="156">
        <f t="shared" si="6"/>
        <v>0</v>
      </c>
      <c r="AE13" s="156">
        <f t="shared" si="7"/>
        <v>2</v>
      </c>
      <c r="AF13" s="156">
        <f t="shared" si="8"/>
        <v>5</v>
      </c>
      <c r="AG13" s="156">
        <f>12+3/6</f>
        <v>12.5</v>
      </c>
      <c r="AH13" s="156">
        <f>Q13+(X$2/16)</f>
        <v>2.1583999999999999</v>
      </c>
      <c r="AI13" s="156">
        <f>8+2/4</f>
        <v>8.5</v>
      </c>
      <c r="AJ13" s="156">
        <f>S13+(Z$2/2)</f>
        <v>5</v>
      </c>
    </row>
    <row r="14" spans="1:36" ht="16.5" customHeight="1" x14ac:dyDescent="0.25">
      <c r="A14" s="15" t="str">
        <f>PLANTILLA!A14</f>
        <v>#29</v>
      </c>
      <c r="B14" s="15" t="str">
        <f>PLANTILLA!B14</f>
        <v>MED</v>
      </c>
      <c r="C14" s="121">
        <f ca="1">PLANTILLA!C14</f>
        <v>15.276785714285714</v>
      </c>
      <c r="D14" s="28" t="str">
        <f>PLANTILLA!D14</f>
        <v>Julio Calle</v>
      </c>
      <c r="E14" s="16">
        <f>PLANTILLA!E14</f>
        <v>17</v>
      </c>
      <c r="F14" s="17">
        <f ca="1">PLANTILLA!F14</f>
        <v>81</v>
      </c>
      <c r="G14" s="18" t="str">
        <f>PLANTILLA!G14</f>
        <v>POT</v>
      </c>
      <c r="H14" s="4">
        <f>PLANTILLA!H14</f>
        <v>3</v>
      </c>
      <c r="I14" s="27">
        <f>PLANTILLA!I14</f>
        <v>0.5</v>
      </c>
      <c r="J14" s="19">
        <f>PLANTILLA!O14</f>
        <v>4.2</v>
      </c>
      <c r="K14" s="6">
        <f t="shared" si="4"/>
        <v>4.5</v>
      </c>
      <c r="L14" s="6">
        <f t="shared" si="5"/>
        <v>8</v>
      </c>
      <c r="M14" s="21">
        <f>PLANTILLA!X14</f>
        <v>0</v>
      </c>
      <c r="N14" s="21">
        <f>PLANTILLA!Y14</f>
        <v>3</v>
      </c>
      <c r="O14" s="21">
        <f>PLANTILLA!Z14</f>
        <v>4</v>
      </c>
      <c r="P14" s="21">
        <f>PLANTILLA!AA14</f>
        <v>4</v>
      </c>
      <c r="Q14" s="21">
        <f>PLANTILLA!AB14</f>
        <v>3.0151111111111111</v>
      </c>
      <c r="R14" s="21">
        <f>PLANTILLA!AC14</f>
        <v>4.117647058823529</v>
      </c>
      <c r="S14" s="21">
        <f>PLANTILLA!AD14</f>
        <v>1.3</v>
      </c>
      <c r="T14" s="155">
        <v>0</v>
      </c>
      <c r="U14" s="155">
        <v>0</v>
      </c>
      <c r="V14" s="155">
        <v>0</v>
      </c>
      <c r="W14" s="155">
        <v>0.13</v>
      </c>
      <c r="X14" s="155">
        <v>0</v>
      </c>
      <c r="Y14" s="155">
        <f t="shared" si="2"/>
        <v>0.17</v>
      </c>
      <c r="Z14" s="155">
        <v>0</v>
      </c>
      <c r="AA14" s="153">
        <v>20</v>
      </c>
      <c r="AB14" s="154">
        <v>63</v>
      </c>
      <c r="AC14" s="25">
        <f t="shared" si="3"/>
        <v>0.5</v>
      </c>
      <c r="AD14" s="156">
        <f t="shared" si="6"/>
        <v>0</v>
      </c>
      <c r="AE14" s="156">
        <f t="shared" si="7"/>
        <v>3</v>
      </c>
      <c r="AF14" s="156">
        <f t="shared" si="8"/>
        <v>4</v>
      </c>
      <c r="AG14" s="156">
        <f>6+11/20</f>
        <v>6.55</v>
      </c>
      <c r="AH14" s="156">
        <f>Q14+(X$2/12)</f>
        <v>3.0151111111111111</v>
      </c>
      <c r="AI14" s="156">
        <f>5+2/20</f>
        <v>5.0999999999999996</v>
      </c>
      <c r="AJ14" s="156">
        <f>S14+(Z$2/2)</f>
        <v>1.3</v>
      </c>
    </row>
    <row r="15" spans="1:36" ht="16.5" customHeight="1" x14ac:dyDescent="0.25">
      <c r="A15" s="15" t="str">
        <f>PLANTILLA!A16</f>
        <v>#8</v>
      </c>
      <c r="B15" s="15" t="str">
        <f>PLANTILLA!B16</f>
        <v>EXT</v>
      </c>
      <c r="C15" s="121">
        <f ca="1">PLANTILLA!C16</f>
        <v>15.267857142857142</v>
      </c>
      <c r="D15" s="28" t="str">
        <f>PLANTILLA!D16</f>
        <v>Enrique Cubas</v>
      </c>
      <c r="E15" s="16">
        <f>PLANTILLA!E16</f>
        <v>17</v>
      </c>
      <c r="F15" s="17">
        <f ca="1">PLANTILLA!F16</f>
        <v>82</v>
      </c>
      <c r="G15" s="18" t="str">
        <f>PLANTILLA!G16</f>
        <v>RAP</v>
      </c>
      <c r="H15" s="4">
        <f>PLANTILLA!H16</f>
        <v>1</v>
      </c>
      <c r="I15" s="27">
        <f>PLANTILLA!I16</f>
        <v>1.4</v>
      </c>
      <c r="J15" s="19">
        <f>PLANTILLA!O16</f>
        <v>5.0999999999999996</v>
      </c>
      <c r="K15" s="6">
        <f t="shared" si="4"/>
        <v>1.4</v>
      </c>
      <c r="L15" s="6">
        <f t="shared" si="5"/>
        <v>5.6</v>
      </c>
      <c r="M15" s="21">
        <f>PLANTILLA!X16</f>
        <v>0</v>
      </c>
      <c r="N15" s="21">
        <f>PLANTILLA!Y16</f>
        <v>2</v>
      </c>
      <c r="O15" s="21">
        <f>PLANTILLA!Z16</f>
        <v>5.7</v>
      </c>
      <c r="P15" s="21">
        <f>PLANTILLA!AA16</f>
        <v>5.5</v>
      </c>
      <c r="Q15" s="21">
        <f>PLANTILLA!AB16</f>
        <v>5.5</v>
      </c>
      <c r="R15" s="21">
        <f>PLANTILLA!AC16</f>
        <v>5</v>
      </c>
      <c r="S15" s="21">
        <f>PLANTILLA!AD16</f>
        <v>5</v>
      </c>
      <c r="T15" s="155">
        <v>0</v>
      </c>
      <c r="U15" s="155">
        <v>0</v>
      </c>
      <c r="V15" s="155">
        <v>0</v>
      </c>
      <c r="W15" s="155">
        <v>0.5</v>
      </c>
      <c r="X15" s="155">
        <v>0</v>
      </c>
      <c r="Y15" s="155">
        <f t="shared" si="2"/>
        <v>0.17</v>
      </c>
      <c r="Z15" s="155">
        <v>0</v>
      </c>
      <c r="AA15" s="153">
        <v>20</v>
      </c>
      <c r="AB15" s="154">
        <v>53</v>
      </c>
      <c r="AC15" s="25">
        <f t="shared" si="3"/>
        <v>1.4</v>
      </c>
      <c r="AD15" s="156">
        <f t="shared" si="6"/>
        <v>0</v>
      </c>
      <c r="AE15" s="156">
        <f t="shared" si="7"/>
        <v>2</v>
      </c>
      <c r="AF15" s="156">
        <f t="shared" si="8"/>
        <v>5.7</v>
      </c>
      <c r="AG15" s="156">
        <f>5</f>
        <v>5</v>
      </c>
      <c r="AH15" s="156">
        <f>Q15+(X$2/13)</f>
        <v>5.5</v>
      </c>
      <c r="AI15" s="156">
        <f>5+19/20</f>
        <v>5.95</v>
      </c>
      <c r="AJ15" s="156">
        <f>S15+(Z$2/3)</f>
        <v>5</v>
      </c>
    </row>
    <row r="16" spans="1:36" ht="16.5" customHeight="1" x14ac:dyDescent="0.25">
      <c r="A16" s="15" t="str">
        <f>PLANTILLA!A17</f>
        <v>#11</v>
      </c>
      <c r="B16" s="15" t="str">
        <f>PLANTILLA!B17</f>
        <v>EXT</v>
      </c>
      <c r="C16" s="121">
        <f ca="1">PLANTILLA!C17</f>
        <v>15.267857142857142</v>
      </c>
      <c r="D16" s="28" t="str">
        <f>PLANTILLA!D17</f>
        <v>J. G. Peñuela</v>
      </c>
      <c r="E16" s="16">
        <f>PLANTILLA!E17</f>
        <v>17</v>
      </c>
      <c r="F16" s="17">
        <f ca="1">PLANTILLA!F17</f>
        <v>82</v>
      </c>
      <c r="G16" s="18" t="str">
        <f>PLANTILLA!G17</f>
        <v>IMP</v>
      </c>
      <c r="H16" s="4">
        <f>PLANTILLA!H17</f>
        <v>6</v>
      </c>
      <c r="I16" s="27">
        <f>PLANTILLA!I17</f>
        <v>1.2</v>
      </c>
      <c r="J16" s="19">
        <f>PLANTILLA!O17</f>
        <v>5</v>
      </c>
      <c r="K16" s="6">
        <f t="shared" si="4"/>
        <v>43.199999999999996</v>
      </c>
      <c r="L16" s="6">
        <f t="shared" si="5"/>
        <v>58.8</v>
      </c>
      <c r="M16" s="21">
        <f>PLANTILLA!X17</f>
        <v>0</v>
      </c>
      <c r="N16" s="21">
        <f>PLANTILLA!Y17</f>
        <v>3</v>
      </c>
      <c r="O16" s="21">
        <f>PLANTILLA!Z17</f>
        <v>5</v>
      </c>
      <c r="P16" s="21">
        <f>PLANTILLA!AA17</f>
        <v>4</v>
      </c>
      <c r="Q16" s="21">
        <f>PLANTILLA!AB17</f>
        <v>4.25</v>
      </c>
      <c r="R16" s="21">
        <f>PLANTILLA!AC17</f>
        <v>5.3116666666666665</v>
      </c>
      <c r="S16" s="21">
        <f>PLANTILLA!AD17</f>
        <v>3</v>
      </c>
      <c r="T16" s="155">
        <v>0</v>
      </c>
      <c r="U16" s="155">
        <v>0</v>
      </c>
      <c r="V16" s="155">
        <v>0</v>
      </c>
      <c r="W16" s="155">
        <v>0.5</v>
      </c>
      <c r="X16" s="155">
        <v>0</v>
      </c>
      <c r="Y16" s="155">
        <f t="shared" si="2"/>
        <v>0.17</v>
      </c>
      <c r="Z16" s="155">
        <v>0</v>
      </c>
      <c r="AA16" s="153">
        <v>20</v>
      </c>
      <c r="AB16" s="154">
        <v>96</v>
      </c>
      <c r="AC16" s="25">
        <f t="shared" si="3"/>
        <v>1.2</v>
      </c>
      <c r="AD16" s="156">
        <f t="shared" si="6"/>
        <v>0</v>
      </c>
      <c r="AE16" s="156">
        <f t="shared" si="7"/>
        <v>3</v>
      </c>
      <c r="AF16" s="156">
        <f t="shared" si="8"/>
        <v>5</v>
      </c>
      <c r="AG16" s="156">
        <f>5</f>
        <v>5</v>
      </c>
      <c r="AH16" s="156">
        <f>Q16+(X$2/13)</f>
        <v>4.25</v>
      </c>
      <c r="AI16" s="156">
        <f>6+19/23</f>
        <v>6.8260869565217392</v>
      </c>
      <c r="AJ16" s="156">
        <f>S16+(Z$2/3)</f>
        <v>3</v>
      </c>
    </row>
    <row r="17" spans="1:36" ht="16.5" customHeight="1" x14ac:dyDescent="0.25">
      <c r="A17" s="15" t="str">
        <f>PLANTILLA!A18</f>
        <v>#24</v>
      </c>
      <c r="B17" s="15" t="str">
        <f>PLANTILLA!B18</f>
        <v>EXT</v>
      </c>
      <c r="C17" s="121">
        <f ca="1">PLANTILLA!C18</f>
        <v>15.196428571428571</v>
      </c>
      <c r="D17" s="28" t="str">
        <f>PLANTILLA!D18</f>
        <v>Paulo Beltrán</v>
      </c>
      <c r="E17" s="16">
        <f>PLANTILLA!E18</f>
        <v>17</v>
      </c>
      <c r="F17" s="17">
        <f ca="1">PLANTILLA!F18</f>
        <v>90</v>
      </c>
      <c r="G17" s="18" t="str">
        <f>PLANTILLA!G18</f>
        <v>RAP</v>
      </c>
      <c r="H17" s="4">
        <f>PLANTILLA!H18</f>
        <v>3</v>
      </c>
      <c r="I17" s="27">
        <f>PLANTILLA!I18</f>
        <v>1.1000000000000001</v>
      </c>
      <c r="J17" s="19">
        <f>PLANTILLA!O18</f>
        <v>5.0999999999999996</v>
      </c>
      <c r="K17" s="6">
        <f t="shared" si="4"/>
        <v>9.9</v>
      </c>
      <c r="L17" s="6">
        <f t="shared" si="5"/>
        <v>17.600000000000001</v>
      </c>
      <c r="M17" s="21">
        <f>PLANTILLA!X18</f>
        <v>0</v>
      </c>
      <c r="N17" s="21">
        <f>PLANTILLA!Y18</f>
        <v>4</v>
      </c>
      <c r="O17" s="21">
        <f>PLANTILLA!Z18</f>
        <v>2</v>
      </c>
      <c r="P17" s="21">
        <f>PLANTILLA!AA18</f>
        <v>5</v>
      </c>
      <c r="Q17" s="21">
        <f>PLANTILLA!AB18</f>
        <v>4</v>
      </c>
      <c r="R17" s="21">
        <f>PLANTILLA!AC18</f>
        <v>4.2431372549019599</v>
      </c>
      <c r="S17" s="21">
        <f>PLANTILLA!AD18</f>
        <v>4</v>
      </c>
      <c r="T17" s="155">
        <v>0</v>
      </c>
      <c r="U17" s="155">
        <v>0</v>
      </c>
      <c r="V17" s="155">
        <v>0</v>
      </c>
      <c r="W17" s="155">
        <v>0.13</v>
      </c>
      <c r="X17" s="155">
        <v>0</v>
      </c>
      <c r="Y17" s="155">
        <f t="shared" si="2"/>
        <v>0.17</v>
      </c>
      <c r="Z17" s="155">
        <v>0</v>
      </c>
      <c r="AA17" s="153">
        <v>20</v>
      </c>
      <c r="AB17" s="154">
        <v>52</v>
      </c>
      <c r="AC17" s="25">
        <f t="shared" si="3"/>
        <v>1.1000000000000001</v>
      </c>
      <c r="AD17" s="156">
        <f t="shared" si="6"/>
        <v>0</v>
      </c>
      <c r="AE17" s="156">
        <f t="shared" si="7"/>
        <v>4</v>
      </c>
      <c r="AF17" s="156">
        <f t="shared" si="8"/>
        <v>2</v>
      </c>
      <c r="AG17" s="156">
        <f>4+4/15</f>
        <v>4.2666666666666666</v>
      </c>
      <c r="AH17" s="156">
        <f>Q17+(X$2/13)</f>
        <v>4</v>
      </c>
      <c r="AI17" s="156">
        <f>5+19/20</f>
        <v>5.95</v>
      </c>
      <c r="AJ17" s="156">
        <f>S17+(Z$2/3)</f>
        <v>4</v>
      </c>
    </row>
    <row r="18" spans="1:36" ht="16.5" customHeight="1" x14ac:dyDescent="0.25">
      <c r="A18" s="15" t="str">
        <f>PLANTILLA!A19</f>
        <v>#22</v>
      </c>
      <c r="B18" s="15" t="str">
        <f>PLANTILLA!B19</f>
        <v>DAV</v>
      </c>
      <c r="C18" s="121">
        <f ca="1">PLANTILLA!C19</f>
        <v>15.285714285714286</v>
      </c>
      <c r="D18" s="28" t="str">
        <f>PLANTILLA!D19</f>
        <v>Santiago Serra</v>
      </c>
      <c r="E18" s="16">
        <f>PLANTILLA!E19</f>
        <v>17</v>
      </c>
      <c r="F18" s="17">
        <f ca="1">PLANTILLA!F19</f>
        <v>80</v>
      </c>
      <c r="G18" s="18"/>
      <c r="H18" s="4">
        <f>PLANTILLA!H19</f>
        <v>4</v>
      </c>
      <c r="I18" s="27">
        <f>PLANTILLA!I19</f>
        <v>1.1000000000000001</v>
      </c>
      <c r="J18" s="19">
        <f>PLANTILLA!O19</f>
        <v>5.2</v>
      </c>
      <c r="K18" s="6">
        <f t="shared" ref="K18" si="9">(H18)*(H18)*(I18)</f>
        <v>17.600000000000001</v>
      </c>
      <c r="L18" s="6">
        <f t="shared" ref="L18" si="10">(H18+1)*(H18+1)*I18</f>
        <v>27.500000000000004</v>
      </c>
      <c r="M18" s="21">
        <f>PLANTILLA!X19</f>
        <v>1</v>
      </c>
      <c r="N18" s="21">
        <f>PLANTILLA!Y19</f>
        <v>4</v>
      </c>
      <c r="O18" s="21">
        <f>PLANTILLA!Z19</f>
        <v>2</v>
      </c>
      <c r="P18" s="21">
        <f>PLANTILLA!AA19</f>
        <v>3</v>
      </c>
      <c r="Q18" s="21">
        <f>PLANTILLA!AB19</f>
        <v>4.5</v>
      </c>
      <c r="R18" s="21">
        <f>PLANTILLA!AC19</f>
        <v>5.2027777777777775</v>
      </c>
      <c r="S18" s="21">
        <f>PLANTILLA!AD19</f>
        <v>6</v>
      </c>
      <c r="T18" s="155">
        <v>0</v>
      </c>
      <c r="U18" s="155">
        <v>0</v>
      </c>
      <c r="V18" s="155">
        <v>0</v>
      </c>
      <c r="W18" s="155">
        <v>0.5</v>
      </c>
      <c r="X18" s="155">
        <v>0</v>
      </c>
      <c r="Y18" s="155">
        <v>1</v>
      </c>
      <c r="Z18" s="155">
        <v>0</v>
      </c>
      <c r="AA18" s="153">
        <v>20</v>
      </c>
      <c r="AB18" s="154">
        <v>53</v>
      </c>
      <c r="AC18" s="25">
        <f t="shared" ref="AC18" si="11">I18+$AC$2</f>
        <v>1.1000000000000001</v>
      </c>
      <c r="AD18" s="156">
        <f t="shared" ref="AD18" si="12">M18</f>
        <v>1</v>
      </c>
      <c r="AE18" s="156">
        <f t="shared" ref="AE18" si="13">N18</f>
        <v>4</v>
      </c>
      <c r="AF18" s="156">
        <f t="shared" ref="AF18" si="14">O18</f>
        <v>2</v>
      </c>
      <c r="AG18" s="156">
        <v>10</v>
      </c>
      <c r="AH18" s="156">
        <f>Q18+(X$2/13)</f>
        <v>4.5</v>
      </c>
      <c r="AI18" s="156">
        <v>10</v>
      </c>
      <c r="AJ18" s="156">
        <f>S18+(Z$2/3)</f>
        <v>6</v>
      </c>
    </row>
    <row r="19" spans="1:36" ht="16.5" customHeight="1" x14ac:dyDescent="0.25">
      <c r="A19" s="15" t="str">
        <f>PLANTILLA!A20</f>
        <v>#25</v>
      </c>
      <c r="B19" s="15" t="str">
        <f>PLANTILLA!B20</f>
        <v>DAV</v>
      </c>
      <c r="C19" s="121">
        <f ca="1">PLANTILLA!C20</f>
        <v>14.901785714285714</v>
      </c>
      <c r="D19" s="28" t="str">
        <f>PLANTILLA!D20</f>
        <v>Nicolás Eans</v>
      </c>
      <c r="E19" s="16">
        <f>PLANTILLA!E20</f>
        <v>18</v>
      </c>
      <c r="F19" s="17">
        <f ca="1">PLANTILLA!F20</f>
        <v>11</v>
      </c>
      <c r="G19" s="18"/>
      <c r="H19" s="4">
        <f>PLANTILLA!H20</f>
        <v>3</v>
      </c>
      <c r="I19" s="27">
        <f>PLANTILLA!I20</f>
        <v>0.5</v>
      </c>
      <c r="J19" s="19">
        <f>PLANTILLA!O20</f>
        <v>5.3</v>
      </c>
      <c r="K19" s="6">
        <f t="shared" ref="K19:K21" si="15">(H19)*(H19)*(I19)</f>
        <v>4.5</v>
      </c>
      <c r="L19" s="6">
        <f t="shared" ref="L19:L21" si="16">(H19+1)*(H19+1)*I19</f>
        <v>8</v>
      </c>
      <c r="M19" s="21">
        <f>PLANTILLA!X20</f>
        <v>0</v>
      </c>
      <c r="N19" s="21">
        <f>PLANTILLA!Y20</f>
        <v>5</v>
      </c>
      <c r="O19" s="21">
        <f>PLANTILLA!Z20</f>
        <v>2</v>
      </c>
      <c r="P19" s="21">
        <f>PLANTILLA!AA20</f>
        <v>3</v>
      </c>
      <c r="Q19" s="21">
        <f>PLANTILLA!AB20</f>
        <v>4.75</v>
      </c>
      <c r="R19" s="21">
        <f>PLANTILLA!AC20</f>
        <v>6.2173913043478271</v>
      </c>
      <c r="S19" s="21">
        <f>PLANTILLA!AD20</f>
        <v>3</v>
      </c>
      <c r="T19" s="155">
        <v>0</v>
      </c>
      <c r="U19" s="155">
        <v>0</v>
      </c>
      <c r="V19" s="155">
        <v>0</v>
      </c>
      <c r="W19" s="155">
        <v>0.5</v>
      </c>
      <c r="X19" s="155">
        <v>0</v>
      </c>
      <c r="Y19" s="155">
        <v>1</v>
      </c>
      <c r="Z19" s="155">
        <v>0</v>
      </c>
      <c r="AA19" s="153">
        <v>20</v>
      </c>
      <c r="AB19" s="154">
        <v>54</v>
      </c>
      <c r="AC19" s="25">
        <f t="shared" ref="AC19:AC21" si="17">I19+$AC$2</f>
        <v>0.5</v>
      </c>
      <c r="AD19" s="156">
        <f t="shared" ref="AD19:AD21" si="18">M19</f>
        <v>0</v>
      </c>
      <c r="AE19" s="156">
        <f t="shared" ref="AE19:AE21" si="19">N19</f>
        <v>5</v>
      </c>
      <c r="AF19" s="156">
        <f t="shared" ref="AF19:AF21" si="20">O19</f>
        <v>2</v>
      </c>
      <c r="AG19" s="156">
        <v>11</v>
      </c>
      <c r="AH19" s="156">
        <f t="shared" ref="AH19:AH21" si="21">Q19+(X$2/13)</f>
        <v>4.75</v>
      </c>
      <c r="AI19" s="156">
        <v>11</v>
      </c>
      <c r="AJ19" s="156">
        <f t="shared" ref="AJ19:AJ21" si="22">S19+(Z$2/3)</f>
        <v>3</v>
      </c>
    </row>
    <row r="20" spans="1:36" ht="16.5" customHeight="1" x14ac:dyDescent="0.25">
      <c r="A20" s="15" t="str">
        <f>PLANTILLA!A21</f>
        <v>#27</v>
      </c>
      <c r="B20" s="15" t="str">
        <f>PLANTILLA!B21</f>
        <v>DAV</v>
      </c>
      <c r="C20" s="121">
        <f ca="1">PLANTILLA!C21</f>
        <v>15.294642857142858</v>
      </c>
      <c r="D20" s="28" t="str">
        <f>PLANTILLA!D21</f>
        <v>Noel Fuster</v>
      </c>
      <c r="E20" s="16">
        <f>PLANTILLA!E21</f>
        <v>17</v>
      </c>
      <c r="F20" s="17">
        <f ca="1">PLANTILLA!F21</f>
        <v>79</v>
      </c>
      <c r="G20" s="18"/>
      <c r="H20" s="4">
        <f>PLANTILLA!H21</f>
        <v>4</v>
      </c>
      <c r="I20" s="27">
        <f>PLANTILLA!I21</f>
        <v>0.5</v>
      </c>
      <c r="J20" s="19">
        <f>PLANTILLA!O21</f>
        <v>5</v>
      </c>
      <c r="K20" s="6">
        <f t="shared" si="15"/>
        <v>8</v>
      </c>
      <c r="L20" s="6">
        <f t="shared" si="16"/>
        <v>12.5</v>
      </c>
      <c r="M20" s="21">
        <f>PLANTILLA!X21</f>
        <v>0</v>
      </c>
      <c r="N20" s="21">
        <f>PLANTILLA!Y21</f>
        <v>4</v>
      </c>
      <c r="O20" s="21">
        <f>PLANTILLA!Z21</f>
        <v>2</v>
      </c>
      <c r="P20" s="21">
        <f>PLANTILLA!AA21</f>
        <v>2</v>
      </c>
      <c r="Q20" s="21">
        <f>PLANTILLA!AB21</f>
        <v>3.0496666666666665</v>
      </c>
      <c r="R20" s="21">
        <f>PLANTILLA!AC21</f>
        <v>5.1527777777777777</v>
      </c>
      <c r="S20" s="21">
        <f>PLANTILLA!AD21</f>
        <v>2.5</v>
      </c>
      <c r="T20" s="155">
        <v>0</v>
      </c>
      <c r="U20" s="155">
        <v>0</v>
      </c>
      <c r="V20" s="155">
        <v>0</v>
      </c>
      <c r="W20" s="155">
        <v>0.5</v>
      </c>
      <c r="X20" s="155">
        <v>0</v>
      </c>
      <c r="Y20" s="155">
        <v>1</v>
      </c>
      <c r="Z20" s="155">
        <v>0</v>
      </c>
      <c r="AA20" s="153">
        <v>20</v>
      </c>
      <c r="AB20" s="154">
        <v>55</v>
      </c>
      <c r="AC20" s="25">
        <f t="shared" si="17"/>
        <v>0.5</v>
      </c>
      <c r="AD20" s="156">
        <f t="shared" si="18"/>
        <v>0</v>
      </c>
      <c r="AE20" s="156">
        <f t="shared" si="19"/>
        <v>4</v>
      </c>
      <c r="AF20" s="156">
        <f t="shared" si="20"/>
        <v>2</v>
      </c>
      <c r="AG20" s="156">
        <v>12</v>
      </c>
      <c r="AH20" s="156">
        <f t="shared" si="21"/>
        <v>3.0496666666666665</v>
      </c>
      <c r="AI20" s="156">
        <v>12</v>
      </c>
      <c r="AJ20" s="156">
        <f t="shared" si="22"/>
        <v>2.5</v>
      </c>
    </row>
    <row r="21" spans="1:36" ht="16.5" customHeight="1" x14ac:dyDescent="0.25">
      <c r="A21" s="15" t="str">
        <f>PLANTILLA!A22</f>
        <v>#9</v>
      </c>
      <c r="B21" s="15" t="str">
        <f>PLANTILLA!B22</f>
        <v>DAV</v>
      </c>
      <c r="C21" s="121">
        <f ca="1">PLANTILLA!C22</f>
        <v>15.616071428571429</v>
      </c>
      <c r="D21" s="28" t="str">
        <f>PLANTILLA!D22</f>
        <v>Casildo Abraldes</v>
      </c>
      <c r="E21" s="16">
        <f>PLANTILLA!E22</f>
        <v>17</v>
      </c>
      <c r="F21" s="17">
        <f ca="1">PLANTILLA!F22</f>
        <v>43</v>
      </c>
      <c r="G21" s="18"/>
      <c r="H21" s="4">
        <f>PLANTILLA!H22</f>
        <v>0</v>
      </c>
      <c r="I21" s="27">
        <f>PLANTILLA!I22</f>
        <v>1.3</v>
      </c>
      <c r="J21" s="19">
        <f>PLANTILLA!O22</f>
        <v>3.5</v>
      </c>
      <c r="K21" s="6">
        <f t="shared" si="15"/>
        <v>0</v>
      </c>
      <c r="L21" s="6">
        <f t="shared" si="16"/>
        <v>1.3</v>
      </c>
      <c r="M21" s="21">
        <f>PLANTILLA!X22</f>
        <v>0</v>
      </c>
      <c r="N21" s="21">
        <f>PLANTILLA!Y22</f>
        <v>3</v>
      </c>
      <c r="O21" s="21">
        <f>PLANTILLA!Z22</f>
        <v>2</v>
      </c>
      <c r="P21" s="21">
        <f>PLANTILLA!AA22</f>
        <v>5</v>
      </c>
      <c r="Q21" s="21">
        <f>PLANTILLA!AB22</f>
        <v>5</v>
      </c>
      <c r="R21" s="21">
        <f>PLANTILLA!AC22</f>
        <v>7</v>
      </c>
      <c r="S21" s="21">
        <f>PLANTILLA!AD22</f>
        <v>4</v>
      </c>
      <c r="T21" s="155">
        <v>0</v>
      </c>
      <c r="U21" s="155">
        <v>0</v>
      </c>
      <c r="V21" s="155">
        <v>0</v>
      </c>
      <c r="W21" s="155">
        <v>0.5</v>
      </c>
      <c r="X21" s="155">
        <v>0</v>
      </c>
      <c r="Y21" s="155">
        <v>1</v>
      </c>
      <c r="Z21" s="155">
        <v>0</v>
      </c>
      <c r="AA21" s="153">
        <v>20</v>
      </c>
      <c r="AB21" s="154">
        <v>56</v>
      </c>
      <c r="AC21" s="25">
        <f t="shared" si="17"/>
        <v>1.3</v>
      </c>
      <c r="AD21" s="156">
        <f t="shared" si="18"/>
        <v>0</v>
      </c>
      <c r="AE21" s="156">
        <f t="shared" si="19"/>
        <v>3</v>
      </c>
      <c r="AF21" s="156">
        <f t="shared" si="20"/>
        <v>2</v>
      </c>
      <c r="AG21" s="156">
        <v>13</v>
      </c>
      <c r="AH21" s="156">
        <f t="shared" si="21"/>
        <v>5</v>
      </c>
      <c r="AI21" s="156">
        <v>13</v>
      </c>
      <c r="AJ21" s="156">
        <f t="shared" si="22"/>
        <v>4</v>
      </c>
    </row>
    <row r="22" spans="1:36" ht="16.5" customHeight="1" x14ac:dyDescent="0.25">
      <c r="A22" s="15">
        <f>PLANTILLA!A23</f>
        <v>0</v>
      </c>
      <c r="B22" s="15">
        <f>PLANTILLA!B23</f>
        <v>0</v>
      </c>
      <c r="C22" s="121">
        <f>PLANTILLA!C23</f>
        <v>0</v>
      </c>
      <c r="D22" s="28" t="str">
        <f>PLANTILLA!D23</f>
        <v>A. Ilisie</v>
      </c>
      <c r="E22" s="220"/>
      <c r="F22" s="220"/>
      <c r="G22" s="220"/>
      <c r="H22" s="220"/>
      <c r="I22" s="220"/>
      <c r="J22" s="220"/>
      <c r="K22" s="220"/>
      <c r="L22" s="220"/>
      <c r="M22" s="220"/>
      <c r="N22" s="220"/>
      <c r="O22" s="220"/>
      <c r="P22" s="220"/>
      <c r="Q22" s="220"/>
      <c r="R22" s="220"/>
      <c r="S22" s="220"/>
      <c r="T22" s="220"/>
      <c r="U22" s="220"/>
      <c r="V22" s="220"/>
      <c r="W22" s="220"/>
      <c r="X22" s="220"/>
      <c r="Y22" s="220"/>
      <c r="Z22" s="220"/>
      <c r="AA22" s="220"/>
      <c r="AB22" s="220"/>
      <c r="AC22" s="220"/>
      <c r="AD22" s="65"/>
      <c r="AE22" s="65"/>
      <c r="AF22" s="65"/>
      <c r="AG22" s="65"/>
      <c r="AH22" s="65"/>
      <c r="AI22" s="65"/>
      <c r="AJ22" s="65"/>
    </row>
    <row r="23" spans="1:36" x14ac:dyDescent="0.25">
      <c r="C23" s="137"/>
      <c r="D23" s="110"/>
      <c r="G23" s="65"/>
      <c r="H23" s="52"/>
      <c r="J23" s="65"/>
      <c r="K23" s="65"/>
      <c r="M23" s="138"/>
      <c r="T23" s="65"/>
      <c r="U23" s="65"/>
      <c r="V23" s="65"/>
      <c r="W23" s="65"/>
      <c r="X23" s="65"/>
      <c r="Y23" s="65"/>
      <c r="Z23" s="65"/>
      <c r="AA23" s="65"/>
      <c r="AB23" s="65"/>
      <c r="AC23" s="65"/>
      <c r="AD23" s="46"/>
      <c r="AE23" s="46"/>
      <c r="AF23" s="46"/>
      <c r="AG23" s="46"/>
      <c r="AH23" s="46"/>
      <c r="AI23" s="46"/>
      <c r="AJ23" s="46"/>
    </row>
    <row r="24" spans="1:36" x14ac:dyDescent="0.25">
      <c r="C24" s="137"/>
      <c r="D24" s="110"/>
      <c r="G24" s="65"/>
      <c r="H24" s="52"/>
      <c r="J24" s="65"/>
      <c r="K24" s="65"/>
      <c r="M24" s="138"/>
      <c r="T24" s="65"/>
      <c r="U24" s="65"/>
      <c r="V24" s="65"/>
      <c r="W24" s="65"/>
      <c r="X24" s="65"/>
      <c r="Y24" s="65"/>
      <c r="Z24" s="65"/>
      <c r="AA24" s="65"/>
      <c r="AB24" s="65"/>
      <c r="AC24" s="65"/>
      <c r="AD24" s="46"/>
      <c r="AE24" s="46"/>
      <c r="AF24" s="46"/>
      <c r="AG24" s="46"/>
      <c r="AH24" s="46"/>
      <c r="AI24" s="46"/>
      <c r="AJ24" s="46"/>
    </row>
    <row r="25" spans="1:36" x14ac:dyDescent="0.25">
      <c r="C25" s="137"/>
      <c r="D25" s="110"/>
      <c r="G25" s="65"/>
      <c r="H25" s="52"/>
      <c r="J25" s="65"/>
      <c r="K25" s="65"/>
      <c r="M25" s="138"/>
      <c r="T25" s="65"/>
      <c r="U25" s="65"/>
      <c r="V25" s="65"/>
      <c r="W25" s="65"/>
      <c r="X25" s="65"/>
      <c r="Y25" s="65"/>
      <c r="Z25" s="65"/>
      <c r="AA25" s="65"/>
      <c r="AB25" s="65"/>
      <c r="AC25" s="65"/>
      <c r="AD25" s="46"/>
      <c r="AE25" s="46"/>
      <c r="AF25" s="46"/>
      <c r="AG25" s="46"/>
      <c r="AH25" s="46"/>
      <c r="AI25" s="46"/>
      <c r="AJ25" s="46"/>
    </row>
    <row r="26" spans="1:36" x14ac:dyDescent="0.25">
      <c r="C26" s="137"/>
      <c r="D26" s="110"/>
      <c r="G26" s="65"/>
      <c r="H26" s="52"/>
      <c r="J26" s="65"/>
      <c r="K26" s="65"/>
      <c r="M26" s="138"/>
      <c r="T26" s="65"/>
      <c r="U26" s="65"/>
      <c r="V26" s="65"/>
      <c r="W26" s="65"/>
      <c r="X26" s="65"/>
      <c r="Y26" s="65"/>
      <c r="Z26" s="65"/>
      <c r="AA26" s="65"/>
      <c r="AB26" s="65"/>
      <c r="AC26" s="65"/>
      <c r="AD26" s="46"/>
      <c r="AE26" s="46"/>
      <c r="AF26" s="46"/>
      <c r="AG26" s="46"/>
      <c r="AH26" s="46"/>
      <c r="AI26" s="46"/>
      <c r="AJ26" s="46"/>
    </row>
    <row r="27" spans="1:36" x14ac:dyDescent="0.25">
      <c r="C27" s="137"/>
      <c r="D27" s="110"/>
      <c r="G27" s="65"/>
      <c r="H27" s="52"/>
      <c r="J27" s="65"/>
      <c r="K27" s="65"/>
      <c r="M27" s="138"/>
      <c r="T27" s="65"/>
      <c r="U27" s="65"/>
      <c r="V27" s="65"/>
      <c r="W27" s="65"/>
      <c r="X27" s="65"/>
      <c r="Y27" s="65"/>
      <c r="Z27" s="65"/>
      <c r="AA27" s="65"/>
      <c r="AB27" s="65"/>
      <c r="AC27" s="65"/>
      <c r="AD27" s="46"/>
      <c r="AE27" s="46"/>
      <c r="AF27" s="46"/>
      <c r="AG27" s="46"/>
      <c r="AH27" s="46"/>
      <c r="AI27" s="46"/>
      <c r="AJ27" s="46"/>
    </row>
    <row r="28" spans="1:36" x14ac:dyDescent="0.25">
      <c r="C28" s="137"/>
      <c r="D28" s="110"/>
      <c r="G28" s="65"/>
      <c r="H28" s="52"/>
      <c r="J28" s="65"/>
      <c r="K28" s="65"/>
      <c r="M28" s="138"/>
      <c r="T28" s="65"/>
      <c r="U28" s="65"/>
      <c r="V28" s="65"/>
      <c r="W28" s="65"/>
      <c r="X28" s="65"/>
      <c r="Y28" s="65"/>
      <c r="Z28" s="65"/>
      <c r="AA28" s="65"/>
      <c r="AB28" s="65"/>
      <c r="AC28" s="65"/>
      <c r="AD28" s="46"/>
      <c r="AE28" s="46"/>
      <c r="AF28" s="46"/>
      <c r="AG28" s="46"/>
      <c r="AH28" s="46"/>
      <c r="AI28" s="46"/>
      <c r="AJ28" s="46"/>
    </row>
    <row r="29" spans="1:36" x14ac:dyDescent="0.25">
      <c r="C29" s="137"/>
      <c r="D29" s="110"/>
      <c r="G29" s="65"/>
      <c r="H29" s="52"/>
      <c r="J29" s="65"/>
      <c r="K29" s="65"/>
      <c r="M29" s="138"/>
      <c r="T29" s="65"/>
      <c r="U29" s="65"/>
      <c r="V29" s="65"/>
      <c r="W29" s="65"/>
      <c r="X29" s="65"/>
      <c r="Y29" s="65"/>
      <c r="Z29" s="65"/>
      <c r="AA29" s="65"/>
      <c r="AB29" s="65"/>
      <c r="AC29" s="65"/>
      <c r="AD29" s="65"/>
      <c r="AE29" s="65"/>
      <c r="AF29" s="65"/>
      <c r="AG29" s="65"/>
      <c r="AH29" s="65"/>
      <c r="AI29" s="65"/>
      <c r="AJ29" s="65"/>
    </row>
    <row r="30" spans="1:36" x14ac:dyDescent="0.25">
      <c r="C30" s="137"/>
      <c r="D30" s="110"/>
      <c r="G30" s="65"/>
      <c r="H30" s="52"/>
      <c r="J30" s="65"/>
      <c r="K30" s="65"/>
      <c r="M30" s="138"/>
      <c r="T30" s="65"/>
      <c r="U30" s="65"/>
      <c r="V30" s="65"/>
      <c r="W30" s="65"/>
      <c r="X30" s="65"/>
      <c r="Y30" s="65"/>
      <c r="Z30" s="65"/>
      <c r="AA30" s="65"/>
      <c r="AB30" s="65"/>
      <c r="AC30" s="65"/>
      <c r="AD30" s="65"/>
      <c r="AE30" s="65"/>
      <c r="AF30" s="65"/>
      <c r="AG30" s="65"/>
      <c r="AH30" s="65"/>
      <c r="AI30" s="65"/>
      <c r="AJ30" s="65"/>
    </row>
    <row r="31" spans="1:36" x14ac:dyDescent="0.25">
      <c r="C31" s="137"/>
      <c r="D31" s="110"/>
      <c r="G31" s="65"/>
      <c r="H31" s="52"/>
      <c r="J31" s="65"/>
      <c r="K31" s="65"/>
      <c r="M31" s="138"/>
      <c r="T31" s="65"/>
      <c r="U31" s="65"/>
      <c r="V31" s="65"/>
      <c r="W31" s="65"/>
      <c r="X31" s="65"/>
      <c r="Y31" s="65"/>
      <c r="Z31" s="65"/>
      <c r="AA31" s="65"/>
      <c r="AB31" s="65"/>
      <c r="AC31" s="65"/>
      <c r="AD31" s="65"/>
      <c r="AE31" s="65"/>
      <c r="AF31" s="65"/>
      <c r="AG31" s="65"/>
      <c r="AH31" s="65"/>
      <c r="AI31" s="65"/>
      <c r="AJ31" s="65"/>
    </row>
    <row r="32" spans="1:36" x14ac:dyDescent="0.25">
      <c r="C32" s="137"/>
      <c r="D32" s="110"/>
      <c r="G32" s="65"/>
      <c r="H32" s="52"/>
      <c r="J32" s="65"/>
      <c r="K32" s="65"/>
      <c r="M32" s="138"/>
      <c r="T32" s="65"/>
      <c r="U32" s="65"/>
      <c r="V32" s="65"/>
      <c r="W32" s="65"/>
      <c r="X32" s="65"/>
      <c r="Y32" s="65"/>
      <c r="Z32" s="65"/>
      <c r="AA32" s="65"/>
      <c r="AB32" s="65"/>
      <c r="AC32" s="65"/>
      <c r="AD32" s="65"/>
      <c r="AE32" s="65"/>
      <c r="AF32" s="65"/>
      <c r="AG32" s="65"/>
      <c r="AH32" s="65"/>
      <c r="AI32" s="65"/>
      <c r="AJ32" s="65"/>
    </row>
    <row r="33" spans="3:36" x14ac:dyDescent="0.25">
      <c r="C33" s="137"/>
      <c r="D33" s="110"/>
      <c r="G33" s="65"/>
      <c r="H33" s="52"/>
      <c r="J33" s="65"/>
      <c r="K33" s="65"/>
      <c r="M33" s="138"/>
      <c r="T33" s="65"/>
      <c r="U33" s="65"/>
      <c r="V33" s="65"/>
      <c r="W33" s="65"/>
      <c r="X33" s="65"/>
      <c r="Y33" s="65"/>
      <c r="Z33" s="65"/>
      <c r="AA33" s="65"/>
      <c r="AB33" s="65"/>
      <c r="AC33" s="65"/>
      <c r="AD33" s="65"/>
      <c r="AE33" s="65"/>
      <c r="AF33" s="65"/>
      <c r="AG33" s="65"/>
      <c r="AH33" s="65"/>
      <c r="AI33" s="65"/>
      <c r="AJ33" s="65"/>
    </row>
    <row r="34" spans="3:36" x14ac:dyDescent="0.25">
      <c r="C34" s="137"/>
      <c r="D34" s="110"/>
      <c r="G34" s="65"/>
      <c r="H34" s="52"/>
      <c r="J34" s="65"/>
      <c r="K34" s="65"/>
      <c r="M34" s="138"/>
      <c r="T34" s="65"/>
      <c r="U34" s="65"/>
      <c r="V34" s="65"/>
      <c r="W34" s="65"/>
      <c r="X34" s="65"/>
      <c r="Y34" s="65"/>
      <c r="Z34" s="65"/>
      <c r="AA34" s="65"/>
      <c r="AB34" s="65"/>
      <c r="AC34" s="65"/>
      <c r="AD34" s="65"/>
      <c r="AE34" s="65"/>
      <c r="AF34" s="65"/>
      <c r="AG34" s="65"/>
      <c r="AH34" s="65"/>
      <c r="AI34" s="65"/>
      <c r="AJ34" s="65"/>
    </row>
    <row r="35" spans="3:36" x14ac:dyDescent="0.25">
      <c r="C35" s="137"/>
      <c r="D35" s="110"/>
      <c r="G35" s="65"/>
      <c r="H35" s="52"/>
      <c r="J35" s="65"/>
      <c r="K35" s="65"/>
      <c r="M35" s="138"/>
      <c r="T35" s="65"/>
      <c r="U35" s="65"/>
      <c r="V35" s="65"/>
      <c r="W35" s="65"/>
      <c r="X35" s="65"/>
      <c r="Y35" s="65"/>
      <c r="Z35" s="65"/>
      <c r="AA35" s="65"/>
      <c r="AB35" s="65"/>
      <c r="AC35" s="65"/>
      <c r="AD35" s="65"/>
      <c r="AE35" s="65"/>
      <c r="AF35" s="65"/>
      <c r="AG35" s="65"/>
      <c r="AH35" s="65"/>
      <c r="AI35" s="65"/>
      <c r="AJ35" s="65"/>
    </row>
    <row r="36" spans="3:36" x14ac:dyDescent="0.25">
      <c r="C36" s="137"/>
      <c r="D36" s="110"/>
      <c r="G36" s="65"/>
      <c r="H36" s="52"/>
      <c r="J36" s="65"/>
      <c r="K36" s="65"/>
      <c r="M36" s="138"/>
      <c r="T36" s="65"/>
      <c r="U36" s="65"/>
      <c r="V36" s="65"/>
      <c r="W36" s="65"/>
      <c r="X36" s="65"/>
      <c r="Y36" s="65"/>
      <c r="Z36" s="65"/>
      <c r="AA36" s="65"/>
      <c r="AB36" s="65"/>
      <c r="AC36" s="65"/>
      <c r="AD36" s="65"/>
      <c r="AE36" s="65"/>
      <c r="AF36" s="65"/>
      <c r="AG36" s="65"/>
      <c r="AH36" s="65"/>
      <c r="AI36" s="65"/>
      <c r="AJ36" s="65"/>
    </row>
    <row r="37" spans="3:36" x14ac:dyDescent="0.25">
      <c r="C37" s="137"/>
      <c r="D37" s="110"/>
      <c r="G37" s="65"/>
      <c r="H37" s="52"/>
      <c r="J37" s="65"/>
      <c r="K37" s="65"/>
      <c r="M37" s="138"/>
      <c r="T37" s="65"/>
      <c r="U37" s="65"/>
      <c r="V37" s="65"/>
      <c r="W37" s="65"/>
      <c r="X37" s="65"/>
      <c r="Y37" s="65"/>
      <c r="Z37" s="65"/>
      <c r="AA37" s="65"/>
      <c r="AB37" s="65"/>
      <c r="AC37" s="65"/>
      <c r="AD37" s="65"/>
      <c r="AE37" s="65"/>
      <c r="AF37" s="65"/>
      <c r="AG37" s="65"/>
      <c r="AH37" s="65"/>
      <c r="AI37" s="65"/>
      <c r="AJ37" s="65"/>
    </row>
    <row r="38" spans="3:36" x14ac:dyDescent="0.25">
      <c r="C38" s="137"/>
      <c r="D38" s="110"/>
      <c r="G38" s="65"/>
      <c r="H38" s="52"/>
      <c r="J38" s="65"/>
      <c r="K38" s="65"/>
      <c r="M38" s="138"/>
      <c r="T38" s="65"/>
      <c r="U38" s="65"/>
      <c r="V38" s="65"/>
      <c r="W38" s="65"/>
      <c r="X38" s="65"/>
      <c r="Y38" s="65"/>
      <c r="Z38" s="65"/>
      <c r="AA38" s="65"/>
      <c r="AB38" s="65"/>
      <c r="AC38" s="65"/>
      <c r="AD38" s="65"/>
      <c r="AE38" s="65"/>
      <c r="AF38" s="65"/>
      <c r="AG38" s="65"/>
      <c r="AH38" s="65"/>
      <c r="AI38" s="65"/>
      <c r="AJ38" s="65"/>
    </row>
    <row r="39" spans="3:36" x14ac:dyDescent="0.25">
      <c r="C39" s="137"/>
      <c r="D39" s="110"/>
      <c r="G39" s="65"/>
      <c r="H39" s="52"/>
      <c r="J39" s="65"/>
      <c r="K39" s="65"/>
      <c r="M39" s="138"/>
      <c r="T39" s="65"/>
      <c r="U39" s="65"/>
      <c r="V39" s="65"/>
      <c r="W39" s="65"/>
      <c r="X39" s="65"/>
      <c r="Y39" s="65"/>
      <c r="Z39" s="65"/>
      <c r="AA39" s="65"/>
      <c r="AB39" s="65"/>
      <c r="AC39" s="65"/>
      <c r="AD39" s="65"/>
      <c r="AE39" s="65"/>
      <c r="AF39" s="65"/>
      <c r="AG39" s="65"/>
      <c r="AH39" s="65"/>
      <c r="AI39" s="65"/>
      <c r="AJ39" s="65"/>
    </row>
    <row r="40" spans="3:36" x14ac:dyDescent="0.25">
      <c r="C40" s="137"/>
      <c r="D40" s="110"/>
      <c r="G40" s="65"/>
      <c r="H40" s="52"/>
      <c r="J40" s="65"/>
      <c r="K40" s="65"/>
      <c r="M40" s="138"/>
      <c r="T40" s="65"/>
      <c r="U40" s="65"/>
      <c r="V40" s="65"/>
      <c r="W40" s="65"/>
      <c r="X40" s="65"/>
      <c r="Y40" s="65"/>
      <c r="Z40" s="65"/>
      <c r="AA40" s="65"/>
      <c r="AB40" s="65"/>
      <c r="AC40" s="65"/>
      <c r="AD40" s="65"/>
      <c r="AE40" s="65"/>
      <c r="AF40" s="65"/>
      <c r="AG40" s="65"/>
      <c r="AH40" s="65"/>
      <c r="AI40" s="65"/>
      <c r="AJ40" s="65"/>
    </row>
    <row r="41" spans="3:36" x14ac:dyDescent="0.25">
      <c r="C41" s="137"/>
      <c r="D41" s="110"/>
      <c r="G41" s="65"/>
      <c r="H41" s="52"/>
      <c r="J41" s="65"/>
      <c r="K41" s="65"/>
      <c r="M41" s="138"/>
      <c r="T41" s="65"/>
      <c r="U41" s="65"/>
      <c r="V41" s="65"/>
      <c r="W41" s="65"/>
      <c r="X41" s="65"/>
      <c r="Y41" s="65"/>
      <c r="Z41" s="65"/>
      <c r="AA41" s="65"/>
      <c r="AB41" s="65"/>
      <c r="AC41" s="65"/>
      <c r="AD41" s="65"/>
      <c r="AE41" s="65"/>
      <c r="AF41" s="65"/>
      <c r="AG41" s="65"/>
      <c r="AH41" s="65"/>
      <c r="AI41" s="65"/>
      <c r="AJ41" s="65"/>
    </row>
    <row r="42" spans="3:36" x14ac:dyDescent="0.25">
      <c r="C42" s="137"/>
      <c r="D42" s="110"/>
      <c r="G42" s="65"/>
      <c r="H42" s="52"/>
      <c r="J42" s="65"/>
      <c r="K42" s="65"/>
      <c r="M42" s="138"/>
      <c r="T42" s="65"/>
      <c r="U42" s="65"/>
      <c r="V42" s="65"/>
      <c r="W42" s="65"/>
      <c r="X42" s="65"/>
      <c r="Y42" s="65"/>
      <c r="Z42" s="65"/>
      <c r="AA42" s="65"/>
      <c r="AB42" s="65"/>
      <c r="AC42" s="65"/>
      <c r="AD42" s="65"/>
      <c r="AE42" s="65"/>
      <c r="AF42" s="65"/>
      <c r="AG42" s="65"/>
      <c r="AH42" s="65"/>
      <c r="AI42" s="65"/>
      <c r="AJ42" s="65"/>
    </row>
    <row r="43" spans="3:36" x14ac:dyDescent="0.25">
      <c r="C43" s="137"/>
      <c r="D43" s="110"/>
      <c r="G43" s="65"/>
      <c r="H43" s="52"/>
      <c r="J43" s="65"/>
      <c r="K43" s="65"/>
      <c r="M43" s="138"/>
      <c r="T43" s="65"/>
      <c r="U43" s="65"/>
      <c r="V43" s="65"/>
      <c r="W43" s="65"/>
      <c r="X43" s="65"/>
      <c r="Y43" s="65"/>
      <c r="Z43" s="65"/>
      <c r="AA43" s="65"/>
      <c r="AB43" s="65"/>
      <c r="AC43" s="65"/>
      <c r="AD43" s="65"/>
      <c r="AE43" s="65"/>
      <c r="AF43" s="65"/>
      <c r="AG43" s="65"/>
      <c r="AH43" s="65"/>
      <c r="AI43" s="65"/>
      <c r="AJ43" s="65"/>
    </row>
    <row r="44" spans="3:36" x14ac:dyDescent="0.25">
      <c r="C44" s="137"/>
      <c r="D44" s="110"/>
      <c r="G44" s="65"/>
      <c r="H44" s="52"/>
      <c r="J44" s="65"/>
      <c r="K44" s="65"/>
      <c r="M44" s="138"/>
      <c r="T44" s="65"/>
      <c r="U44" s="65"/>
      <c r="V44" s="65"/>
      <c r="W44" s="65"/>
      <c r="X44" s="65"/>
      <c r="Y44" s="65"/>
      <c r="Z44" s="65"/>
      <c r="AA44" s="65"/>
      <c r="AB44" s="65"/>
      <c r="AC44" s="65"/>
      <c r="AD44" s="65"/>
      <c r="AE44" s="65"/>
      <c r="AF44" s="65"/>
      <c r="AG44" s="65"/>
      <c r="AH44" s="65"/>
      <c r="AI44" s="65"/>
      <c r="AJ44" s="65"/>
    </row>
    <row r="45" spans="3:36" x14ac:dyDescent="0.25">
      <c r="C45" s="137"/>
      <c r="D45" s="110"/>
      <c r="G45" s="65"/>
      <c r="H45" s="52"/>
      <c r="J45" s="65"/>
      <c r="K45" s="65"/>
      <c r="M45" s="138"/>
      <c r="T45" s="65"/>
      <c r="U45" s="65"/>
      <c r="V45" s="65"/>
      <c r="W45" s="65"/>
      <c r="X45" s="65"/>
      <c r="Y45" s="65"/>
      <c r="Z45" s="65"/>
      <c r="AA45" s="65"/>
      <c r="AB45" s="65"/>
      <c r="AC45" s="65"/>
      <c r="AD45" s="65"/>
      <c r="AE45" s="65"/>
      <c r="AF45" s="65"/>
      <c r="AG45" s="65"/>
      <c r="AH45" s="65"/>
      <c r="AI45" s="65"/>
      <c r="AJ45" s="65"/>
    </row>
    <row r="46" spans="3:36" x14ac:dyDescent="0.25">
      <c r="C46" s="137"/>
      <c r="D46" s="110"/>
      <c r="G46" s="65"/>
      <c r="H46" s="52"/>
      <c r="J46" s="65"/>
      <c r="K46" s="65"/>
      <c r="M46" s="138"/>
      <c r="T46" s="65"/>
      <c r="U46" s="65"/>
      <c r="V46" s="65"/>
      <c r="W46" s="65"/>
      <c r="X46" s="65"/>
      <c r="Y46" s="65"/>
      <c r="Z46" s="65"/>
      <c r="AA46" s="65"/>
      <c r="AB46" s="65"/>
      <c r="AC46" s="65"/>
      <c r="AD46" s="65"/>
      <c r="AE46" s="65"/>
      <c r="AF46" s="65"/>
      <c r="AG46" s="65"/>
      <c r="AH46" s="65"/>
      <c r="AI46" s="65"/>
      <c r="AJ46" s="65"/>
    </row>
    <row r="47" spans="3:36" x14ac:dyDescent="0.25">
      <c r="C47" s="137"/>
      <c r="D47" s="110"/>
      <c r="G47" s="65"/>
      <c r="H47" s="52"/>
      <c r="J47" s="65"/>
      <c r="K47" s="65"/>
      <c r="M47" s="138"/>
      <c r="T47" s="65"/>
      <c r="U47" s="65"/>
      <c r="V47" s="65"/>
      <c r="W47" s="65"/>
      <c r="X47" s="65"/>
      <c r="Y47" s="65"/>
      <c r="Z47" s="65"/>
      <c r="AA47" s="65"/>
      <c r="AB47" s="65"/>
      <c r="AC47" s="65"/>
      <c r="AD47" s="65"/>
      <c r="AE47" s="65"/>
      <c r="AF47" s="65"/>
      <c r="AG47" s="65"/>
      <c r="AH47" s="65"/>
      <c r="AI47" s="65"/>
      <c r="AJ47" s="65"/>
    </row>
    <row r="48" spans="3:36" x14ac:dyDescent="0.25">
      <c r="C48" s="137"/>
      <c r="D48" s="110"/>
      <c r="G48" s="65"/>
      <c r="H48" s="52"/>
      <c r="J48" s="65"/>
      <c r="K48" s="65"/>
      <c r="M48" s="138"/>
      <c r="T48" s="65"/>
      <c r="U48" s="65"/>
      <c r="V48" s="65"/>
      <c r="W48" s="65"/>
      <c r="X48" s="65"/>
      <c r="Y48" s="65"/>
      <c r="Z48" s="65"/>
      <c r="AA48" s="65"/>
      <c r="AB48" s="65"/>
      <c r="AC48" s="65"/>
      <c r="AD48" s="65"/>
      <c r="AE48" s="65"/>
      <c r="AF48" s="65"/>
      <c r="AG48" s="65"/>
      <c r="AH48" s="65"/>
      <c r="AI48" s="65"/>
      <c r="AJ48" s="65"/>
    </row>
    <row r="49" spans="3:36" x14ac:dyDescent="0.25">
      <c r="C49" s="137"/>
      <c r="D49" s="110"/>
      <c r="G49" s="65"/>
      <c r="H49" s="52"/>
      <c r="J49" s="65"/>
      <c r="K49" s="65"/>
      <c r="M49" s="138"/>
      <c r="T49" s="65"/>
      <c r="U49" s="65"/>
      <c r="V49" s="65"/>
      <c r="W49" s="65"/>
      <c r="X49" s="65"/>
      <c r="Y49" s="65"/>
      <c r="Z49" s="65"/>
      <c r="AA49" s="65"/>
      <c r="AB49" s="65"/>
      <c r="AC49" s="65"/>
      <c r="AD49" s="65"/>
      <c r="AE49" s="65"/>
      <c r="AF49" s="65"/>
      <c r="AG49" s="65"/>
      <c r="AH49" s="65"/>
      <c r="AI49" s="65"/>
      <c r="AJ49" s="65"/>
    </row>
    <row r="50" spans="3:36" x14ac:dyDescent="0.25">
      <c r="C50" s="137"/>
      <c r="D50" s="110"/>
      <c r="G50" s="65"/>
      <c r="H50" s="52"/>
      <c r="J50" s="65"/>
      <c r="K50" s="65"/>
      <c r="M50" s="138"/>
      <c r="T50" s="65"/>
      <c r="U50" s="65"/>
      <c r="V50" s="65"/>
      <c r="W50" s="65"/>
      <c r="X50" s="65"/>
      <c r="Y50" s="65"/>
      <c r="Z50" s="65"/>
      <c r="AA50" s="65"/>
      <c r="AB50" s="65"/>
      <c r="AC50" s="65"/>
      <c r="AD50" s="65"/>
      <c r="AE50" s="65"/>
      <c r="AF50" s="65"/>
      <c r="AG50" s="65"/>
      <c r="AH50" s="65"/>
      <c r="AI50" s="65"/>
      <c r="AJ50" s="65"/>
    </row>
    <row r="51" spans="3:36" x14ac:dyDescent="0.25">
      <c r="C51" s="137"/>
      <c r="D51" s="110"/>
      <c r="G51" s="65"/>
      <c r="H51" s="52"/>
      <c r="J51" s="65"/>
      <c r="K51" s="65"/>
      <c r="M51" s="138"/>
      <c r="T51" s="65"/>
      <c r="U51" s="65"/>
      <c r="V51" s="65"/>
      <c r="W51" s="65"/>
      <c r="X51" s="65"/>
      <c r="Y51" s="65"/>
      <c r="Z51" s="65"/>
      <c r="AA51" s="65"/>
      <c r="AB51" s="65"/>
      <c r="AC51" s="65"/>
      <c r="AD51" s="65"/>
      <c r="AE51" s="65"/>
      <c r="AF51" s="65"/>
      <c r="AG51" s="65"/>
      <c r="AH51" s="65"/>
      <c r="AI51" s="65"/>
      <c r="AJ51" s="65"/>
    </row>
    <row r="52" spans="3:36" x14ac:dyDescent="0.25">
      <c r="C52" s="137"/>
      <c r="D52" s="110"/>
      <c r="G52" s="65"/>
      <c r="H52" s="52"/>
      <c r="J52" s="65"/>
      <c r="K52" s="65"/>
      <c r="M52" s="138"/>
      <c r="T52" s="65"/>
      <c r="U52" s="65"/>
      <c r="V52" s="65"/>
      <c r="W52" s="65"/>
      <c r="X52" s="65"/>
      <c r="Y52" s="65"/>
      <c r="Z52" s="65"/>
      <c r="AA52" s="65"/>
      <c r="AB52" s="65"/>
      <c r="AC52" s="65"/>
      <c r="AD52" s="65"/>
      <c r="AE52" s="65"/>
      <c r="AF52" s="65"/>
      <c r="AG52" s="65"/>
      <c r="AH52" s="65"/>
      <c r="AI52" s="65"/>
      <c r="AJ52" s="65"/>
    </row>
    <row r="53" spans="3:36" x14ac:dyDescent="0.25">
      <c r="C53" s="137"/>
      <c r="D53" s="110"/>
      <c r="G53" s="65"/>
      <c r="H53" s="52"/>
      <c r="J53" s="65"/>
      <c r="K53" s="65"/>
      <c r="M53" s="138"/>
      <c r="T53" s="65"/>
      <c r="U53" s="65"/>
      <c r="V53" s="65"/>
      <c r="W53" s="65"/>
      <c r="X53" s="65"/>
      <c r="Y53" s="65"/>
      <c r="Z53" s="65"/>
      <c r="AA53" s="65"/>
      <c r="AB53" s="65"/>
      <c r="AC53" s="65"/>
      <c r="AD53" s="65"/>
      <c r="AE53" s="65"/>
      <c r="AF53" s="65"/>
      <c r="AG53" s="65"/>
      <c r="AH53" s="65"/>
      <c r="AI53" s="65"/>
      <c r="AJ53" s="65"/>
    </row>
    <row r="54" spans="3:36" x14ac:dyDescent="0.25">
      <c r="C54" s="137"/>
      <c r="D54" s="110"/>
      <c r="G54" s="65"/>
      <c r="H54" s="52"/>
      <c r="J54" s="65"/>
      <c r="K54" s="65"/>
      <c r="M54" s="138"/>
      <c r="T54" s="65"/>
      <c r="U54" s="65"/>
      <c r="V54" s="65"/>
      <c r="W54" s="65"/>
      <c r="X54" s="65"/>
      <c r="Y54" s="65"/>
      <c r="Z54" s="65"/>
      <c r="AA54" s="65"/>
      <c r="AB54" s="65"/>
      <c r="AC54" s="65"/>
      <c r="AD54" s="65"/>
      <c r="AE54" s="65"/>
      <c r="AF54" s="65"/>
      <c r="AG54" s="65"/>
      <c r="AH54" s="65"/>
      <c r="AI54" s="65"/>
      <c r="AJ54" s="65"/>
    </row>
    <row r="55" spans="3:36" x14ac:dyDescent="0.25">
      <c r="C55" s="137"/>
      <c r="D55" s="110"/>
      <c r="G55" s="65"/>
      <c r="H55" s="52"/>
      <c r="J55" s="65"/>
      <c r="K55" s="65"/>
      <c r="M55" s="138"/>
      <c r="T55" s="65"/>
      <c r="U55" s="65"/>
      <c r="V55" s="65"/>
      <c r="W55" s="65"/>
      <c r="X55" s="65"/>
      <c r="Y55" s="65"/>
      <c r="Z55" s="65"/>
      <c r="AA55" s="65"/>
      <c r="AB55" s="65"/>
      <c r="AC55" s="65"/>
      <c r="AD55" s="65"/>
      <c r="AE55" s="65"/>
      <c r="AF55" s="65"/>
      <c r="AG55" s="65"/>
      <c r="AH55" s="65"/>
      <c r="AI55" s="65"/>
      <c r="AJ55" s="65"/>
    </row>
    <row r="56" spans="3:36" x14ac:dyDescent="0.25">
      <c r="C56" s="137"/>
      <c r="D56" s="110"/>
      <c r="G56" s="65"/>
      <c r="H56" s="52"/>
      <c r="J56" s="65"/>
      <c r="K56" s="65"/>
      <c r="M56" s="138"/>
      <c r="T56" s="65"/>
      <c r="U56" s="65"/>
      <c r="V56" s="65"/>
      <c r="W56" s="65"/>
      <c r="X56" s="65"/>
      <c r="Y56" s="65"/>
      <c r="Z56" s="65"/>
      <c r="AA56" s="65"/>
      <c r="AB56" s="65"/>
      <c r="AC56" s="65"/>
      <c r="AD56" s="65"/>
      <c r="AE56" s="65"/>
      <c r="AF56" s="65"/>
      <c r="AG56" s="65"/>
      <c r="AH56" s="65"/>
      <c r="AI56" s="65"/>
      <c r="AJ56" s="65"/>
    </row>
    <row r="57" spans="3:36" x14ac:dyDescent="0.25">
      <c r="C57" s="137"/>
      <c r="D57" s="110"/>
      <c r="G57" s="65"/>
      <c r="H57" s="52"/>
      <c r="J57" s="65"/>
      <c r="K57" s="65"/>
      <c r="M57" s="138"/>
      <c r="T57" s="65"/>
      <c r="U57" s="65"/>
      <c r="V57" s="65"/>
      <c r="W57" s="65"/>
      <c r="X57" s="65"/>
      <c r="Y57" s="65"/>
      <c r="Z57" s="65"/>
      <c r="AA57" s="65"/>
      <c r="AB57" s="65"/>
      <c r="AC57" s="65"/>
      <c r="AD57" s="65"/>
      <c r="AE57" s="65"/>
      <c r="AF57" s="65"/>
      <c r="AG57" s="65"/>
      <c r="AH57" s="65"/>
      <c r="AI57" s="65"/>
      <c r="AJ57" s="65"/>
    </row>
    <row r="58" spans="3:36" x14ac:dyDescent="0.25">
      <c r="C58" s="137"/>
      <c r="D58" s="110"/>
      <c r="G58" s="65"/>
      <c r="H58" s="52"/>
      <c r="J58" s="65"/>
      <c r="K58" s="65"/>
      <c r="M58" s="138"/>
      <c r="T58" s="65"/>
      <c r="U58" s="65"/>
      <c r="V58" s="65"/>
      <c r="W58" s="65"/>
      <c r="X58" s="65"/>
      <c r="Y58" s="65"/>
      <c r="Z58" s="65"/>
      <c r="AA58" s="65"/>
      <c r="AB58" s="65"/>
      <c r="AC58" s="65"/>
      <c r="AD58" s="65"/>
      <c r="AE58" s="65"/>
      <c r="AF58" s="65"/>
      <c r="AG58" s="65"/>
      <c r="AH58" s="65"/>
      <c r="AI58" s="65"/>
      <c r="AJ58" s="65"/>
    </row>
    <row r="59" spans="3:36" x14ac:dyDescent="0.25">
      <c r="C59" s="137"/>
      <c r="D59" s="110"/>
      <c r="G59" s="65"/>
      <c r="H59" s="52"/>
      <c r="J59" s="65"/>
      <c r="K59" s="65"/>
      <c r="M59" s="138"/>
      <c r="T59" s="65"/>
      <c r="U59" s="65"/>
      <c r="V59" s="65"/>
      <c r="W59" s="65"/>
      <c r="X59" s="65"/>
      <c r="Y59" s="65"/>
      <c r="Z59" s="65"/>
      <c r="AA59" s="65"/>
      <c r="AB59" s="65"/>
      <c r="AC59" s="65"/>
      <c r="AD59" s="65"/>
      <c r="AE59" s="65"/>
      <c r="AF59" s="65"/>
      <c r="AG59" s="65"/>
      <c r="AH59" s="65"/>
      <c r="AI59" s="65"/>
      <c r="AJ59" s="65"/>
    </row>
    <row r="60" spans="3:36" x14ac:dyDescent="0.25">
      <c r="C60" s="137"/>
      <c r="D60" s="110"/>
      <c r="G60" s="65"/>
      <c r="H60" s="52"/>
      <c r="J60" s="65"/>
      <c r="K60" s="65"/>
      <c r="M60" s="138"/>
      <c r="T60" s="65"/>
      <c r="U60" s="65"/>
      <c r="V60" s="65"/>
      <c r="W60" s="65"/>
      <c r="X60" s="65"/>
      <c r="Y60" s="65"/>
      <c r="Z60" s="65"/>
      <c r="AA60" s="65"/>
      <c r="AB60" s="65"/>
      <c r="AC60" s="65"/>
      <c r="AD60" s="65"/>
      <c r="AE60" s="65"/>
      <c r="AF60" s="65"/>
      <c r="AG60" s="65"/>
      <c r="AH60" s="65"/>
      <c r="AI60" s="65"/>
      <c r="AJ60" s="65"/>
    </row>
    <row r="61" spans="3:36" x14ac:dyDescent="0.25">
      <c r="C61" s="137"/>
      <c r="D61" s="110"/>
      <c r="G61" s="65"/>
      <c r="H61" s="52"/>
      <c r="J61" s="65"/>
      <c r="K61" s="65"/>
      <c r="M61" s="138"/>
      <c r="T61" s="65"/>
      <c r="U61" s="65"/>
      <c r="V61" s="65"/>
      <c r="W61" s="65"/>
      <c r="X61" s="65"/>
      <c r="Y61" s="65"/>
      <c r="Z61" s="65"/>
      <c r="AA61" s="65"/>
      <c r="AB61" s="65"/>
      <c r="AC61" s="65"/>
      <c r="AD61" s="65"/>
      <c r="AE61" s="65"/>
      <c r="AF61" s="65"/>
      <c r="AG61" s="65"/>
      <c r="AH61" s="65"/>
      <c r="AI61" s="65"/>
      <c r="AJ61" s="65"/>
    </row>
    <row r="62" spans="3:36" x14ac:dyDescent="0.25">
      <c r="C62" s="137"/>
      <c r="D62" s="110"/>
      <c r="G62" s="65"/>
      <c r="H62" s="52"/>
      <c r="J62" s="65"/>
      <c r="K62" s="65"/>
      <c r="M62" s="138"/>
      <c r="T62" s="65"/>
      <c r="U62" s="65"/>
      <c r="V62" s="65"/>
      <c r="W62" s="65"/>
      <c r="X62" s="65"/>
      <c r="Y62" s="65"/>
      <c r="Z62" s="65"/>
      <c r="AA62" s="65"/>
      <c r="AB62" s="65"/>
      <c r="AC62" s="65"/>
      <c r="AD62" s="65"/>
      <c r="AE62" s="65"/>
      <c r="AF62" s="65"/>
      <c r="AG62" s="65"/>
      <c r="AH62" s="65"/>
      <c r="AI62" s="65"/>
      <c r="AJ62" s="65"/>
    </row>
    <row r="63" spans="3:36" x14ac:dyDescent="0.25">
      <c r="C63" s="137"/>
      <c r="D63" s="110"/>
      <c r="G63" s="65"/>
      <c r="H63" s="52"/>
      <c r="J63" s="65"/>
      <c r="K63" s="65"/>
      <c r="M63" s="138"/>
      <c r="T63" s="65"/>
      <c r="U63" s="65"/>
      <c r="V63" s="65"/>
      <c r="W63" s="65"/>
      <c r="X63" s="65"/>
      <c r="Y63" s="65"/>
      <c r="Z63" s="65"/>
      <c r="AA63" s="65"/>
      <c r="AB63" s="65"/>
      <c r="AC63" s="65"/>
      <c r="AD63" s="65"/>
      <c r="AE63" s="65"/>
      <c r="AF63" s="65"/>
      <c r="AG63" s="65"/>
      <c r="AH63" s="65"/>
      <c r="AI63" s="65"/>
      <c r="AJ63" s="65"/>
    </row>
    <row r="64" spans="3:36" x14ac:dyDescent="0.25">
      <c r="C64" s="137"/>
      <c r="D64" s="110"/>
      <c r="G64" s="65"/>
      <c r="H64" s="52"/>
      <c r="J64" s="65"/>
      <c r="K64" s="65"/>
      <c r="M64" s="138"/>
      <c r="T64" s="65"/>
      <c r="U64" s="65"/>
      <c r="V64" s="65"/>
      <c r="W64" s="65"/>
      <c r="X64" s="65"/>
      <c r="Y64" s="65"/>
      <c r="Z64" s="65"/>
      <c r="AA64" s="65"/>
      <c r="AB64" s="65"/>
      <c r="AC64" s="65"/>
      <c r="AD64" s="65"/>
      <c r="AE64" s="65"/>
      <c r="AF64" s="65"/>
      <c r="AG64" s="65"/>
      <c r="AH64" s="65"/>
      <c r="AI64" s="65"/>
      <c r="AJ64" s="65"/>
    </row>
    <row r="65" spans="3:36" x14ac:dyDescent="0.25">
      <c r="C65" s="137"/>
      <c r="D65" s="110"/>
      <c r="G65" s="65"/>
      <c r="H65" s="52"/>
      <c r="J65" s="65"/>
      <c r="K65" s="65"/>
      <c r="M65" s="138"/>
      <c r="T65" s="65"/>
      <c r="U65" s="65"/>
      <c r="V65" s="65"/>
      <c r="W65" s="65"/>
      <c r="X65" s="65"/>
      <c r="Y65" s="65"/>
      <c r="Z65" s="65"/>
      <c r="AA65" s="65"/>
      <c r="AB65" s="65"/>
      <c r="AC65" s="65"/>
      <c r="AD65" s="65"/>
      <c r="AE65" s="65"/>
      <c r="AF65" s="65"/>
      <c r="AG65" s="65"/>
      <c r="AH65" s="65"/>
      <c r="AI65" s="65"/>
      <c r="AJ65" s="65"/>
    </row>
    <row r="66" spans="3:36" x14ac:dyDescent="0.25">
      <c r="C66" s="137"/>
      <c r="D66" s="110"/>
      <c r="G66" s="65"/>
      <c r="H66" s="52"/>
      <c r="J66" s="65"/>
      <c r="K66" s="65"/>
      <c r="M66" s="138"/>
      <c r="T66" s="65"/>
      <c r="U66" s="65"/>
      <c r="V66" s="65"/>
      <c r="W66" s="65"/>
      <c r="X66" s="65"/>
      <c r="Y66" s="65"/>
      <c r="Z66" s="65"/>
      <c r="AA66" s="65"/>
      <c r="AB66" s="65"/>
      <c r="AC66" s="65"/>
      <c r="AD66" s="65"/>
      <c r="AE66" s="65"/>
      <c r="AF66" s="65"/>
      <c r="AG66" s="65"/>
      <c r="AH66" s="65"/>
      <c r="AI66" s="65"/>
      <c r="AJ66" s="65"/>
    </row>
    <row r="67" spans="3:36" x14ac:dyDescent="0.25">
      <c r="C67" s="137"/>
      <c r="D67" s="110"/>
      <c r="G67" s="65"/>
      <c r="H67" s="52"/>
      <c r="J67" s="65"/>
      <c r="K67" s="65"/>
      <c r="M67" s="138"/>
      <c r="T67" s="65"/>
      <c r="U67" s="65"/>
      <c r="V67" s="65"/>
      <c r="W67" s="65"/>
      <c r="X67" s="65"/>
      <c r="Y67" s="65"/>
      <c r="Z67" s="65"/>
      <c r="AA67" s="65"/>
      <c r="AB67" s="65"/>
      <c r="AC67" s="65"/>
      <c r="AD67" s="65"/>
      <c r="AE67" s="65"/>
      <c r="AF67" s="65"/>
      <c r="AG67" s="65"/>
      <c r="AH67" s="65"/>
      <c r="AI67" s="65"/>
      <c r="AJ67" s="65"/>
    </row>
    <row r="68" spans="3:36" x14ac:dyDescent="0.25">
      <c r="C68" s="137"/>
      <c r="D68" s="110"/>
      <c r="G68" s="65"/>
      <c r="H68" s="52"/>
      <c r="J68" s="65"/>
      <c r="K68" s="65"/>
      <c r="M68" s="138"/>
      <c r="T68" s="65"/>
      <c r="U68" s="65"/>
      <c r="V68" s="65"/>
      <c r="W68" s="65"/>
      <c r="X68" s="65"/>
      <c r="Y68" s="65"/>
      <c r="Z68" s="65"/>
      <c r="AA68" s="65"/>
      <c r="AB68" s="65"/>
      <c r="AC68" s="65"/>
      <c r="AD68" s="65"/>
      <c r="AE68" s="65"/>
      <c r="AF68" s="65"/>
      <c r="AG68" s="65"/>
      <c r="AH68" s="65"/>
      <c r="AI68" s="65"/>
      <c r="AJ68" s="65"/>
    </row>
    <row r="69" spans="3:36" x14ac:dyDescent="0.25">
      <c r="C69" s="137"/>
      <c r="D69" s="110"/>
      <c r="G69" s="65"/>
      <c r="H69" s="52"/>
      <c r="J69" s="65"/>
      <c r="K69" s="65"/>
      <c r="M69" s="138"/>
      <c r="T69" s="65"/>
      <c r="U69" s="65"/>
      <c r="V69" s="65"/>
      <c r="W69" s="65"/>
      <c r="X69" s="65"/>
      <c r="Y69" s="65"/>
      <c r="Z69" s="65"/>
      <c r="AA69" s="65"/>
      <c r="AB69" s="65"/>
      <c r="AC69" s="65"/>
      <c r="AD69" s="65"/>
      <c r="AE69" s="65"/>
      <c r="AF69" s="65"/>
      <c r="AG69" s="65"/>
      <c r="AH69" s="65"/>
      <c r="AI69" s="65"/>
      <c r="AJ69" s="65"/>
    </row>
    <row r="70" spans="3:36" x14ac:dyDescent="0.25">
      <c r="C70" s="137"/>
      <c r="D70" s="110"/>
      <c r="G70" s="65"/>
      <c r="H70" s="52"/>
      <c r="J70" s="65"/>
      <c r="K70" s="65"/>
      <c r="M70" s="138"/>
      <c r="T70" s="65"/>
      <c r="U70" s="65"/>
      <c r="V70" s="65"/>
      <c r="W70" s="65"/>
      <c r="X70" s="65"/>
      <c r="Y70" s="65"/>
      <c r="Z70" s="65"/>
      <c r="AA70" s="65"/>
      <c r="AB70" s="65"/>
      <c r="AC70" s="65"/>
      <c r="AD70" s="65"/>
      <c r="AE70" s="65"/>
      <c r="AF70" s="65"/>
      <c r="AG70" s="65"/>
      <c r="AH70" s="65"/>
      <c r="AI70" s="65"/>
      <c r="AJ70" s="65"/>
    </row>
  </sheetData>
  <mergeCells count="2">
    <mergeCell ref="T1:V1"/>
    <mergeCell ref="X1:Y1"/>
  </mergeCells>
  <conditionalFormatting sqref="T4:Z21">
    <cfRule type="cellIs" dxfId="5" priority="57" operator="lessThan">
      <formula>0.2</formula>
    </cfRule>
    <cfRule type="cellIs" dxfId="4" priority="58" operator="greaterThan">
      <formula>0.9</formula>
    </cfRule>
  </conditionalFormatting>
  <conditionalFormatting sqref="I4:I21">
    <cfRule type="cellIs" dxfId="3" priority="20" operator="lessThan">
      <formula>5</formula>
    </cfRule>
    <cfRule type="cellIs" dxfId="2" priority="21" operator="between">
      <formula>5</formula>
      <formula>7</formula>
    </cfRule>
    <cfRule type="cellIs" dxfId="1" priority="22" operator="greaterThan">
      <formula>7</formula>
    </cfRule>
  </conditionalFormatting>
  <conditionalFormatting sqref="M4:S21">
    <cfRule type="cellIs" dxfId="0" priority="4966" operator="greaterThan">
      <formula>8</formula>
    </cfRule>
    <cfRule type="colorScale" priority="4967">
      <colorScale>
        <cfvo type="min"/>
        <cfvo type="max"/>
        <color rgb="FFFFEF9C"/>
        <color rgb="FFFF7128"/>
      </colorScale>
    </cfRule>
  </conditionalFormatting>
  <conditionalFormatting sqref="AD4:AJ21">
    <cfRule type="colorScale" priority="4968">
      <colorScale>
        <cfvo type="min"/>
        <cfvo type="max"/>
        <color rgb="FFFFEF9C"/>
        <color rgb="FF63BE7B"/>
      </colorScale>
    </cfRule>
  </conditionalFormatting>
  <conditionalFormatting sqref="C4:C22">
    <cfRule type="colorScale" priority="4999">
      <colorScale>
        <cfvo type="min"/>
        <cfvo type="max"/>
        <color rgb="FFFFEF9C"/>
        <color rgb="FF63BE7B"/>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Resistencia</vt:lpstr>
      <vt:lpstr>TL_v1</vt:lpstr>
      <vt:lpstr>CA_v1</vt:lpstr>
      <vt:lpstr>Planning_Entrenador</vt:lpstr>
      <vt:lpstr>PLANTILLA</vt:lpstr>
      <vt:lpstr>CAPITAN</vt:lpstr>
      <vt:lpstr>Evaluacion Jugadores</vt:lpstr>
      <vt:lpstr>CambioENTRENADOR</vt:lpstr>
      <vt:lpstr>Rendimiento_ENTRENAMIENTO</vt:lpstr>
      <vt:lpstr>Gomis</vt:lpstr>
      <vt:lpstr>Peñuela</vt:lpstr>
      <vt:lpstr>Minaya</vt:lpstr>
      <vt:lpstr>Cubas</vt:lpstr>
      <vt:lpstr>Riquelme</vt:lpstr>
      <vt:lpstr>Abraldes</vt:lpstr>
      <vt:lpstr>Calculador de Sueldo</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2018-01-22T16:33:47Z</dcterms:modified>
</cp:coreProperties>
</file>