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894BA2D1-D17C-4765-8581-C18990075FAB}" xr6:coauthVersionLast="33" xr6:coauthVersionMax="33" xr10:uidLastSave="{00000000-0000-0000-0000-000000000000}"/>
  <bookViews>
    <workbookView xWindow="240" yWindow="105" windowWidth="14805" windowHeight="8010" activeTab="3" xr2:uid="{00000000-000D-0000-FFFF-FFFF00000000}"/>
  </bookViews>
  <sheets>
    <sheet name="CambioENTRENADOR" sheetId="9" r:id="rId1"/>
    <sheet name="Hall_of_Fame" sheetId="22" r:id="rId2"/>
    <sheet name="CA_Calcutator" sheetId="25" r:id="rId3"/>
    <sheet name="EstudioConversion" sheetId="26" r:id="rId4"/>
    <sheet name="PLANNING" sheetId="24" r:id="rId5"/>
    <sheet name="PLANTILLA" sheetId="1" r:id="rId6"/>
    <sheet name="CAPITAN" sheetId="12" r:id="rId7"/>
    <sheet name="Evaluacion Jugadores" sheetId="3" r:id="rId8"/>
    <sheet name="LAT" sheetId="10" r:id="rId9"/>
  </sheets>
  <calcPr calcId="179017"/>
</workbook>
</file>

<file path=xl/calcChain.xml><?xml version="1.0" encoding="utf-8"?>
<calcChain xmlns="http://schemas.openxmlformats.org/spreadsheetml/2006/main">
  <c r="H18" i="26" l="1"/>
  <c r="F18" i="26"/>
  <c r="H17" i="26"/>
  <c r="F17" i="26"/>
  <c r="H16" i="26"/>
  <c r="H15" i="26"/>
  <c r="H14" i="26"/>
  <c r="H13" i="26"/>
  <c r="H12" i="26"/>
  <c r="H11" i="26"/>
  <c r="E1" i="26"/>
  <c r="D1" i="26"/>
  <c r="H10" i="26"/>
  <c r="H9" i="26"/>
  <c r="H8" i="26"/>
  <c r="H7" i="26"/>
  <c r="H6" i="26"/>
  <c r="H5" i="26"/>
  <c r="F5" i="26"/>
  <c r="F6" i="26"/>
  <c r="F7" i="26"/>
  <c r="F8" i="26"/>
  <c r="F9" i="26"/>
  <c r="F10" i="26"/>
  <c r="F11" i="26"/>
  <c r="F12" i="26"/>
  <c r="F13" i="26"/>
  <c r="F14" i="26"/>
  <c r="F15" i="26"/>
  <c r="F16" i="26"/>
  <c r="H4" i="26"/>
  <c r="F4" i="26"/>
  <c r="H3" i="26"/>
  <c r="F3" i="26"/>
  <c r="F1" i="26" l="1"/>
  <c r="Y9" i="1"/>
  <c r="Y7" i="1"/>
  <c r="Y15" i="1"/>
  <c r="Y11" i="1"/>
  <c r="Y14" i="1"/>
  <c r="Y13" i="1"/>
  <c r="Y8" i="1"/>
  <c r="Y12" i="1"/>
  <c r="P4" i="24"/>
  <c r="Y6" i="1"/>
  <c r="Y4" i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H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H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H10" i="10"/>
  <c r="I10" i="10"/>
  <c r="J10" i="10"/>
  <c r="K10" i="10"/>
  <c r="E11" i="10"/>
  <c r="F11" i="10"/>
  <c r="G11" i="10"/>
  <c r="H11" i="10"/>
  <c r="I11" i="10"/>
  <c r="J11" i="10"/>
  <c r="K11" i="10"/>
  <c r="E12" i="10"/>
  <c r="F12" i="10"/>
  <c r="G12" i="10"/>
  <c r="H12" i="10"/>
  <c r="I12" i="10"/>
  <c r="J12" i="10"/>
  <c r="K12" i="10"/>
  <c r="E13" i="10"/>
  <c r="F13" i="10"/>
  <c r="G13" i="10"/>
  <c r="H13" i="10"/>
  <c r="I13" i="10"/>
  <c r="J13" i="10"/>
  <c r="K13" i="10"/>
  <c r="E14" i="10"/>
  <c r="F14" i="10"/>
  <c r="G14" i="10"/>
  <c r="H14" i="10"/>
  <c r="I14" i="10"/>
  <c r="J14" i="10"/>
  <c r="K14" i="10"/>
  <c r="E15" i="10"/>
  <c r="F15" i="10"/>
  <c r="G15" i="10"/>
  <c r="H15" i="10"/>
  <c r="I15" i="10"/>
  <c r="J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I18" i="10"/>
  <c r="J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C13" i="3" l="1"/>
  <c r="AG13" i="3"/>
  <c r="AJ13" i="3"/>
  <c r="AK13" i="3"/>
  <c r="AL13" i="3"/>
  <c r="AM13" i="3"/>
  <c r="AN13" i="3"/>
  <c r="AS13" i="3"/>
  <c r="AT13" i="3"/>
  <c r="AV13" i="3" s="1"/>
  <c r="AU13" i="3"/>
  <c r="AW13" i="3"/>
  <c r="AY13" i="3" s="1"/>
  <c r="AX13" i="3"/>
  <c r="AZ13" i="3"/>
  <c r="BA13" i="3"/>
  <c r="BB13" i="3"/>
  <c r="BC13" i="3"/>
  <c r="BD13" i="3"/>
  <c r="BE13" i="3"/>
  <c r="BF13" i="3"/>
  <c r="BG13" i="3"/>
  <c r="BH13" i="3"/>
  <c r="BK13" i="3"/>
  <c r="BL13" i="3"/>
  <c r="BM13" i="3"/>
  <c r="BN13" i="3"/>
  <c r="BP13" i="3"/>
  <c r="BQ13" i="3"/>
  <c r="BR13" i="3"/>
  <c r="BT13" i="3"/>
  <c r="BU13" i="3"/>
  <c r="BV13" i="3"/>
  <c r="BW13" i="3"/>
  <c r="BX13" i="3"/>
  <c r="BY13" i="3"/>
  <c r="BZ13" i="3"/>
  <c r="CA13" i="3"/>
  <c r="CB13" i="3"/>
  <c r="CD13" i="3" s="1"/>
  <c r="CC13" i="3"/>
  <c r="CE13" i="3"/>
  <c r="R4" i="3"/>
  <c r="S4" i="3"/>
  <c r="T4" i="3"/>
  <c r="S5" i="3"/>
  <c r="S6" i="3"/>
  <c r="T6" i="3"/>
  <c r="R7" i="3"/>
  <c r="S7" i="3"/>
  <c r="R8" i="3"/>
  <c r="S8" i="3"/>
  <c r="R9" i="3"/>
  <c r="S9" i="3"/>
  <c r="T9" i="3"/>
  <c r="S10" i="3"/>
  <c r="S11" i="3"/>
  <c r="R12" i="3"/>
  <c r="S12" i="3"/>
  <c r="T12" i="3"/>
  <c r="R13" i="3"/>
  <c r="AO13" i="3" s="1"/>
  <c r="S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T19" i="3"/>
  <c r="R20" i="3"/>
  <c r="S20" i="3"/>
  <c r="T20" i="3"/>
  <c r="J4" i="3"/>
  <c r="K4" i="3"/>
  <c r="L4" i="3"/>
  <c r="M4" i="3"/>
  <c r="N4" i="3"/>
  <c r="O4" i="3"/>
  <c r="P4" i="3"/>
  <c r="Q4" i="3"/>
  <c r="J5" i="3"/>
  <c r="K5" i="3"/>
  <c r="L5" i="3"/>
  <c r="R5" i="3" s="1"/>
  <c r="M5" i="3"/>
  <c r="N5" i="3"/>
  <c r="O5" i="3"/>
  <c r="P5" i="3"/>
  <c r="Q5" i="3"/>
  <c r="J6" i="3"/>
  <c r="K6" i="3"/>
  <c r="L6" i="3"/>
  <c r="R6" i="3" s="1"/>
  <c r="M6" i="3"/>
  <c r="N6" i="3"/>
  <c r="O6" i="3"/>
  <c r="P6" i="3"/>
  <c r="Q6" i="3"/>
  <c r="J7" i="3"/>
  <c r="K7" i="3"/>
  <c r="L7" i="3"/>
  <c r="T7" i="3" s="1"/>
  <c r="M7" i="3"/>
  <c r="N7" i="3"/>
  <c r="O7" i="3"/>
  <c r="P7" i="3"/>
  <c r="Q7" i="3"/>
  <c r="J8" i="3"/>
  <c r="K8" i="3"/>
  <c r="L8" i="3"/>
  <c r="T8" i="3" s="1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T10" i="3" s="1"/>
  <c r="M10" i="3"/>
  <c r="N10" i="3"/>
  <c r="O10" i="3"/>
  <c r="P10" i="3"/>
  <c r="Q10" i="3"/>
  <c r="J11" i="3"/>
  <c r="K11" i="3"/>
  <c r="L11" i="3"/>
  <c r="R11" i="3" s="1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W13" i="3" s="1"/>
  <c r="Y13" i="3" s="1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H20" i="3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H10" i="3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/>
  <c r="H18" i="3"/>
  <c r="D3" i="3"/>
  <c r="Q6" i="12"/>
  <c r="R6" i="12"/>
  <c r="S6" i="12"/>
  <c r="P6" i="12"/>
  <c r="O6" i="12"/>
  <c r="Q3" i="12"/>
  <c r="R3" i="12"/>
  <c r="S3" i="12"/>
  <c r="P3" i="12"/>
  <c r="O3" i="12"/>
  <c r="Q5" i="12"/>
  <c r="R5" i="12"/>
  <c r="S5" i="12"/>
  <c r="P5" i="12"/>
  <c r="O5" i="12"/>
  <c r="Q4" i="12"/>
  <c r="R4" i="12"/>
  <c r="S4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P13" i="12"/>
  <c r="O13" i="12"/>
  <c r="P12" i="12"/>
  <c r="O12" i="12"/>
  <c r="P11" i="12"/>
  <c r="O11" i="12"/>
  <c r="P9" i="12"/>
  <c r="O9" i="12"/>
  <c r="P8" i="12"/>
  <c r="O8" i="12"/>
  <c r="P7" i="12"/>
  <c r="O7" i="12"/>
  <c r="A4" i="12"/>
  <c r="B4" i="12"/>
  <c r="C4" i="12"/>
  <c r="G4" i="12" s="1"/>
  <c r="D4" i="12"/>
  <c r="E4" i="12"/>
  <c r="F4" i="12"/>
  <c r="A5" i="12"/>
  <c r="B5" i="12"/>
  <c r="C5" i="12"/>
  <c r="D5" i="12"/>
  <c r="E5" i="12" s="1"/>
  <c r="F5" i="12" s="1"/>
  <c r="G5" i="12"/>
  <c r="H5" i="12"/>
  <c r="A6" i="12"/>
  <c r="B6" i="12"/>
  <c r="C6" i="12"/>
  <c r="D6" i="12"/>
  <c r="E6" i="12"/>
  <c r="I6" i="12" s="1"/>
  <c r="F6" i="12"/>
  <c r="G6" i="12"/>
  <c r="H6" i="12" s="1"/>
  <c r="J6" i="12" s="1"/>
  <c r="A7" i="12"/>
  <c r="B7" i="12"/>
  <c r="C7" i="12"/>
  <c r="G7" i="12" s="1"/>
  <c r="D7" i="12"/>
  <c r="E7" i="12" s="1"/>
  <c r="F7" i="12" s="1"/>
  <c r="A8" i="12"/>
  <c r="B8" i="12"/>
  <c r="C8" i="12"/>
  <c r="G8" i="12" s="1"/>
  <c r="D8" i="12"/>
  <c r="E8" i="12"/>
  <c r="F8" i="12"/>
  <c r="A9" i="12"/>
  <c r="B9" i="12"/>
  <c r="C9" i="12"/>
  <c r="D9" i="12"/>
  <c r="E9" i="12" s="1"/>
  <c r="F9" i="12" s="1"/>
  <c r="G9" i="12"/>
  <c r="I9" i="12" s="1"/>
  <c r="H9" i="12"/>
  <c r="A10" i="12"/>
  <c r="B10" i="12"/>
  <c r="C10" i="12"/>
  <c r="D10" i="12"/>
  <c r="E10" i="12"/>
  <c r="I10" i="12" s="1"/>
  <c r="F10" i="12"/>
  <c r="G10" i="12"/>
  <c r="H10" i="12" s="1"/>
  <c r="J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/>
  <c r="F12" i="12"/>
  <c r="A13" i="12"/>
  <c r="B13" i="12"/>
  <c r="C13" i="12"/>
  <c r="D13" i="12"/>
  <c r="E13" i="12" s="1"/>
  <c r="F13" i="12" s="1"/>
  <c r="G13" i="12"/>
  <c r="I13" i="12" s="1"/>
  <c r="H13" i="12"/>
  <c r="J13" i="12" s="1"/>
  <c r="A14" i="12"/>
  <c r="B14" i="12"/>
  <c r="C14" i="12"/>
  <c r="D14" i="12"/>
  <c r="E14" i="12"/>
  <c r="I14" i="12" s="1"/>
  <c r="F14" i="12"/>
  <c r="G14" i="12"/>
  <c r="H14" i="12" s="1"/>
  <c r="J14" i="12" s="1"/>
  <c r="A15" i="12"/>
  <c r="B15" i="12"/>
  <c r="C15" i="12"/>
  <c r="G15" i="12" s="1"/>
  <c r="D15" i="12"/>
  <c r="E15" i="12" s="1"/>
  <c r="F15" i="12" s="1"/>
  <c r="A16" i="12"/>
  <c r="B16" i="12"/>
  <c r="C16" i="12"/>
  <c r="G16" i="12" s="1"/>
  <c r="D16" i="12"/>
  <c r="E16" i="12"/>
  <c r="F16" i="12"/>
  <c r="A17" i="12"/>
  <c r="B17" i="12"/>
  <c r="C17" i="12"/>
  <c r="D17" i="12"/>
  <c r="E17" i="12" s="1"/>
  <c r="F17" i="12" s="1"/>
  <c r="G17" i="12"/>
  <c r="I17" i="12" s="1"/>
  <c r="H17" i="12"/>
  <c r="J17" i="12" s="1"/>
  <c r="A18" i="12"/>
  <c r="B18" i="12"/>
  <c r="C18" i="12"/>
  <c r="D18" i="12"/>
  <c r="E18" i="12"/>
  <c r="I18" i="12" s="1"/>
  <c r="F18" i="12"/>
  <c r="G18" i="12"/>
  <c r="H18" i="12" s="1"/>
  <c r="J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/>
  <c r="F20" i="12"/>
  <c r="D3" i="12"/>
  <c r="C3" i="12"/>
  <c r="B3" i="12"/>
  <c r="A3" i="12"/>
  <c r="O14" i="25"/>
  <c r="O15" i="25"/>
  <c r="O16" i="25"/>
  <c r="O13" i="25"/>
  <c r="R12" i="25"/>
  <c r="R10" i="3" l="1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J20" i="12" s="1"/>
  <c r="I20" i="12"/>
  <c r="H12" i="12"/>
  <c r="J12" i="12" s="1"/>
  <c r="I12" i="12"/>
  <c r="H15" i="12"/>
  <c r="J15" i="12" s="1"/>
  <c r="I15" i="12"/>
  <c r="J5" i="12"/>
  <c r="I8" i="12"/>
  <c r="H8" i="12"/>
  <c r="J8" i="12" s="1"/>
  <c r="H7" i="12"/>
  <c r="J7" i="12" s="1"/>
  <c r="I7" i="12"/>
  <c r="H11" i="12"/>
  <c r="J11" i="12" s="1"/>
  <c r="I11" i="12"/>
  <c r="H19" i="12"/>
  <c r="J19" i="12" s="1"/>
  <c r="I19" i="12"/>
  <c r="J9" i="12"/>
  <c r="I5" i="12"/>
  <c r="I4" i="12"/>
  <c r="H4" i="12"/>
  <c r="J4" i="12" s="1"/>
  <c r="G30" i="24"/>
  <c r="Y33" i="24"/>
  <c r="Y31" i="24"/>
  <c r="Y28" i="24"/>
  <c r="Y27" i="24"/>
  <c r="Y22" i="24"/>
  <c r="Y14" i="24"/>
  <c r="Y4" i="24"/>
  <c r="Y5" i="24"/>
  <c r="Y6" i="24"/>
  <c r="Y7" i="24"/>
  <c r="Y9" i="24"/>
  <c r="Y10" i="24"/>
  <c r="Y13" i="24"/>
  <c r="Y15" i="24"/>
  <c r="Y3" i="24"/>
  <c r="H14" i="25"/>
  <c r="H15" i="25"/>
  <c r="H16" i="25"/>
  <c r="H17" i="25"/>
  <c r="H13" i="25"/>
  <c r="H6" i="25"/>
  <c r="H5" i="25"/>
  <c r="H4" i="25"/>
  <c r="H3" i="25"/>
  <c r="A3" i="25"/>
  <c r="A4" i="25"/>
  <c r="A5" i="25"/>
  <c r="A6" i="25"/>
  <c r="H2" i="25" s="1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" i="25"/>
  <c r="K1" i="25"/>
  <c r="R1" i="25" s="1"/>
  <c r="O5" i="25" l="1"/>
  <c r="O4" i="25"/>
  <c r="O2" i="25"/>
  <c r="O3" i="25"/>
  <c r="AE19" i="1"/>
  <c r="AE21" i="1"/>
  <c r="AE20" i="1"/>
  <c r="AE18" i="1"/>
  <c r="AE16" i="1"/>
  <c r="AE5" i="1"/>
  <c r="AS8" i="24" l="1"/>
  <c r="AS26" i="24"/>
  <c r="AE10" i="1" l="1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22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S22" i="24"/>
  <c r="T22" i="24"/>
  <c r="U22" i="24"/>
  <c r="O23" i="24"/>
  <c r="Q23" i="24"/>
  <c r="R23" i="24"/>
  <c r="S23" i="24"/>
  <c r="T23" i="24"/>
  <c r="U23" i="24"/>
  <c r="O24" i="24"/>
  <c r="Q24" i="24"/>
  <c r="R24" i="24"/>
  <c r="S24" i="24"/>
  <c r="T24" i="24"/>
  <c r="U24" i="24"/>
  <c r="O25" i="24"/>
  <c r="Q25" i="24"/>
  <c r="R25" i="24"/>
  <c r="S25" i="24"/>
  <c r="T25" i="24"/>
  <c r="U25" i="24"/>
  <c r="O26" i="24"/>
  <c r="R26" i="24"/>
  <c r="T26" i="24"/>
  <c r="U26" i="24"/>
  <c r="O27" i="24"/>
  <c r="Q27" i="24"/>
  <c r="R27" i="24"/>
  <c r="S27" i="24"/>
  <c r="T27" i="24"/>
  <c r="U27" i="24"/>
  <c r="O28" i="24"/>
  <c r="Q28" i="24"/>
  <c r="R28" i="24"/>
  <c r="S28" i="24"/>
  <c r="T28" i="24"/>
  <c r="U28" i="24"/>
  <c r="O29" i="24"/>
  <c r="O30" i="24"/>
  <c r="O31" i="24"/>
  <c r="Q31" i="24"/>
  <c r="R31" i="24"/>
  <c r="S31" i="24"/>
  <c r="T31" i="24"/>
  <c r="U31" i="24"/>
  <c r="O32" i="24"/>
  <c r="Q32" i="24"/>
  <c r="R32" i="24"/>
  <c r="S32" i="24"/>
  <c r="T32" i="24"/>
  <c r="U32" i="24"/>
  <c r="O33" i="24"/>
  <c r="Q33" i="24"/>
  <c r="R33" i="24"/>
  <c r="S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AN4" i="24"/>
  <c r="AO4" i="24"/>
  <c r="AI5" i="24"/>
  <c r="AK5" i="24"/>
  <c r="AL5" i="24"/>
  <c r="AM5" i="24"/>
  <c r="AN5" i="24"/>
  <c r="AO5" i="24"/>
  <c r="AI6" i="24"/>
  <c r="AK6" i="24"/>
  <c r="AL6" i="24"/>
  <c r="AM6" i="24"/>
  <c r="AN6" i="24"/>
  <c r="AO6" i="24"/>
  <c r="AI7" i="24"/>
  <c r="AK7" i="24"/>
  <c r="AL7" i="24"/>
  <c r="AM7" i="24"/>
  <c r="AN7" i="24"/>
  <c r="AO7" i="24"/>
  <c r="AI8" i="24"/>
  <c r="AK8" i="24"/>
  <c r="AL8" i="24"/>
  <c r="AM8" i="24"/>
  <c r="AN8" i="24"/>
  <c r="AO8" i="24"/>
  <c r="AI9" i="24"/>
  <c r="AK9" i="24"/>
  <c r="AL9" i="24"/>
  <c r="AM9" i="24"/>
  <c r="AN9" i="24"/>
  <c r="AO9" i="24"/>
  <c r="AI10" i="24"/>
  <c r="AK10" i="24"/>
  <c r="AL10" i="24"/>
  <c r="AM10" i="24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AN13" i="24"/>
  <c r="AO13" i="24"/>
  <c r="AI14" i="24"/>
  <c r="AK14" i="24"/>
  <c r="AL14" i="24"/>
  <c r="AM14" i="24"/>
  <c r="AN14" i="24"/>
  <c r="AO14" i="24"/>
  <c r="AI15" i="24"/>
  <c r="AK15" i="24"/>
  <c r="AL15" i="24"/>
  <c r="AM15" i="24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AA6" i="1" l="1"/>
  <c r="N19" i="1" l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E21" i="24" s="1"/>
  <c r="Y21" i="24" s="1"/>
  <c r="I2" i="1"/>
  <c r="O2" i="1"/>
  <c r="Q2" i="1"/>
  <c r="V2" i="1"/>
  <c r="T2" i="1"/>
  <c r="N4" i="1"/>
  <c r="I3" i="3" s="1"/>
  <c r="D24" i="24" l="1"/>
  <c r="D25" i="24"/>
  <c r="N7" i="24"/>
  <c r="H7" i="24"/>
  <c r="I7" i="24"/>
  <c r="J7" i="24"/>
  <c r="K7" i="24"/>
  <c r="L7" i="24"/>
  <c r="M7" i="24"/>
  <c r="G7" i="24"/>
  <c r="E7" i="24"/>
  <c r="E25" i="24" s="1"/>
  <c r="Y25" i="24" s="1"/>
  <c r="N20" i="1" l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E24" i="24" s="1"/>
  <c r="Y24" i="24" s="1"/>
  <c r="N7" i="1"/>
  <c r="I6" i="3" s="1"/>
  <c r="AC6" i="3" l="1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V8" i="3"/>
  <c r="U8" i="3"/>
  <c r="AA10" i="1"/>
  <c r="AC26" i="24" l="1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L21" i="1"/>
  <c r="AK21" i="1"/>
  <c r="AJ21" i="1"/>
  <c r="AI21" i="1"/>
  <c r="AH21" i="1"/>
  <c r="AG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E23" i="24" s="1"/>
  <c r="Y23" i="24" s="1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E22" i="24" s="1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33" i="24" s="1"/>
  <c r="E14" i="24"/>
  <c r="E32" i="24" s="1"/>
  <c r="Y32" i="24" s="1"/>
  <c r="E13" i="24"/>
  <c r="E31" i="24" s="1"/>
  <c r="E10" i="24"/>
  <c r="E28" i="24" s="1"/>
  <c r="E9" i="24"/>
  <c r="E27" i="24" s="1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D19" i="25" l="1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H6" i="1"/>
  <c r="B4" i="25"/>
  <c r="I6" i="25" s="1"/>
  <c r="I17" i="25" s="1"/>
  <c r="C4" i="25"/>
  <c r="J6" i="25" s="1"/>
  <c r="J17" i="25" s="1"/>
  <c r="AK6" i="1"/>
  <c r="AN6" i="1"/>
  <c r="AI6" i="1"/>
  <c r="AL6" i="1"/>
  <c r="AJ6" i="1"/>
  <c r="AM6" i="1"/>
  <c r="AG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/>
  <c r="E4" i="25"/>
  <c r="L6" i="25" s="1"/>
  <c r="F4" i="25"/>
  <c r="M6" i="25" s="1"/>
  <c r="AG8" i="1"/>
  <c r="C6" i="25"/>
  <c r="J2" i="25" s="1"/>
  <c r="J13" i="25" s="1"/>
  <c r="B6" i="25"/>
  <c r="I2" i="25" s="1"/>
  <c r="I13" i="25" s="1"/>
  <c r="AM8" i="1"/>
  <c r="AK8" i="1"/>
  <c r="AJ8" i="1"/>
  <c r="AN8" i="1"/>
  <c r="AI8" i="1"/>
  <c r="AH8" i="1"/>
  <c r="AL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G7" i="1"/>
  <c r="AH7" i="1"/>
  <c r="AI7" i="1"/>
  <c r="AJ7" i="1"/>
  <c r="AK7" i="1"/>
  <c r="AL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G19" i="1"/>
  <c r="AH19" i="1"/>
  <c r="AI19" i="1"/>
  <c r="AJ19" i="1"/>
  <c r="AK19" i="1"/>
  <c r="AL19" i="1"/>
  <c r="AM19" i="1"/>
  <c r="AN19" i="1"/>
  <c r="AO19" i="1"/>
  <c r="U19" i="1"/>
  <c r="W19" i="1"/>
  <c r="R19" i="1"/>
  <c r="S19" i="1"/>
  <c r="P19" i="1"/>
  <c r="J19" i="1"/>
  <c r="K19" i="1"/>
  <c r="L19" i="1"/>
  <c r="AP4" i="1"/>
  <c r="AG4" i="1"/>
  <c r="AH4" i="1"/>
  <c r="AI4" i="1"/>
  <c r="AJ4" i="1"/>
  <c r="AK4" i="1"/>
  <c r="AL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G5" i="1"/>
  <c r="AO5" i="1"/>
  <c r="AN5" i="1"/>
  <c r="AM5" i="1"/>
  <c r="AL5" i="1"/>
  <c r="AK5" i="1"/>
  <c r="AJ5" i="1"/>
  <c r="AI5" i="1"/>
  <c r="AH5" i="1"/>
  <c r="AC18" i="1"/>
  <c r="AC15" i="1"/>
  <c r="L15" i="24" s="1"/>
  <c r="AF15" i="24" s="1"/>
  <c r="L33" i="24" s="1"/>
  <c r="AC14" i="1"/>
  <c r="L13" i="24" s="1"/>
  <c r="AF13" i="24" s="1"/>
  <c r="L31" i="24" s="1"/>
  <c r="AC10" i="1"/>
  <c r="AC11" i="1"/>
  <c r="L9" i="24" s="1"/>
  <c r="AF9" i="24" s="1"/>
  <c r="L27" i="24" s="1"/>
  <c r="AC13" i="1"/>
  <c r="L10" i="24" s="1"/>
  <c r="AF10" i="24" s="1"/>
  <c r="L28" i="24" s="1"/>
  <c r="AC12" i="1"/>
  <c r="L14" i="24" s="1"/>
  <c r="AF14" i="24" s="1"/>
  <c r="L32" i="24" s="1"/>
  <c r="E17" i="25" l="1"/>
  <c r="F17" i="25"/>
  <c r="D3" i="25"/>
  <c r="F3" i="25" s="1"/>
  <c r="AF32" i="24"/>
  <c r="AF31" i="24"/>
  <c r="AF28" i="24"/>
  <c r="AF27" i="24"/>
  <c r="AF33" i="24"/>
  <c r="AI20" i="1"/>
  <c r="AI14" i="1"/>
  <c r="E3" i="25" l="1"/>
  <c r="AB18" i="1"/>
  <c r="AB15" i="1"/>
  <c r="K15" i="24" s="1"/>
  <c r="AE15" i="24" s="1"/>
  <c r="K33" i="24" s="1"/>
  <c r="AB11" i="1"/>
  <c r="K9" i="24" s="1"/>
  <c r="AE9" i="24" s="1"/>
  <c r="K27" i="24" s="1"/>
  <c r="AB13" i="1"/>
  <c r="K10" i="24" s="1"/>
  <c r="AE10" i="24" s="1"/>
  <c r="K28" i="24" s="1"/>
  <c r="N11" i="1" l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J11" i="1"/>
  <c r="AI11" i="1"/>
  <c r="AN11" i="1"/>
  <c r="AM11" i="1"/>
  <c r="AL11" i="1"/>
  <c r="AO11" i="1"/>
  <c r="AH11" i="1"/>
  <c r="AG11" i="1"/>
  <c r="AK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J12" i="1"/>
  <c r="AI12" i="1"/>
  <c r="AN12" i="1"/>
  <c r="AM12" i="1"/>
  <c r="AL12" i="1"/>
  <c r="AO12" i="1"/>
  <c r="AH12" i="1"/>
  <c r="AG12" i="1"/>
  <c r="AK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K14" i="1"/>
  <c r="AJ14" i="1"/>
  <c r="AH14" i="1"/>
  <c r="AG14" i="1"/>
  <c r="AL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L20" i="1"/>
  <c r="AK20" i="1"/>
  <c r="AJ20" i="1"/>
  <c r="AH20" i="1"/>
  <c r="AG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I13" i="1"/>
  <c r="C11" i="25"/>
  <c r="B11" i="25"/>
  <c r="S2" i="1"/>
  <c r="R2" i="1"/>
  <c r="U2" i="1"/>
  <c r="N2" i="1"/>
  <c r="AG9" i="1"/>
  <c r="AK9" i="1"/>
  <c r="AO9" i="1"/>
  <c r="AI9" i="1"/>
  <c r="AM9" i="1"/>
  <c r="AJ9" i="1"/>
  <c r="AN9" i="1"/>
  <c r="AH9" i="1"/>
  <c r="AL9" i="1"/>
  <c r="AL17" i="1"/>
  <c r="AI17" i="1"/>
  <c r="AJ16" i="1"/>
  <c r="AI16" i="1"/>
  <c r="AM10" i="1"/>
  <c r="AI10" i="1"/>
  <c r="AJ18" i="1"/>
  <c r="AI18" i="1"/>
  <c r="AL15" i="1"/>
  <c r="AI15" i="1"/>
  <c r="AN10" i="1"/>
  <c r="AN18" i="1"/>
  <c r="AN15" i="1"/>
  <c r="AN13" i="1"/>
  <c r="AN16" i="1"/>
  <c r="AK10" i="1"/>
  <c r="AM15" i="1"/>
  <c r="AO16" i="1"/>
  <c r="AO17" i="1"/>
  <c r="AH18" i="1"/>
  <c r="AM13" i="1"/>
  <c r="AL10" i="1"/>
  <c r="AH10" i="1"/>
  <c r="AO10" i="1"/>
  <c r="AK18" i="1"/>
  <c r="AK17" i="1"/>
  <c r="AJ15" i="1"/>
  <c r="AH17" i="1"/>
  <c r="AJ17" i="1"/>
  <c r="AH15" i="1"/>
  <c r="AO15" i="1"/>
  <c r="AH16" i="1"/>
  <c r="AJ13" i="1"/>
  <c r="AK16" i="1"/>
  <c r="AJ10" i="1"/>
  <c r="AO18" i="1"/>
  <c r="AN17" i="1"/>
  <c r="AM17" i="1"/>
  <c r="AK15" i="1"/>
  <c r="AG16" i="1"/>
  <c r="AL16" i="1"/>
  <c r="AK13" i="1"/>
  <c r="AO13" i="1"/>
  <c r="AG18" i="1"/>
  <c r="AL18" i="1"/>
  <c r="AM16" i="1"/>
  <c r="AG13" i="1"/>
  <c r="AL13" i="1"/>
  <c r="AM18" i="1"/>
  <c r="AH13" i="1"/>
  <c r="AG10" i="1"/>
  <c r="AG17" i="1"/>
  <c r="AG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G3" i="12"/>
  <c r="P4" i="12" l="1"/>
  <c r="P18" i="12"/>
  <c r="I3" i="12"/>
  <c r="H3" i="12"/>
  <c r="F3" i="12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<sst xmlns="http://schemas.openxmlformats.org/spreadsheetml/2006/main" count="809" uniqueCount="407">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</sst>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13" fillId="16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U76"/>
  <sheetViews>
    <sheetView zoomScale="90" zoomScaleNormal="90" workbookViewId="0">
      <pane ySplit="1" topLeftCell="A2" activePane="bottomLeft" state="frozen"/>
      <selection pane="bottomLeft" activeCell="B37" sqref="B37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150" t="s">
        <v>122</v>
      </c>
      <c r="B1" s="150"/>
      <c r="C1" s="150"/>
      <c r="D1" s="150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151" t="s">
        <v>123</v>
      </c>
      <c r="B2" s="152" t="s">
        <v>124</v>
      </c>
      <c r="C2" s="152" t="s">
        <v>125</v>
      </c>
      <c r="D2" s="152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151"/>
      <c r="B3" s="152"/>
      <c r="C3" s="152"/>
      <c r="D3" s="152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153" t="s">
        <v>257</v>
      </c>
      <c r="H1" s="153"/>
      <c r="J1" s="119" t="s">
        <v>297</v>
      </c>
      <c r="K1" s="153" t="s">
        <v>298</v>
      </c>
      <c r="L1" s="153"/>
      <c r="N1" s="119" t="s">
        <v>297</v>
      </c>
      <c r="O1" s="153" t="s">
        <v>309</v>
      </c>
      <c r="P1" s="153"/>
      <c r="R1" s="119" t="s">
        <v>297</v>
      </c>
      <c r="S1" s="153" t="s">
        <v>328</v>
      </c>
      <c r="T1" s="153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R7" sqref="R7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12.090284033462691</v>
      </c>
      <c r="C2" s="29">
        <f ca="1">PLANTILLA!AB4+PLANTILLA!N4+PLANTILLA!J4</f>
        <v>1.6617126048912623</v>
      </c>
      <c r="D2" s="82">
        <f ca="1">(C2*2+B2)/8</f>
        <v>1.9267136554056519</v>
      </c>
      <c r="E2" s="29">
        <f ca="1">D2*PLANTILLA!R4</f>
        <v>1.2613301669144945</v>
      </c>
      <c r="F2" s="29">
        <f ca="1">D2*PLANTILLA!S4</f>
        <v>1.4546369102487973</v>
      </c>
      <c r="H2" s="32" t="str">
        <f>A6</f>
        <v>Berto Abandero</v>
      </c>
      <c r="I2" s="29">
        <f t="shared" ref="I2:M2" ca="1" si="0">B6</f>
        <v>14.074144338473843</v>
      </c>
      <c r="J2" s="29">
        <f t="shared" ca="1" si="0"/>
        <v>11.619598883928388</v>
      </c>
      <c r="K2" s="82">
        <f ca="1">(J2*2+I2)/8</f>
        <v>4.6641677632913279</v>
      </c>
      <c r="L2" s="32">
        <f t="shared" ca="1" si="0"/>
        <v>3.9419412299132541</v>
      </c>
      <c r="M2" s="32">
        <f t="shared" ca="1" si="0"/>
        <v>4.3145802797940664</v>
      </c>
      <c r="O2" t="str">
        <f>A2</f>
        <v>Cosme Fonteboa</v>
      </c>
      <c r="P2" s="29">
        <f ca="1">I2</f>
        <v>14.074144338473843</v>
      </c>
      <c r="Q2" s="29">
        <f ca="1">J2</f>
        <v>11.619598883928388</v>
      </c>
      <c r="R2" s="82">
        <f ca="1">(Q2*2+P2)/8</f>
        <v>4.6641677632913279</v>
      </c>
      <c r="S2" s="32">
        <f ca="1">E2</f>
        <v>1.2613301669144945</v>
      </c>
      <c r="T2" s="32">
        <f ca="1">F2</f>
        <v>1.4546369102487973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11.96050335518429</v>
      </c>
      <c r="J3" s="29">
        <f t="shared" ca="1" si="2"/>
        <v>10.627170021850956</v>
      </c>
      <c r="K3" s="82">
        <f t="shared" ref="K3:K6" ca="1" si="3">(J3*2+I3)/8</f>
        <v>4.1518554248607753</v>
      </c>
      <c r="L3" s="32">
        <f t="shared" ca="1" si="2"/>
        <v>3.8438712036858118</v>
      </c>
      <c r="M3" s="32">
        <f t="shared" ca="1" si="2"/>
        <v>4.1488887539390156</v>
      </c>
      <c r="O3" t="str">
        <f>A7</f>
        <v>Guillermo Pedrajas</v>
      </c>
      <c r="P3" s="29">
        <f t="shared" ref="P3:P5" ca="1" si="4">I3</f>
        <v>11.96050335518429</v>
      </c>
      <c r="Q3" s="29">
        <f t="shared" ref="Q3:Q5" ca="1" si="5">J3</f>
        <v>10.627170021850956</v>
      </c>
      <c r="R3" s="82">
        <f t="shared" ref="R3:R5" ca="1" si="6">(Q3*2+P3)/8</f>
        <v>4.1518554248607753</v>
      </c>
      <c r="S3" s="32">
        <f ca="1">E7</f>
        <v>3.8438712036858118</v>
      </c>
      <c r="T3" s="32">
        <f ca="1">F7</f>
        <v>4.1488887539390156</v>
      </c>
    </row>
    <row r="4" spans="1:20" x14ac:dyDescent="0.25">
      <c r="A4" t="str">
        <f>PLANTILLA!D6</f>
        <v>Miguel Fernández</v>
      </c>
      <c r="B4" s="29">
        <f ca="1">PLANTILLA!Y6+PLANTILLA!N6+PLANTILLA!J6</f>
        <v>15.937035562607363</v>
      </c>
      <c r="C4" s="29">
        <f ca="1">PLANTILLA!AB6+PLANTILLA!N6+PLANTILLA!J6</f>
        <v>6.3745355626073623</v>
      </c>
      <c r="D4" s="82">
        <f t="shared" ca="1" si="1"/>
        <v>3.5857633359777612</v>
      </c>
      <c r="E4" s="29">
        <f ca="1">D4*PLANTILLA!R6</f>
        <v>2.7105822992372861</v>
      </c>
      <c r="F4" s="29">
        <f ca="1">D4*PLANTILLA!S6</f>
        <v>3.0274910999325448</v>
      </c>
      <c r="H4" t="str">
        <f>A10</f>
        <v>Will Duffill</v>
      </c>
      <c r="I4" s="29">
        <f t="shared" ref="I4:M4" ca="1" si="7">B10</f>
        <v>12.54528476814958</v>
      </c>
      <c r="J4" s="29">
        <f t="shared" ca="1" si="7"/>
        <v>8.8309990538638665</v>
      </c>
      <c r="K4" s="82">
        <f t="shared" ca="1" si="3"/>
        <v>3.7759103594846639</v>
      </c>
      <c r="L4" s="32">
        <f t="shared" ca="1" si="7"/>
        <v>3.1912267057919461</v>
      </c>
      <c r="M4" s="32">
        <f t="shared" ca="1" si="7"/>
        <v>3.4928993128253985</v>
      </c>
      <c r="O4" t="str">
        <f t="shared" ref="O4" si="8">A4</f>
        <v>Miguel Fernández</v>
      </c>
      <c r="P4" s="29">
        <f t="shared" ca="1" si="4"/>
        <v>12.54528476814958</v>
      </c>
      <c r="Q4" s="29">
        <f t="shared" ca="1" si="5"/>
        <v>8.8309990538638665</v>
      </c>
      <c r="R4" s="82">
        <f t="shared" ca="1" si="6"/>
        <v>3.7759103594846639</v>
      </c>
      <c r="S4" s="32">
        <f ca="1">E4</f>
        <v>2.7105822992372861</v>
      </c>
      <c r="T4" s="32">
        <f ca="1">F4</f>
        <v>3.0274910999325448</v>
      </c>
    </row>
    <row r="5" spans="1:20" x14ac:dyDescent="0.25">
      <c r="A5" t="str">
        <f>PLANTILLA!D7</f>
        <v>Iván Real Figueroa</v>
      </c>
      <c r="B5" s="29">
        <f ca="1">PLANTILLA!Y7+PLANTILLA!N7+PLANTILLA!J7</f>
        <v>16.030697008517599</v>
      </c>
      <c r="C5" s="29">
        <f ca="1">PLANTILLA!AB7+PLANTILLA!N7+PLANTILLA!J7</f>
        <v>6.5306970085175982</v>
      </c>
      <c r="D5" s="82">
        <f t="shared" ca="1" si="1"/>
        <v>3.6365113781940996</v>
      </c>
      <c r="E5" s="29">
        <f ca="1">D5*PLANTILLA!R7</f>
        <v>3.0734130636494048</v>
      </c>
      <c r="F5" s="29">
        <f ca="1">D5*PLANTILLA!S7</f>
        <v>3.3639485275570675</v>
      </c>
      <c r="H5" s="32" t="str">
        <f>A5</f>
        <v>Iván Real Figueroa</v>
      </c>
      <c r="I5" s="29">
        <f t="shared" ref="I5:M5" ca="1" si="9">B5</f>
        <v>16.030697008517599</v>
      </c>
      <c r="J5" s="29">
        <f t="shared" ca="1" si="9"/>
        <v>6.5306970085175982</v>
      </c>
      <c r="K5" s="82">
        <f t="shared" ca="1" si="3"/>
        <v>3.6365113781940996</v>
      </c>
      <c r="L5" s="32">
        <f t="shared" ca="1" si="9"/>
        <v>3.0734130636494048</v>
      </c>
      <c r="M5" s="32">
        <f t="shared" ca="1" si="9"/>
        <v>3.3639485275570675</v>
      </c>
      <c r="O5" s="32" t="str">
        <f>H5</f>
        <v>Iván Real Figueroa</v>
      </c>
      <c r="P5" s="29">
        <f t="shared" ca="1" si="4"/>
        <v>16.030697008517599</v>
      </c>
      <c r="Q5" s="29">
        <f t="shared" ca="1" si="5"/>
        <v>6.5306970085175982</v>
      </c>
      <c r="R5" s="82">
        <f t="shared" ca="1" si="6"/>
        <v>3.6365113781940996</v>
      </c>
      <c r="S5" s="32">
        <f ca="1">L5</f>
        <v>3.0734130636494048</v>
      </c>
      <c r="T5" s="32">
        <f ca="1">M5</f>
        <v>3.3639485275570675</v>
      </c>
    </row>
    <row r="6" spans="1:20" x14ac:dyDescent="0.25">
      <c r="A6" t="str">
        <f>PLANTILLA!D8</f>
        <v>Berto Abandero</v>
      </c>
      <c r="B6" s="29">
        <f ca="1">PLANTILLA!Y8+PLANTILLA!N8+PLANTILLA!J8</f>
        <v>14.074144338473843</v>
      </c>
      <c r="C6" s="29">
        <f ca="1">PLANTILLA!AB8+PLANTILLA!N8+PLANTILLA!J8</f>
        <v>11.619598883928388</v>
      </c>
      <c r="D6" s="82">
        <f t="shared" ca="1" si="1"/>
        <v>4.6641677632913279</v>
      </c>
      <c r="E6" s="29">
        <f ca="1">D6*PLANTILLA!R8</f>
        <v>3.9419412299132541</v>
      </c>
      <c r="F6" s="29">
        <f ca="1">D6*PLANTILLA!S8</f>
        <v>4.3145802797940664</v>
      </c>
      <c r="H6" t="str">
        <f>A4</f>
        <v>Miguel Fernández</v>
      </c>
      <c r="I6" s="29">
        <f t="shared" ref="I6:M6" ca="1" si="10">B4</f>
        <v>15.937035562607363</v>
      </c>
      <c r="J6" s="29">
        <f t="shared" ca="1" si="10"/>
        <v>6.3745355626073623</v>
      </c>
      <c r="K6" s="82">
        <f t="shared" ca="1" si="3"/>
        <v>3.5857633359777612</v>
      </c>
      <c r="L6" s="32">
        <f t="shared" ca="1" si="10"/>
        <v>2.7105822992372861</v>
      </c>
      <c r="M6" s="32">
        <f t="shared" ca="1" si="10"/>
        <v>3.0274910999325448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11.96050335518429</v>
      </c>
      <c r="C7" s="29">
        <f ca="1">PLANTILLA!AB9+PLANTILLA!N9+PLANTILLA!J9</f>
        <v>10.627170021850956</v>
      </c>
      <c r="D7" s="82">
        <f t="shared" ca="1" si="1"/>
        <v>4.1518554248607753</v>
      </c>
      <c r="E7" s="29">
        <f ca="1">D7*PLANTILLA!R9</f>
        <v>3.8438712036858118</v>
      </c>
      <c r="F7" s="29">
        <f ca="1">D7*PLANTILLA!S9</f>
        <v>4.1488887539390156</v>
      </c>
      <c r="K7" s="137">
        <f ca="1">SUM(K2:K6)</f>
        <v>19.814208261808631</v>
      </c>
      <c r="L7" s="137">
        <f t="shared" ref="L7:M7" ca="1" si="11">SUM(L2:L6)</f>
        <v>16.761034502277703</v>
      </c>
      <c r="M7" s="137">
        <f t="shared" ca="1" si="11"/>
        <v>18.347807974048091</v>
      </c>
      <c r="N7" s="137"/>
      <c r="O7" s="137"/>
      <c r="P7" s="137"/>
      <c r="Q7" s="137"/>
      <c r="R7" s="137">
        <f ca="1">SUM(R2:R6)</f>
        <v>16.228444925830868</v>
      </c>
      <c r="S7" s="137">
        <f t="shared" ref="S7:T7" ca="1" si="12">SUM(S2:S6)</f>
        <v>10.889196733486997</v>
      </c>
      <c r="T7" s="137">
        <f t="shared" ca="1" si="12"/>
        <v>11.994965291677424</v>
      </c>
    </row>
    <row r="8" spans="1:20" x14ac:dyDescent="0.25">
      <c r="A8" t="str">
        <f>PLANTILLA!D10</f>
        <v>Eckardt Hägerling</v>
      </c>
      <c r="B8" s="29">
        <f ca="1">PLANTILLA!Y10+PLANTILLA!N10+PLANTILLA!J10</f>
        <v>7.4565635744296088</v>
      </c>
      <c r="C8" s="29">
        <f ca="1">PLANTILLA!AB10+PLANTILLA!N10+PLANTILLA!J10</f>
        <v>4.4565635744296088</v>
      </c>
      <c r="D8" s="82">
        <f t="shared" ca="1" si="1"/>
        <v>2.0462113404111033</v>
      </c>
      <c r="E8" s="29">
        <f ca="1">D8*PLANTILLA!R10</f>
        <v>1.7293642204221849</v>
      </c>
      <c r="F8" s="29">
        <f ca="1">D8*PLANTILLA!S10</f>
        <v>1.8928442426776602</v>
      </c>
      <c r="L8" s="64">
        <f ca="1">(K7-L7)/K7</f>
        <v>0.15409012155261539</v>
      </c>
      <c r="M8" s="64">
        <f ca="1">(K7-M7)/K7</f>
        <v>7.4007513617740023E-2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13.483711808959647</v>
      </c>
      <c r="C9" s="29">
        <f ca="1">PLANTILLA!AB11+PLANTILLA!N11+PLANTILLA!J11</f>
        <v>6.0670451422929803</v>
      </c>
      <c r="D9" s="82">
        <f t="shared" ca="1" si="1"/>
        <v>3.2022252616932008</v>
      </c>
      <c r="E9" s="29">
        <f ca="1">D9*PLANTILLA!R11</f>
        <v>3.2022252616932008</v>
      </c>
      <c r="F9" s="29">
        <f ca="1">D9*PLANTILLA!S11</f>
        <v>3.2022252616932008</v>
      </c>
    </row>
    <row r="10" spans="1:20" x14ac:dyDescent="0.25">
      <c r="A10" t="str">
        <f>PLANTILLA!D12</f>
        <v>Will Duffill</v>
      </c>
      <c r="B10" s="29">
        <f ca="1">PLANTILLA!Y12+PLANTILLA!N12+PLANTILLA!J12</f>
        <v>12.54528476814958</v>
      </c>
      <c r="C10" s="29">
        <f ca="1">PLANTILLA!AB12+PLANTILLA!N12+PLANTILLA!J12</f>
        <v>8.8309990538638665</v>
      </c>
      <c r="D10" s="82">
        <f t="shared" ca="1" si="1"/>
        <v>3.7759103594846639</v>
      </c>
      <c r="E10" s="29">
        <f ca="1">D10*PLANTILLA!R12</f>
        <v>3.1912267057919461</v>
      </c>
      <c r="F10" s="29">
        <f ca="1">D10*PLANTILLA!S12</f>
        <v>3.4928993128253985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12.116713339578153</v>
      </c>
      <c r="C11" s="29">
        <f ca="1">PLANTILLA!AB13+PLANTILLA!N13+PLANTILLA!J13</f>
        <v>7.8309990538638683</v>
      </c>
      <c r="D11" s="82">
        <f t="shared" ca="1" si="1"/>
        <v>3.472338930913236</v>
      </c>
      <c r="E11" s="29">
        <f ca="1">D11*PLANTILLA!R13</f>
        <v>2.624841508264089</v>
      </c>
      <c r="F11" s="29">
        <f ca="1">D11*PLANTILLA!S13</f>
        <v>2.9317258904992909</v>
      </c>
    </row>
    <row r="12" spans="1:20" x14ac:dyDescent="0.25">
      <c r="A12" t="str">
        <f>PLANTILLA!D14</f>
        <v>Enrique Cubas</v>
      </c>
      <c r="B12" s="29">
        <f>PLANTILLA!Y14+PLANTILLA!N14+PLANTILLA!J14</f>
        <v>11.183677108908766</v>
      </c>
      <c r="C12" s="29">
        <f>PLANTILLA!AB14+PLANTILLA!N14+PLANTILLA!J14</f>
        <v>8.3836771089087652</v>
      </c>
      <c r="D12" s="82">
        <f t="shared" si="1"/>
        <v>3.4938789158407868</v>
      </c>
      <c r="E12" s="29">
        <f>D12*PLANTILLA!R14</f>
        <v>3.2347033264569309</v>
      </c>
      <c r="F12" s="29">
        <f>D12*PLANTILLA!S14</f>
        <v>3.4913823961109069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11.088460940818237</v>
      </c>
      <c r="C13" s="29">
        <f ca="1">PLANTILLA!AB15+PLANTILLA!N15+PLANTILLA!J15</f>
        <v>6.8027466551039497</v>
      </c>
      <c r="D13" s="82">
        <f t="shared" ca="1" si="1"/>
        <v>3.0867442813782668</v>
      </c>
      <c r="E13" s="29">
        <f ca="1">D13*PLANTILLA!R15</f>
        <v>2.6087750626657598</v>
      </c>
      <c r="F13" s="29">
        <f ca="1">D13*PLANTILLA!S15</f>
        <v>2.8553874305335363</v>
      </c>
      <c r="H13" s="32" t="str">
        <f>H2</f>
        <v>Berto Abandero</v>
      </c>
      <c r="I13" s="29">
        <f ca="1">I2</f>
        <v>14.074144338473843</v>
      </c>
      <c r="J13" s="29">
        <f ca="1">J2</f>
        <v>11.619598883928388</v>
      </c>
      <c r="K13" s="82">
        <f ca="1">(J13*2+I13)/8</f>
        <v>4.6641677632913279</v>
      </c>
      <c r="L13" s="32">
        <f ca="1">K13*(1-$L$8)</f>
        <v>3.9454655857039769</v>
      </c>
      <c r="M13" s="32">
        <f ca="1">K13*(1-$M$8)</f>
        <v>4.3189843040341209</v>
      </c>
      <c r="O13" s="32" t="str">
        <f>H13</f>
        <v>Berto Abandero</v>
      </c>
      <c r="P13" s="32">
        <f t="shared" ref="P13:Q13" ca="1" si="13">I13</f>
        <v>14.074144338473843</v>
      </c>
      <c r="Q13" s="32">
        <f t="shared" ca="1" si="13"/>
        <v>11.619598883928388</v>
      </c>
      <c r="R13" s="82">
        <f ca="1">(Q13*2+P13)/8</f>
        <v>4.6641677632913279</v>
      </c>
      <c r="S13" s="32">
        <f ca="1">L13</f>
        <v>3.9454655857039769</v>
      </c>
      <c r="T13" s="32">
        <f ca="1">M13</f>
        <v>4.3189843040341209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10.917932484505274</v>
      </c>
      <c r="C14" s="29">
        <f ca="1">PLANTILLA!AB16+PLANTILLA!N16+PLANTILLA!J16</f>
        <v>8.9179324845052736</v>
      </c>
      <c r="D14" s="82">
        <f t="shared" ca="1" si="1"/>
        <v>3.5942246816894778</v>
      </c>
      <c r="E14" s="29">
        <f ca="1">D14*PLANTILLA!R16</f>
        <v>3.0376742821801104</v>
      </c>
      <c r="F14" s="29">
        <f ca="1">D14*PLANTILLA!S16</f>
        <v>3.3248312924798005</v>
      </c>
      <c r="H14" s="32" t="str">
        <f t="shared" ref="H14:I17" si="14">H3</f>
        <v>Guillermo Pedrajas</v>
      </c>
      <c r="I14" s="29">
        <f t="shared" ca="1" si="14"/>
        <v>11.96050335518429</v>
      </c>
      <c r="J14" s="29">
        <f t="shared" ref="J14:J17" ca="1" si="15">J3</f>
        <v>10.627170021850956</v>
      </c>
      <c r="K14" s="82">
        <f t="shared" ref="K14:K17" ca="1" si="16">(J14*2+I14)/8</f>
        <v>4.1518554248607753</v>
      </c>
      <c r="L14" s="32">
        <f t="shared" ref="L14:L17" ca="1" si="17">K14*(1-$L$8)</f>
        <v>3.512095517775093</v>
      </c>
      <c r="M14" s="32">
        <f t="shared" ref="M14:M17" ca="1" si="18">K14*(1-$M$8)</f>
        <v>3.8445869279665037</v>
      </c>
      <c r="O14" s="32" t="str">
        <f t="shared" ref="O14:O16" si="19">H14</f>
        <v>Guillermo Pedrajas</v>
      </c>
      <c r="P14" s="32">
        <f t="shared" ref="P14:P16" ca="1" si="20">I14</f>
        <v>11.96050335518429</v>
      </c>
      <c r="Q14" s="32">
        <f t="shared" ref="Q14:Q16" ca="1" si="21">J14</f>
        <v>10.627170021850956</v>
      </c>
      <c r="R14" s="82">
        <f t="shared" ref="R14:R16" ca="1" si="22">(Q14*2+P14)/8</f>
        <v>4.1518554248607753</v>
      </c>
      <c r="S14" s="32">
        <f t="shared" ref="S14:S16" ca="1" si="23">L14</f>
        <v>3.512095517775093</v>
      </c>
      <c r="T14" s="32">
        <f t="shared" ref="T14:T16" ca="1" si="24">M14</f>
        <v>3.8445869279665037</v>
      </c>
    </row>
    <row r="15" spans="1:20" x14ac:dyDescent="0.25">
      <c r="A15" t="str">
        <f>PLANTILLA!D17</f>
        <v>Fabien Fabre</v>
      </c>
      <c r="B15" s="29">
        <f ca="1">PLANTILLA!Y17+PLANTILLA!N17+PLANTILLA!J17</f>
        <v>6.6863571458166131</v>
      </c>
      <c r="C15" s="29">
        <f ca="1">PLANTILLA!AB17+PLANTILLA!N17+PLANTILLA!J17</f>
        <v>5.6863571458166131</v>
      </c>
      <c r="D15" s="82">
        <f t="shared" ca="1" si="1"/>
        <v>2.2573839296812297</v>
      </c>
      <c r="E15" s="29">
        <f ca="1">D15*PLANTILLA!R17</f>
        <v>1.9078376327258697</v>
      </c>
      <c r="F15" s="29">
        <f ca="1">D15*PLANTILLA!S17</f>
        <v>2.0881890792139419</v>
      </c>
      <c r="H15" s="32" t="str">
        <f t="shared" si="14"/>
        <v>Will Duffill</v>
      </c>
      <c r="I15" s="29">
        <f t="shared" ca="1" si="14"/>
        <v>12.54528476814958</v>
      </c>
      <c r="J15" s="29">
        <f t="shared" ca="1" si="15"/>
        <v>8.8309990538638665</v>
      </c>
      <c r="K15" s="82">
        <f t="shared" ca="1" si="16"/>
        <v>3.7759103594846639</v>
      </c>
      <c r="L15" s="32">
        <f t="shared" ca="1" si="17"/>
        <v>3.1940798732198923</v>
      </c>
      <c r="M15" s="32">
        <f t="shared" ca="1" si="18"/>
        <v>3.4964646221357367</v>
      </c>
      <c r="O15" s="32" t="str">
        <f t="shared" si="19"/>
        <v>Will Duffill</v>
      </c>
      <c r="P15" s="32">
        <f t="shared" ca="1" si="20"/>
        <v>12.54528476814958</v>
      </c>
      <c r="Q15" s="32">
        <f t="shared" ca="1" si="21"/>
        <v>8.8309990538638665</v>
      </c>
      <c r="R15" s="82">
        <f t="shared" ca="1" si="22"/>
        <v>3.7759103594846639</v>
      </c>
      <c r="S15" s="32">
        <f t="shared" ca="1" si="23"/>
        <v>3.1940798732198923</v>
      </c>
      <c r="T15" s="32">
        <f t="shared" ca="1" si="24"/>
        <v>3.4964646221357367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5.7805866782293833</v>
      </c>
      <c r="D16" s="82">
        <f t="shared" ca="1" si="1"/>
        <v>2.1364700043360187</v>
      </c>
      <c r="E16" s="29">
        <f ca="1">D16*PLANTILLA!R18</f>
        <v>1.8056467142644386</v>
      </c>
      <c r="F16" s="29">
        <f ca="1">D16*PLANTILLA!S18</f>
        <v>1.9763378628076951</v>
      </c>
      <c r="H16" s="32" t="str">
        <f t="shared" si="14"/>
        <v>Iván Real Figueroa</v>
      </c>
      <c r="I16" s="29">
        <f t="shared" ca="1" si="14"/>
        <v>16.030697008517599</v>
      </c>
      <c r="J16" s="29">
        <f t="shared" ca="1" si="15"/>
        <v>6.5306970085175982</v>
      </c>
      <c r="K16" s="82">
        <f t="shared" ca="1" si="16"/>
        <v>3.6365113781940996</v>
      </c>
      <c r="L16" s="32">
        <f t="shared" ca="1" si="17"/>
        <v>3.076160897900702</v>
      </c>
      <c r="M16" s="32">
        <f t="shared" ca="1" si="18"/>
        <v>3.3673822128513331</v>
      </c>
      <c r="O16" s="32" t="str">
        <f t="shared" si="19"/>
        <v>Iván Real Figueroa</v>
      </c>
      <c r="P16" s="32">
        <f t="shared" ca="1" si="20"/>
        <v>16.030697008517599</v>
      </c>
      <c r="Q16" s="32">
        <f t="shared" ca="1" si="21"/>
        <v>6.5306970085175982</v>
      </c>
      <c r="R16" s="82">
        <f t="shared" ca="1" si="22"/>
        <v>3.6365113781940996</v>
      </c>
      <c r="S16" s="32">
        <f t="shared" ca="1" si="23"/>
        <v>3.076160897900702</v>
      </c>
      <c r="T16" s="32">
        <f t="shared" ca="1" si="24"/>
        <v>3.3673822128513331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6.8597489170957164</v>
      </c>
      <c r="C17" s="29">
        <f ca="1">PLANTILLA!AB19+PLANTILLA!N19+PLANTILLA!J19</f>
        <v>8.8597489170957164</v>
      </c>
      <c r="D17" s="82">
        <f t="shared" ca="1" si="1"/>
        <v>3.0724058439108939</v>
      </c>
      <c r="E17" s="29">
        <f ca="1">D17*PLANTILLA!R19</f>
        <v>2.3225205113285021</v>
      </c>
      <c r="F17" s="29">
        <f ca="1">D17*PLANTILLA!S19</f>
        <v>2.5940589147344273</v>
      </c>
      <c r="H17" s="32" t="str">
        <f t="shared" si="14"/>
        <v>Miguel Fernández</v>
      </c>
      <c r="I17" s="29">
        <f t="shared" ca="1" si="14"/>
        <v>15.937035562607363</v>
      </c>
      <c r="J17" s="29">
        <f t="shared" ca="1" si="15"/>
        <v>6.3745355626073623</v>
      </c>
      <c r="K17" s="82">
        <f t="shared" ca="1" si="16"/>
        <v>3.5857633359777612</v>
      </c>
      <c r="L17" s="32">
        <f t="shared" ca="1" si="17"/>
        <v>3.0332326276780366</v>
      </c>
      <c r="M17" s="32">
        <f t="shared" ca="1" si="18"/>
        <v>3.3203899070603939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7.8394287492016872</v>
      </c>
      <c r="C18" s="29">
        <f ca="1">PLANTILLA!AB20+PLANTILLA!N20+PLANTILLA!J20</f>
        <v>10.839428749201687</v>
      </c>
      <c r="D18" s="82">
        <f t="shared" ca="1" si="1"/>
        <v>3.6897857809506327</v>
      </c>
      <c r="E18" s="29">
        <f ca="1">D18*PLANTILLA!R20</f>
        <v>3.6897857809506327</v>
      </c>
      <c r="F18" s="29">
        <f ca="1">D18*PLANTILLA!S20</f>
        <v>3.6897857809506327</v>
      </c>
      <c r="K18" s="137">
        <f ca="1">SUM(K13:K17)</f>
        <v>19.814208261808631</v>
      </c>
      <c r="L18" s="137">
        <f t="shared" ref="L18:M18" ca="1" si="25">SUM(L13:L17)</f>
        <v>16.761034502277699</v>
      </c>
      <c r="M18" s="137">
        <f t="shared" ca="1" si="25"/>
        <v>18.347807974048088</v>
      </c>
      <c r="N18" s="137"/>
      <c r="O18" s="137"/>
      <c r="P18" s="137"/>
      <c r="Q18" s="137"/>
      <c r="R18" s="137">
        <f ca="1">SUM(R13:R17)</f>
        <v>16.228444925830868</v>
      </c>
      <c r="S18" s="137">
        <f t="shared" ref="S18:T18" ca="1" si="26">SUM(S13:S17)</f>
        <v>13.727801874599663</v>
      </c>
      <c r="T18" s="137">
        <f t="shared" ca="1" si="26"/>
        <v>15.027418066987693</v>
      </c>
    </row>
    <row r="19" spans="1:20" x14ac:dyDescent="0.25">
      <c r="A19" t="str">
        <f>PLANTILLA!D21</f>
        <v>Leo Hilpinen</v>
      </c>
      <c r="B19" s="29">
        <f ca="1">PLANTILLA!Y21+PLANTILLA!N21+PLANTILLA!J21</f>
        <v>6.8014440321197709</v>
      </c>
      <c r="C19" s="29">
        <f ca="1">PLANTILLA!AB21+PLANTILLA!N21+PLANTILLA!J21</f>
        <v>10.80144403211977</v>
      </c>
      <c r="D19" s="82">
        <f t="shared" ca="1" si="1"/>
        <v>3.550541512044914</v>
      </c>
      <c r="E19" s="29">
        <f ca="1">D19*PLANTILLA!R21</f>
        <v>3.2871626969280077</v>
      </c>
      <c r="F19" s="29">
        <f ca="1">D19*PLANTILLA!S21</f>
        <v>3.5480045045669533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18"/>
  <sheetViews>
    <sheetView tabSelected="1" workbookViewId="0">
      <selection activeCell="N13" sqref="N13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107</v>
      </c>
      <c r="E1" s="134">
        <f>SUM(E3:E40)</f>
        <v>38</v>
      </c>
      <c r="F1" s="155">
        <f>E1/D1</f>
        <v>0.35514018691588783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4">
        <v>43642</v>
      </c>
      <c r="B3" s="156" t="s">
        <v>390</v>
      </c>
      <c r="C3" s="134" t="s">
        <v>391</v>
      </c>
      <c r="D3" s="134">
        <v>9</v>
      </c>
      <c r="E3" s="134">
        <v>3</v>
      </c>
      <c r="F3" s="155">
        <f>E3/D3</f>
        <v>0.33333333333333331</v>
      </c>
      <c r="G3" s="134">
        <v>16</v>
      </c>
      <c r="H3" s="34">
        <f>(15+10+14+14+11+10+13+14+13+10+10)/11</f>
        <v>12.181818181818182</v>
      </c>
    </row>
    <row r="4" spans="1:9" x14ac:dyDescent="0.25">
      <c r="A4" s="154">
        <v>43642</v>
      </c>
      <c r="B4" s="134" t="s">
        <v>392</v>
      </c>
      <c r="C4" s="156" t="s">
        <v>390</v>
      </c>
      <c r="D4" s="134">
        <v>7</v>
      </c>
      <c r="E4" s="134">
        <v>1</v>
      </c>
      <c r="F4" s="155">
        <f>E4/D4</f>
        <v>0.14285714285714285</v>
      </c>
      <c r="G4" s="134">
        <v>17</v>
      </c>
      <c r="H4" s="34">
        <f>(15+10+14+14+11+10+13+14+13+10+10)/11</f>
        <v>12.181818181818182</v>
      </c>
    </row>
    <row r="5" spans="1:9" x14ac:dyDescent="0.25">
      <c r="A5" s="154">
        <v>43641</v>
      </c>
      <c r="B5" s="156" t="s">
        <v>390</v>
      </c>
      <c r="C5" s="134" t="s">
        <v>393</v>
      </c>
      <c r="D5" s="134">
        <v>8</v>
      </c>
      <c r="E5" s="134">
        <v>3</v>
      </c>
      <c r="F5" s="155">
        <f t="shared" ref="F5:F18" si="0">E5/D5</f>
        <v>0.375</v>
      </c>
      <c r="G5" s="134">
        <v>17</v>
      </c>
      <c r="H5" s="34">
        <f>(15+10+14+14+11+10+13+14+13+10+10)/11</f>
        <v>12.181818181818182</v>
      </c>
    </row>
    <row r="6" spans="1:9" x14ac:dyDescent="0.25">
      <c r="A6" s="154">
        <v>43641</v>
      </c>
      <c r="B6" s="134" t="s">
        <v>394</v>
      </c>
      <c r="C6" s="156" t="s">
        <v>390</v>
      </c>
      <c r="D6" s="134">
        <v>6</v>
      </c>
      <c r="E6" s="134">
        <v>2</v>
      </c>
      <c r="F6" s="155">
        <f t="shared" si="0"/>
        <v>0.33333333333333331</v>
      </c>
      <c r="G6" s="134">
        <v>16</v>
      </c>
      <c r="H6" s="34">
        <f>(15+10+14+14+11+10+13+14+13+10+10)/11</f>
        <v>12.181818181818182</v>
      </c>
    </row>
    <row r="7" spans="1:9" x14ac:dyDescent="0.25">
      <c r="A7" s="154">
        <v>43641</v>
      </c>
      <c r="B7" s="156" t="s">
        <v>390</v>
      </c>
      <c r="C7" s="134" t="s">
        <v>395</v>
      </c>
      <c r="D7" s="134">
        <v>4</v>
      </c>
      <c r="E7" s="134">
        <v>2</v>
      </c>
      <c r="F7" s="155">
        <f t="shared" si="0"/>
        <v>0.5</v>
      </c>
      <c r="G7" s="134">
        <v>16</v>
      </c>
      <c r="H7" s="34">
        <f>(15+10+14+14+11+10+13+14+13+10+10)/11</f>
        <v>12.181818181818182</v>
      </c>
    </row>
    <row r="8" spans="1:9" x14ac:dyDescent="0.25">
      <c r="A8" s="154">
        <v>43640</v>
      </c>
      <c r="B8" s="134" t="s">
        <v>396</v>
      </c>
      <c r="C8" s="156" t="s">
        <v>390</v>
      </c>
      <c r="D8" s="134">
        <v>3</v>
      </c>
      <c r="E8" s="134">
        <v>2</v>
      </c>
      <c r="F8" s="155">
        <f t="shared" si="0"/>
        <v>0.66666666666666663</v>
      </c>
      <c r="G8" s="134">
        <v>16</v>
      </c>
      <c r="H8" s="34">
        <f>(15+10+14+14+11+10+13+14+13+10+10)/11</f>
        <v>12.181818181818182</v>
      </c>
    </row>
    <row r="9" spans="1:9" x14ac:dyDescent="0.25">
      <c r="A9" s="154">
        <v>43636</v>
      </c>
      <c r="B9" s="134" t="s">
        <v>397</v>
      </c>
      <c r="C9" s="156" t="s">
        <v>390</v>
      </c>
      <c r="D9" s="134">
        <v>8</v>
      </c>
      <c r="E9" s="134">
        <v>3</v>
      </c>
      <c r="F9" s="155">
        <f t="shared" si="0"/>
        <v>0.375</v>
      </c>
      <c r="G9" s="134">
        <v>17</v>
      </c>
      <c r="H9" s="34">
        <f>(15+10+14+14+11+10+13+14+13+10+10)/11</f>
        <v>12.181818181818182</v>
      </c>
    </row>
    <row r="10" spans="1:9" x14ac:dyDescent="0.25">
      <c r="A10" s="154">
        <v>43636</v>
      </c>
      <c r="B10" s="134" t="s">
        <v>398</v>
      </c>
      <c r="C10" s="156" t="s">
        <v>390</v>
      </c>
      <c r="D10" s="134">
        <v>9</v>
      </c>
      <c r="E10" s="134">
        <v>2</v>
      </c>
      <c r="F10" s="155">
        <f t="shared" si="0"/>
        <v>0.22222222222222221</v>
      </c>
      <c r="G10" s="134">
        <v>16</v>
      </c>
      <c r="H10" s="34">
        <f>(15+10+14+14+11+10+13+14+13+10+10)/11</f>
        <v>12.181818181818182</v>
      </c>
    </row>
    <row r="11" spans="1:9" x14ac:dyDescent="0.25">
      <c r="A11" s="154">
        <v>43635</v>
      </c>
      <c r="B11" s="156" t="s">
        <v>390</v>
      </c>
      <c r="C11" s="134" t="s">
        <v>399</v>
      </c>
      <c r="D11" s="134">
        <v>7</v>
      </c>
      <c r="E11" s="134">
        <v>2</v>
      </c>
      <c r="F11" s="155">
        <f t="shared" si="0"/>
        <v>0.2857142857142857</v>
      </c>
      <c r="G11" s="134">
        <v>16</v>
      </c>
      <c r="H11" s="34">
        <f>(15+10+14+14+11+10+13+14+13+10+10)/11</f>
        <v>12.181818181818182</v>
      </c>
    </row>
    <row r="12" spans="1:9" x14ac:dyDescent="0.25">
      <c r="A12" s="154">
        <v>43635</v>
      </c>
      <c r="B12" s="156" t="s">
        <v>390</v>
      </c>
      <c r="C12" s="134" t="s">
        <v>400</v>
      </c>
      <c r="D12" s="134">
        <v>5</v>
      </c>
      <c r="E12" s="134">
        <v>2</v>
      </c>
      <c r="F12" s="155">
        <f t="shared" si="0"/>
        <v>0.4</v>
      </c>
      <c r="G12" s="134">
        <v>16</v>
      </c>
      <c r="H12" s="34">
        <f>(15+10+14+14+11+10+13+14+13+10+10)/11</f>
        <v>12.181818181818182</v>
      </c>
      <c r="I12" s="34"/>
    </row>
    <row r="13" spans="1:9" x14ac:dyDescent="0.25">
      <c r="A13" s="154">
        <v>43634</v>
      </c>
      <c r="B13" s="134" t="s">
        <v>401</v>
      </c>
      <c r="C13" s="156" t="s">
        <v>390</v>
      </c>
      <c r="D13" s="134">
        <v>9</v>
      </c>
      <c r="E13" s="134">
        <v>3</v>
      </c>
      <c r="F13" s="155">
        <f t="shared" si="0"/>
        <v>0.33333333333333331</v>
      </c>
      <c r="G13" s="134">
        <v>16</v>
      </c>
      <c r="H13" s="34">
        <f>(15+10+14+14+11+10+13+14+13+10+10)/11</f>
        <v>12.181818181818182</v>
      </c>
    </row>
    <row r="14" spans="1:9" x14ac:dyDescent="0.25">
      <c r="A14" s="154">
        <v>43634</v>
      </c>
      <c r="B14" s="134" t="s">
        <v>402</v>
      </c>
      <c r="C14" s="156" t="s">
        <v>390</v>
      </c>
      <c r="D14" s="134">
        <v>6</v>
      </c>
      <c r="E14" s="134">
        <v>2</v>
      </c>
      <c r="F14" s="155">
        <f t="shared" si="0"/>
        <v>0.33333333333333331</v>
      </c>
      <c r="G14" s="134">
        <v>16</v>
      </c>
      <c r="H14" s="34">
        <f>(15+10+14+14+11+10+13+14+13+10+10)/11</f>
        <v>12.181818181818182</v>
      </c>
    </row>
    <row r="15" spans="1:9" x14ac:dyDescent="0.25">
      <c r="A15" s="154">
        <v>43633</v>
      </c>
      <c r="B15" s="156" t="s">
        <v>390</v>
      </c>
      <c r="C15" s="134" t="s">
        <v>403</v>
      </c>
      <c r="D15" s="134">
        <v>10</v>
      </c>
      <c r="E15" s="134">
        <v>3</v>
      </c>
      <c r="F15" s="155">
        <f t="shared" si="0"/>
        <v>0.3</v>
      </c>
      <c r="G15" s="134">
        <v>16</v>
      </c>
      <c r="H15" s="34">
        <f>(15+10+14+14+11+10+13+14+13+10+10)/11</f>
        <v>12.181818181818182</v>
      </c>
    </row>
    <row r="16" spans="1:9" x14ac:dyDescent="0.25">
      <c r="A16" s="154">
        <v>43633</v>
      </c>
      <c r="B16" s="156" t="s">
        <v>390</v>
      </c>
      <c r="C16" s="134" t="s">
        <v>404</v>
      </c>
      <c r="D16" s="134">
        <v>7</v>
      </c>
      <c r="E16" s="134">
        <v>3</v>
      </c>
      <c r="F16" s="155">
        <f t="shared" si="0"/>
        <v>0.42857142857142855</v>
      </c>
      <c r="G16" s="134">
        <v>16</v>
      </c>
      <c r="H16" s="34">
        <f>(15+10+14+14+11+10+13+14+13+10+10)/11</f>
        <v>12.181818181818182</v>
      </c>
    </row>
    <row r="17" spans="1:8" x14ac:dyDescent="0.25">
      <c r="A17" s="154">
        <v>43624</v>
      </c>
      <c r="B17" s="156" t="s">
        <v>405</v>
      </c>
      <c r="C17" s="156" t="s">
        <v>390</v>
      </c>
      <c r="D17" s="134">
        <v>4</v>
      </c>
      <c r="E17" s="134">
        <v>2</v>
      </c>
      <c r="F17" s="43">
        <f t="shared" si="0"/>
        <v>0.5</v>
      </c>
      <c r="G17" s="134">
        <v>16</v>
      </c>
      <c r="H17" s="34">
        <f>(15+10+14+14+11+10+13+14+13+10+10)/11</f>
        <v>12.181818181818182</v>
      </c>
    </row>
    <row r="18" spans="1:8" x14ac:dyDescent="0.25">
      <c r="A18" s="154">
        <v>43617</v>
      </c>
      <c r="B18" s="134" t="s">
        <v>406</v>
      </c>
      <c r="C18" s="156" t="s">
        <v>390</v>
      </c>
      <c r="D18" s="134">
        <v>5</v>
      </c>
      <c r="E18" s="134">
        <v>3</v>
      </c>
      <c r="F18" s="43">
        <f t="shared" si="0"/>
        <v>0.6</v>
      </c>
      <c r="G18" s="134">
        <v>16</v>
      </c>
      <c r="H18" s="34">
        <f>(15+10+14+10+11+10+13+14+13+10+12)/11</f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O39" sqref="O39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53</v>
      </c>
      <c r="G3" s="105">
        <f>PLANTILLA!X4</f>
        <v>15</v>
      </c>
      <c r="H3" s="105">
        <f>PLANTILLA!Y4</f>
        <v>10.428571428571429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40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91.5</v>
      </c>
      <c r="X3" t="s">
        <v>28</v>
      </c>
      <c r="Y3" s="17">
        <f>E3+1</f>
        <v>23</v>
      </c>
      <c r="Z3" s="3">
        <f ca="1">F3+(7*$AR$8)-122</f>
        <v>22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50</v>
      </c>
      <c r="G4" s="105">
        <f>PLANTILLA!X6</f>
        <v>0</v>
      </c>
      <c r="H4" s="105">
        <f>PLANTILLA!Y6</f>
        <v>14.5625</v>
      </c>
      <c r="I4" s="105">
        <f>PLANTILLA!Z6</f>
        <v>5</v>
      </c>
      <c r="J4" s="105">
        <f>PLANTILLA!AA6</f>
        <v>5.4</v>
      </c>
      <c r="K4" s="105">
        <f>PLANTILLA!AB6</f>
        <v>5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f>79+9</f>
        <v>88</v>
      </c>
      <c r="Q4" s="121">
        <v>9</v>
      </c>
      <c r="R4" s="89">
        <v>6</v>
      </c>
      <c r="S4" s="89">
        <v>7</v>
      </c>
      <c r="T4" s="89">
        <v>0</v>
      </c>
      <c r="U4" s="89">
        <v>0</v>
      </c>
      <c r="V4" s="128">
        <f t="shared" ref="V4:V13" si="2">SUM(O4:U4)</f>
        <v>110</v>
      </c>
      <c r="X4" t="s">
        <v>31</v>
      </c>
      <c r="Y4" s="17">
        <f t="shared" ref="Y4:Y15" si="3">E4+1</f>
        <v>23</v>
      </c>
      <c r="Z4" s="3">
        <f t="shared" ref="Z4:Z15" ca="1" si="4">F4+(7*$AR$8)-122</f>
        <v>19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5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7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123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81</v>
      </c>
      <c r="G5" s="105">
        <f>PLANTILLA!X8</f>
        <v>0</v>
      </c>
      <c r="H5" s="105">
        <f>PLANTILLA!Y8</f>
        <v>12.454545454545455</v>
      </c>
      <c r="I5" s="105">
        <f>PLANTILLA!Z8</f>
        <v>3</v>
      </c>
      <c r="J5" s="105">
        <f>PLANTILLA!AA8</f>
        <v>7.1999999999999993</v>
      </c>
      <c r="K5" s="105">
        <f>PLANTILLA!AB8</f>
        <v>10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61</v>
      </c>
      <c r="Q5" s="121">
        <v>3</v>
      </c>
      <c r="R5" s="89">
        <v>11.5</v>
      </c>
      <c r="S5" s="89">
        <v>29</v>
      </c>
      <c r="T5" s="89">
        <v>2</v>
      </c>
      <c r="U5" s="89">
        <v>0</v>
      </c>
      <c r="V5" s="128">
        <f>SUM(O5:U5)</f>
        <v>106.5</v>
      </c>
      <c r="X5" t="s">
        <v>32</v>
      </c>
      <c r="Y5" s="17">
        <f t="shared" si="3"/>
        <v>23</v>
      </c>
      <c r="Z5" s="3">
        <f t="shared" ca="1" si="4"/>
        <v>50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29</v>
      </c>
      <c r="AN5" s="123">
        <f t="shared" si="11"/>
        <v>2</v>
      </c>
      <c r="AO5" s="123">
        <f t="shared" si="12"/>
        <v>0</v>
      </c>
      <c r="AP5" s="128">
        <f>SUM(AI5:AO5)</f>
        <v>119.5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31</v>
      </c>
      <c r="G6" s="105">
        <f>PLANTILLA!X7</f>
        <v>0</v>
      </c>
      <c r="H6" s="105">
        <f>PLANTILLA!Y7</f>
        <v>14.5</v>
      </c>
      <c r="I6" s="105">
        <f>PLANTILLA!Z7</f>
        <v>5</v>
      </c>
      <c r="J6" s="105">
        <f>PLANTILLA!AA7</f>
        <v>7</v>
      </c>
      <c r="K6" s="105">
        <f>PLANTILLA!AB7</f>
        <v>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87</v>
      </c>
      <c r="Q6" s="121">
        <v>9</v>
      </c>
      <c r="R6" s="89">
        <v>10.5</v>
      </c>
      <c r="S6" s="89">
        <v>7</v>
      </c>
      <c r="T6" s="89">
        <v>0</v>
      </c>
      <c r="U6" s="89">
        <v>0</v>
      </c>
      <c r="V6" s="128">
        <f>SUM(O6:U6)</f>
        <v>113.5</v>
      </c>
      <c r="X6" t="s">
        <v>38</v>
      </c>
      <c r="Y6" s="17">
        <f t="shared" si="3"/>
        <v>23</v>
      </c>
      <c r="Z6" s="3">
        <f t="shared" ca="1" si="4"/>
        <v>0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7</v>
      </c>
      <c r="AN6" s="123">
        <f t="shared" si="11"/>
        <v>0</v>
      </c>
      <c r="AO6" s="123">
        <f t="shared" si="12"/>
        <v>0</v>
      </c>
      <c r="AP6" s="128">
        <f>SUM(AI6:AO6)</f>
        <v>126.5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66</v>
      </c>
      <c r="G7" s="105">
        <f>PLANTILLA!X9</f>
        <v>0</v>
      </c>
      <c r="H7" s="105">
        <f>PLANTILLA!Y9</f>
        <v>10.333333333333334</v>
      </c>
      <c r="I7" s="105">
        <f>PLANTILLA!Z9</f>
        <v>11</v>
      </c>
      <c r="J7" s="105">
        <f>PLANTILLA!AA9</f>
        <v>4</v>
      </c>
      <c r="K7" s="105">
        <f>PLANTILLA!AB9</f>
        <v>9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40</v>
      </c>
      <c r="Q7" s="121">
        <v>40</v>
      </c>
      <c r="R7" s="89">
        <v>3.5</v>
      </c>
      <c r="S7" s="89">
        <v>23</v>
      </c>
      <c r="T7" s="89">
        <v>5</v>
      </c>
      <c r="U7" s="89">
        <v>0</v>
      </c>
      <c r="V7" s="128">
        <f t="shared" si="2"/>
        <v>111.5</v>
      </c>
      <c r="X7" t="s">
        <v>40</v>
      </c>
      <c r="Y7" s="17">
        <f t="shared" si="3"/>
        <v>23</v>
      </c>
      <c r="Z7" s="3">
        <f t="shared" ca="1" si="4"/>
        <v>35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23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124.5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13</v>
      </c>
      <c r="AS8" s="126">
        <f>AR8/16</f>
        <v>0.8125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46</v>
      </c>
      <c r="G9" s="105">
        <f>PLANTILLA!X11</f>
        <v>0</v>
      </c>
      <c r="H9" s="105">
        <f>PLANTILLA!Y11</f>
        <v>11.666666666666666</v>
      </c>
      <c r="I9" s="105">
        <f>PLANTILLA!Z11</f>
        <v>4</v>
      </c>
      <c r="J9" s="105">
        <f>PLANTILLA!AA11</f>
        <v>12.666666666666666</v>
      </c>
      <c r="K9" s="105">
        <f>PLANTILLA!AB11</f>
        <v>4.25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53</v>
      </c>
      <c r="Q9" s="121">
        <v>6</v>
      </c>
      <c r="R9" s="89">
        <v>40.5</v>
      </c>
      <c r="S9" s="89">
        <v>5</v>
      </c>
      <c r="T9" s="89">
        <v>16</v>
      </c>
      <c r="U9" s="89">
        <v>1</v>
      </c>
      <c r="V9" s="128">
        <f t="shared" si="2"/>
        <v>121.5</v>
      </c>
      <c r="X9" t="s">
        <v>34</v>
      </c>
      <c r="Y9" s="17">
        <f t="shared" si="3"/>
        <v>23</v>
      </c>
      <c r="Z9" s="3">
        <f t="shared" ca="1" si="4"/>
        <v>15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4.25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5</v>
      </c>
      <c r="AN9" s="123">
        <f t="shared" si="11"/>
        <v>16</v>
      </c>
      <c r="AO9" s="123">
        <f t="shared" si="12"/>
        <v>1</v>
      </c>
      <c r="AP9" s="128">
        <f t="shared" si="13"/>
        <v>134.5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46</v>
      </c>
      <c r="G10" s="105">
        <f>PLANTILLA!X13</f>
        <v>0</v>
      </c>
      <c r="H10" s="105">
        <f>PLANTILLA!Y13</f>
        <v>10.285714285714286</v>
      </c>
      <c r="I10" s="105">
        <f>PLANTILLA!Z13</f>
        <v>3</v>
      </c>
      <c r="J10" s="105">
        <f>PLANTILLA!AA13</f>
        <v>12</v>
      </c>
      <c r="K10" s="105">
        <f>PLANTILLA!AB13</f>
        <v>6.0000000000000009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39</v>
      </c>
      <c r="Q10" s="121">
        <v>3</v>
      </c>
      <c r="R10" s="89">
        <v>32.5</v>
      </c>
      <c r="S10" s="89">
        <v>10</v>
      </c>
      <c r="T10" s="89">
        <v>17</v>
      </c>
      <c r="U10" s="89">
        <v>1</v>
      </c>
      <c r="V10" s="128">
        <f t="shared" si="2"/>
        <v>102.5</v>
      </c>
      <c r="X10" t="s">
        <v>30</v>
      </c>
      <c r="Y10" s="17">
        <f t="shared" si="3"/>
        <v>23</v>
      </c>
      <c r="Z10" s="3">
        <f t="shared" ca="1" si="4"/>
        <v>15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6.0000000000000009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10</v>
      </c>
      <c r="AN10" s="123">
        <f t="shared" si="11"/>
        <v>17</v>
      </c>
      <c r="AO10" s="123">
        <f t="shared" si="12"/>
        <v>1</v>
      </c>
      <c r="AP10" s="128">
        <f t="shared" si="13"/>
        <v>115.5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42</v>
      </c>
      <c r="G13" s="105">
        <f>PLANTILLA!X14</f>
        <v>0</v>
      </c>
      <c r="H13" s="105">
        <f>PLANTILLA!Y14</f>
        <v>8.8000000000000007</v>
      </c>
      <c r="I13" s="105">
        <f>PLANTILLA!Z14</f>
        <v>5.7</v>
      </c>
      <c r="J13" s="105">
        <f>PLANTILLA!AA14</f>
        <v>14.124999999999996</v>
      </c>
      <c r="K13" s="105">
        <f>PLANTILLA!AB14</f>
        <v>6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24</v>
      </c>
      <c r="Q13" s="121">
        <v>10.5</v>
      </c>
      <c r="R13" s="89">
        <v>47.5</v>
      </c>
      <c r="S13" s="89">
        <v>10</v>
      </c>
      <c r="T13" s="89">
        <v>18</v>
      </c>
      <c r="U13" s="89">
        <v>3</v>
      </c>
      <c r="V13" s="128">
        <f t="shared" si="2"/>
        <v>113</v>
      </c>
      <c r="X13" t="s">
        <v>35</v>
      </c>
      <c r="Y13" s="17">
        <f t="shared" si="3"/>
        <v>23</v>
      </c>
      <c r="Z13" s="3">
        <f t="shared" ca="1" si="4"/>
        <v>11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10</v>
      </c>
      <c r="AN13" s="123">
        <f t="shared" si="11"/>
        <v>18</v>
      </c>
      <c r="AO13" s="123">
        <f t="shared" si="12"/>
        <v>3</v>
      </c>
      <c r="AP13" s="128">
        <f t="shared" si="13"/>
        <v>126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7</v>
      </c>
      <c r="G14" s="105">
        <f>PLANTILLA!X12</f>
        <v>0</v>
      </c>
      <c r="H14" s="105">
        <f>PLANTILLA!Y12</f>
        <v>10.714285714285714</v>
      </c>
      <c r="I14" s="105">
        <f>PLANTILLA!Z12</f>
        <v>3</v>
      </c>
      <c r="J14" s="105">
        <f>PLANTILLA!AA12</f>
        <v>13</v>
      </c>
      <c r="K14" s="105">
        <f>PLANTILLA!AB12</f>
        <v>7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42</v>
      </c>
      <c r="Q14" s="121">
        <v>3</v>
      </c>
      <c r="R14" s="89">
        <v>39.5</v>
      </c>
      <c r="S14" s="89">
        <v>14</v>
      </c>
      <c r="T14" s="89">
        <v>16</v>
      </c>
      <c r="U14" s="89">
        <v>1</v>
      </c>
      <c r="V14" s="128">
        <f>SUM(O14:U14)</f>
        <v>115.5</v>
      </c>
      <c r="X14" t="s">
        <v>39</v>
      </c>
      <c r="Y14" s="17">
        <f>E14</f>
        <v>22</v>
      </c>
      <c r="Z14" s="3">
        <f ca="1">F14+(7*$AR$8)</f>
        <v>98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14</v>
      </c>
      <c r="AN14" s="123">
        <f t="shared" si="11"/>
        <v>16</v>
      </c>
      <c r="AO14" s="123">
        <f t="shared" si="12"/>
        <v>1</v>
      </c>
      <c r="AP14" s="128">
        <f>SUM(AI14:AO14)</f>
        <v>128.5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42</v>
      </c>
      <c r="G15" s="105">
        <f>PLANTILLA!X15</f>
        <v>0</v>
      </c>
      <c r="H15" s="105">
        <f>PLANTILLA!Y15</f>
        <v>9.2857142857142865</v>
      </c>
      <c r="I15" s="105">
        <f>PLANTILLA!Z15</f>
        <v>5</v>
      </c>
      <c r="J15" s="105">
        <f>PLANTILLA!AA15</f>
        <v>13.19</v>
      </c>
      <c r="K15" s="105">
        <f>PLANTILLA!AB15</f>
        <v>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32</v>
      </c>
      <c r="Q15" s="121">
        <v>9</v>
      </c>
      <c r="R15" s="89">
        <v>39.880000000000003</v>
      </c>
      <c r="S15" s="89">
        <v>7</v>
      </c>
      <c r="T15" s="89">
        <v>19</v>
      </c>
      <c r="U15" s="89">
        <v>1</v>
      </c>
      <c r="V15" s="128">
        <f>SUM(O15:U15)</f>
        <v>107.88</v>
      </c>
      <c r="X15" t="s">
        <v>33</v>
      </c>
      <c r="Y15" s="17">
        <f t="shared" si="3"/>
        <v>23</v>
      </c>
      <c r="Z15" s="3">
        <f t="shared" ca="1" si="4"/>
        <v>11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7</v>
      </c>
      <c r="AN15" s="123">
        <f t="shared" si="11"/>
        <v>19</v>
      </c>
      <c r="AO15" s="123">
        <f t="shared" si="12"/>
        <v>1</v>
      </c>
      <c r="AP15" s="128">
        <f>SUM(AI15:AO15)</f>
        <v>120.88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22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1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19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5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7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123</v>
      </c>
      <c r="X22" t="s">
        <v>31</v>
      </c>
      <c r="Y22" s="17">
        <f>E22+1</f>
        <v>24</v>
      </c>
      <c r="Z22" s="17">
        <f ca="1">F22+(($AR$25+$AR$26)*7)-112</f>
        <v>110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21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152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50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29</v>
      </c>
      <c r="T23" s="124">
        <f t="shared" si="41"/>
        <v>2</v>
      </c>
      <c r="U23" s="124">
        <f t="shared" si="42"/>
        <v>0</v>
      </c>
      <c r="V23" s="48">
        <f>SUM(O23:U23)</f>
        <v>119.5</v>
      </c>
      <c r="X23" t="s">
        <v>32</v>
      </c>
      <c r="Y23" s="17">
        <f>E23+2</f>
        <v>25</v>
      </c>
      <c r="Z23" s="17">
        <f ca="1">F23+(($AR$25+$AR$26)*7)-112-112</f>
        <v>29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43</v>
      </c>
      <c r="AN23" s="121">
        <f t="shared" si="26"/>
        <v>2</v>
      </c>
      <c r="AO23" s="124">
        <f t="shared" si="46"/>
        <v>15</v>
      </c>
      <c r="AP23" s="48">
        <f>SUM(AI23:AO23)</f>
        <v>148.5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0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7</v>
      </c>
      <c r="T24" s="124">
        <f t="shared" si="41"/>
        <v>0</v>
      </c>
      <c r="U24" s="124">
        <f t="shared" si="42"/>
        <v>0</v>
      </c>
      <c r="V24" s="48">
        <f>SUM(O24:U24)</f>
        <v>126.5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91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21</v>
      </c>
      <c r="AN24" s="121">
        <f t="shared" si="26"/>
        <v>0</v>
      </c>
      <c r="AO24" s="124">
        <f t="shared" si="46"/>
        <v>15</v>
      </c>
      <c r="AP24" s="48">
        <f>SUM(AI24:AO24)</f>
        <v>155.5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35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23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124.5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14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37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153.5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15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4.25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5</v>
      </c>
      <c r="T27" s="124">
        <f t="shared" si="41"/>
        <v>16</v>
      </c>
      <c r="U27" s="124">
        <f t="shared" si="42"/>
        <v>1</v>
      </c>
      <c r="V27" s="48">
        <f t="shared" si="58"/>
        <v>134.5</v>
      </c>
      <c r="X27" t="s">
        <v>34</v>
      </c>
      <c r="Y27" s="17">
        <f>E27+1</f>
        <v>24</v>
      </c>
      <c r="Z27" s="17">
        <f ca="1">F27+(($AR$25+$AR$26)*7)-112</f>
        <v>106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19</v>
      </c>
      <c r="AN27" s="121">
        <f t="shared" si="26"/>
        <v>16</v>
      </c>
      <c r="AO27" s="124">
        <f t="shared" si="46"/>
        <v>16</v>
      </c>
      <c r="AP27" s="48">
        <f t="shared" si="61"/>
        <v>163.5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15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6.0000000000000009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10</v>
      </c>
      <c r="T28" s="124">
        <f t="shared" si="41"/>
        <v>17</v>
      </c>
      <c r="U28" s="124">
        <f t="shared" si="42"/>
        <v>1</v>
      </c>
      <c r="V28" s="48">
        <f t="shared" si="58"/>
        <v>115.5</v>
      </c>
      <c r="X28" t="s">
        <v>30</v>
      </c>
      <c r="Y28" s="17">
        <f>E28+1</f>
        <v>24</v>
      </c>
      <c r="Z28" s="17">
        <f ca="1">F28+(($AR$25+$AR$26)*7)-112</f>
        <v>106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24</v>
      </c>
      <c r="AN28" s="121">
        <f t="shared" si="26"/>
        <v>17</v>
      </c>
      <c r="AO28" s="124">
        <f t="shared" si="46"/>
        <v>16</v>
      </c>
      <c r="AP28" s="48">
        <f t="shared" si="61"/>
        <v>144.5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11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10</v>
      </c>
      <c r="T31" s="124">
        <f t="shared" si="41"/>
        <v>18</v>
      </c>
      <c r="U31" s="124">
        <f t="shared" si="42"/>
        <v>3</v>
      </c>
      <c r="V31" s="48">
        <f t="shared" si="58"/>
        <v>126</v>
      </c>
      <c r="X31" t="s">
        <v>35</v>
      </c>
      <c r="Y31" s="17">
        <f>E31+1</f>
        <v>24</v>
      </c>
      <c r="Z31" s="17">
        <f ca="1">F31+(($AR$25+$AR$26)*7)-112</f>
        <v>102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24</v>
      </c>
      <c r="AN31" s="121">
        <f t="shared" si="26"/>
        <v>18</v>
      </c>
      <c r="AO31" s="124">
        <f t="shared" si="46"/>
        <v>18</v>
      </c>
      <c r="AP31" s="48">
        <f t="shared" si="61"/>
        <v>155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98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14</v>
      </c>
      <c r="T32" s="124">
        <f t="shared" si="41"/>
        <v>16</v>
      </c>
      <c r="U32" s="124">
        <f t="shared" si="42"/>
        <v>1</v>
      </c>
      <c r="V32" s="48">
        <f>SUM(O32:U32)</f>
        <v>128.5</v>
      </c>
      <c r="X32" t="s">
        <v>39</v>
      </c>
      <c r="Y32" s="17">
        <f t="shared" si="59"/>
        <v>24</v>
      </c>
      <c r="Z32" s="17">
        <f t="shared" ca="1" si="60"/>
        <v>77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28</v>
      </c>
      <c r="AN32" s="121">
        <f t="shared" si="26"/>
        <v>16</v>
      </c>
      <c r="AO32" s="124">
        <f t="shared" si="46"/>
        <v>16</v>
      </c>
      <c r="AP32" s="48">
        <f>SUM(AI32:AO32)</f>
        <v>157.5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11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7</v>
      </c>
      <c r="T33" s="124">
        <f t="shared" si="41"/>
        <v>19</v>
      </c>
      <c r="U33" s="124">
        <f t="shared" si="42"/>
        <v>1</v>
      </c>
      <c r="V33" s="48">
        <f>SUM(O33:U33)</f>
        <v>120.88</v>
      </c>
      <c r="X33" t="s">
        <v>33</v>
      </c>
      <c r="Y33" s="17">
        <f>E33+1</f>
        <v>24</v>
      </c>
      <c r="Z33" s="17">
        <f ca="1">F33+(($AR$25+$AR$26)*7)-112</f>
        <v>102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21</v>
      </c>
      <c r="AN33" s="121">
        <f t="shared" si="26"/>
        <v>19</v>
      </c>
      <c r="AO33" s="124">
        <f t="shared" si="46"/>
        <v>16</v>
      </c>
      <c r="AP33" s="48">
        <f>SUM(AI33:AO33)</f>
        <v>149.88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00B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D3" sqref="D3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5" width="7" bestFit="1" customWidth="1"/>
    <col min="36" max="36" width="8" bestFit="1" customWidth="1"/>
    <col min="37" max="37" width="8.140625" bestFit="1" customWidth="1"/>
    <col min="38" max="38" width="6.57031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43642</v>
      </c>
      <c r="I2" s="29">
        <f>AVERAGE(I4:I21)</f>
        <v>4.2666666666666666</v>
      </c>
      <c r="J2" s="29"/>
      <c r="N2" s="32">
        <f ca="1">AVERAGE(N4:N21)</f>
        <v>0.91041654298895225</v>
      </c>
      <c r="O2" s="29">
        <f>AVERAGE(O4:O21)</f>
        <v>5.7166666666666659</v>
      </c>
      <c r="Q2" s="29">
        <f>AVERAGE(Q4:Q21)</f>
        <v>5.166666666666667</v>
      </c>
      <c r="R2" s="64">
        <f>AVERAGE(R4:R21)</f>
        <v>0.85483083031564866</v>
      </c>
      <c r="S2" s="64">
        <f>AVERAGE(S4:S21)</f>
        <v>0.92696874457038925</v>
      </c>
      <c r="T2" s="33">
        <f>SUM(T4:T21)</f>
        <v>934470</v>
      </c>
      <c r="U2" s="33">
        <f>SUM(U4:U21)</f>
        <v>9810</v>
      </c>
      <c r="V2" s="33">
        <f>SUM(V4:V21)</f>
        <v>162424</v>
      </c>
      <c r="W2" s="34">
        <f>T2/V2</f>
        <v>5.753275378022952</v>
      </c>
      <c r="AD2" s="32">
        <f>AVERAGE(AD5:AD21)</f>
        <v>4.9411764705882355</v>
      </c>
      <c r="AE2" s="30">
        <f>AVERAGE(AE5:AE21)</f>
        <v>93.434117647058827</v>
      </c>
      <c r="AF2" s="30">
        <f>AVERAGE(AF5:AF21)</f>
        <v>2014.5555555555557</v>
      </c>
      <c r="AL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25</v>
      </c>
      <c r="AH3" s="14" t="s">
        <v>26</v>
      </c>
      <c r="AI3" s="14" t="s">
        <v>68</v>
      </c>
      <c r="AJ3" s="14" t="s">
        <v>99</v>
      </c>
      <c r="AK3" s="14" t="s">
        <v>100</v>
      </c>
      <c r="AL3" s="14" t="s">
        <v>21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11.526785714285714</v>
      </c>
      <c r="D4" s="111" t="s">
        <v>360</v>
      </c>
      <c r="E4" s="1">
        <v>22</v>
      </c>
      <c r="F4" s="2">
        <f ca="1">$D$2-$D$1-1097-112-112</f>
        <v>53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0.77803549598249677</v>
      </c>
      <c r="O4" s="24">
        <v>6.7</v>
      </c>
      <c r="P4" s="19">
        <f>O4*10+19</f>
        <v>86</v>
      </c>
      <c r="Q4" s="25">
        <v>3</v>
      </c>
      <c r="R4" s="63">
        <f>(Q4/7)^0.5</f>
        <v>0.65465367070797709</v>
      </c>
      <c r="S4" s="63">
        <f>IF(Q4=7,1,((Q4+0.99)/7)^0.5)</f>
        <v>0.75498344352707503</v>
      </c>
      <c r="T4" s="27">
        <v>57080</v>
      </c>
      <c r="U4" s="27">
        <f>T4-AT4</f>
        <v>-2430</v>
      </c>
      <c r="V4" s="7">
        <v>27520</v>
      </c>
      <c r="W4" s="8">
        <f>T4/V4</f>
        <v>2.0741279069767442</v>
      </c>
      <c r="X4" s="20">
        <v>15</v>
      </c>
      <c r="Y4" s="21">
        <f>10+3/7</f>
        <v>10.428571428571429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91.5</v>
      </c>
      <c r="AF4" s="9">
        <v>1752</v>
      </c>
      <c r="AG4" s="22">
        <f t="shared" ref="AG4" ca="1" si="1">(AD4+1+(LOG(I4)*4/3)+N4)*(Q4/7)^0.5</f>
        <v>2.3971535978697336</v>
      </c>
      <c r="AH4" s="22">
        <f t="shared" ref="AH4" ca="1" si="2">(AD4+1+N4+(LOG(I4)*4/3))*(IF(Q4=7, (Q4/7)^0.5, ((Q4+1)/7)^0.5))</f>
        <v>2.7679945500379413</v>
      </c>
      <c r="AI4" s="22">
        <f t="shared" ref="AI4" ca="1" si="3">(Z4+N4+(LOG(I4)*4/3))</f>
        <v>1.6617126048912623</v>
      </c>
      <c r="AJ4" s="68">
        <f t="shared" ref="AJ4" ca="1" si="4">(Z4+N4+(LOG(I4)*4/3))*(Q4/7)^0.5</f>
        <v>1.0878462564537792</v>
      </c>
      <c r="AK4" s="68">
        <f t="shared" ref="AK4" ca="1" si="5">(Z4+N4+(LOG(I4)*4/3))*(IF(Q4=7, (Q4/7)^0.5, ((Q4+1)/7)^0.5))</f>
        <v>1.2561366580010322</v>
      </c>
      <c r="AL4" s="8">
        <f t="shared" ref="AL4" ca="1" si="6">(((Y4+LOG(I4)*4/3+N4)+(AB4+LOG(I4)*4/3+N4)*2)/8)*(Q4/7)^0.5</f>
        <v>1.2613301669144945</v>
      </c>
      <c r="AM4" s="8">
        <f t="shared" ref="AM4" ca="1" si="7">(AD4+LOG(I4)*4/3+N4)*0.7+(AC4+LOG(I4)*4/3+N4)*0.3</f>
        <v>2.6617126048912625</v>
      </c>
      <c r="AN4" s="8">
        <f t="shared" ref="AN4" ca="1" si="8">(0.5*(AC4+LOG(I4)*4/3+N4)+ 0.3*(AD4+LOG(I4)*4/3+N4))/10</f>
        <v>0.212937008391301</v>
      </c>
      <c r="AO4" s="8">
        <f t="shared" ref="AO4" ca="1" si="9">(0.4*(Y4+LOG(I4)*4/3+N4)+0.3*(AD4+LOG(I4)*4/3+N4))/10</f>
        <v>0.56346273948524561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59510</v>
      </c>
    </row>
    <row r="5" spans="1:46" x14ac:dyDescent="0.25">
      <c r="A5" s="15" t="s">
        <v>359</v>
      </c>
      <c r="B5" s="15" t="s">
        <v>27</v>
      </c>
      <c r="C5" s="69">
        <f t="shared" ref="C5:C21" ca="1" si="10">((34*112)-(E5*112)-(F5))/112</f>
        <v>11.303571428571429</v>
      </c>
      <c r="D5" s="122" t="s">
        <v>338</v>
      </c>
      <c r="E5" s="16">
        <v>22</v>
      </c>
      <c r="F5" s="2">
        <f ca="1">$D$2-$D$1-880+32-112-112-112-112</f>
        <v>78</v>
      </c>
      <c r="G5" s="17"/>
      <c r="H5" s="107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4">O5*10+19</f>
        <v>70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3170</v>
      </c>
      <c r="U5" s="27">
        <f t="shared" ref="U5:U9" si="17">T5-AT5</f>
        <v>-80</v>
      </c>
      <c r="V5" s="27">
        <v>1170</v>
      </c>
      <c r="W5" s="8">
        <f t="shared" ref="W5:W9" si="18">T5/V5</f>
        <v>2.7094017094017095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22">
        <f ca="1">(AD5+1+(LOG(I5)*4/3)+N5)*(Q5/7)^0.5</f>
        <v>2.9578446627459121</v>
      </c>
      <c r="AH5" s="22">
        <f ca="1">(AD5+1+N5+(LOG(I5)*4/3))*(IF(Q5=7, (Q5/7)^0.5, ((Q5+1)/7)^0.5))</f>
        <v>3.1948373809043176</v>
      </c>
      <c r="AI5" s="22">
        <f ca="1">(Z5+N5+(LOG(I5)*4/3))</f>
        <v>1.1948373809043173</v>
      </c>
      <c r="AJ5" s="68">
        <f ca="1">(Z5+N5+(LOG(I5)*4/3))*(Q5/7)^0.5</f>
        <v>1.106204463200809</v>
      </c>
      <c r="AK5" s="68">
        <f ca="1">(Z5+N5+(LOG(I5)*4/3))*(IF(Q5=7, (Q5/7)^0.5, ((Q5+1)/7)^0.5))</f>
        <v>1.1948373809043173</v>
      </c>
      <c r="AL5" s="8">
        <f ca="1">(((Y5+LOG(I5)*4/3+N5)+(AB5+LOG(I5)*4/3+N5)*2)/8)*(Q5/7)^0.5</f>
        <v>0.87773672358657917</v>
      </c>
      <c r="AM5" s="8">
        <f ca="1">(AD5+LOG(I5)*4/3+N5)*0.7+(AC5+LOG(I5)*4/3+N5)*0.3</f>
        <v>2.1948373809043176</v>
      </c>
      <c r="AN5" s="8">
        <f t="shared" ref="AN5" ca="1" si="19">(0.5*(AC5+LOG(I5)*4/3+N5)+ 0.3*(AD5+LOG(I5)*4/3+N5))/10</f>
        <v>0.17558699047234541</v>
      </c>
      <c r="AO5" s="8">
        <f t="shared" ref="AO5" ca="1" si="20">(0.4*(Y5+LOG(I5)*4/3+N5)+0.3*(AD5+LOG(I5)*4/3+N5))/10</f>
        <v>0.27363861666330225</v>
      </c>
      <c r="AP5" s="71">
        <f t="shared" ref="AP5:AP9" si="21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3250</v>
      </c>
    </row>
    <row r="6" spans="1:46" x14ac:dyDescent="0.25">
      <c r="A6" s="15" t="s">
        <v>31</v>
      </c>
      <c r="B6" s="23" t="s">
        <v>241</v>
      </c>
      <c r="C6" s="69">
        <f t="shared" ca="1" si="10"/>
        <v>11.553571428571429</v>
      </c>
      <c r="D6" s="111" t="s">
        <v>349</v>
      </c>
      <c r="E6" s="1">
        <v>22</v>
      </c>
      <c r="F6" s="2">
        <f ca="1">$D$2-$D$1-1100-112-112</f>
        <v>50</v>
      </c>
      <c r="G6" s="3"/>
      <c r="H6" s="107">
        <v>5</v>
      </c>
      <c r="I6" s="5">
        <v>2.6</v>
      </c>
      <c r="J6" s="21">
        <f t="shared" ref="J6" si="22">LOG(I6)*4/3</f>
        <v>0.55329779729442397</v>
      </c>
      <c r="K6" s="6">
        <f t="shared" ref="K6" si="23">(H6)*(H6)*(I6)</f>
        <v>65</v>
      </c>
      <c r="L6" s="6">
        <f t="shared" ref="L6" si="24">(H6+1)*(H6+1)*I6</f>
        <v>93.600000000000009</v>
      </c>
      <c r="M6" s="72">
        <v>43395</v>
      </c>
      <c r="N6" s="73">
        <f t="shared" ca="1" si="0"/>
        <v>0.82123776531293857</v>
      </c>
      <c r="O6" s="24">
        <v>6.1</v>
      </c>
      <c r="P6" s="19">
        <f t="shared" si="14"/>
        <v>80</v>
      </c>
      <c r="Q6" s="25">
        <v>4</v>
      </c>
      <c r="R6" s="63">
        <f t="shared" ref="R6" si="25">(Q6/7)^0.5</f>
        <v>0.7559289460184544</v>
      </c>
      <c r="S6" s="63">
        <f t="shared" ref="S6" si="26">IF(Q6=7,1,((Q6+0.99)/7)^0.5)</f>
        <v>0.84430867747355465</v>
      </c>
      <c r="T6" s="27">
        <v>71960</v>
      </c>
      <c r="U6" s="27">
        <f t="shared" si="17"/>
        <v>1030</v>
      </c>
      <c r="V6" s="7">
        <v>18250</v>
      </c>
      <c r="W6" s="8">
        <f t="shared" ref="W6" si="27">T6/V6</f>
        <v>3.943013698630137</v>
      </c>
      <c r="X6" s="20">
        <v>0</v>
      </c>
      <c r="Y6" s="21">
        <f>14+9/16</f>
        <v>14.5625</v>
      </c>
      <c r="Z6" s="20">
        <v>5</v>
      </c>
      <c r="AA6" s="21">
        <f>5+2/5</f>
        <v>5.4</v>
      </c>
      <c r="AB6" s="20">
        <v>5</v>
      </c>
      <c r="AC6" s="21">
        <v>2</v>
      </c>
      <c r="AD6" s="20">
        <v>1</v>
      </c>
      <c r="AE6" s="9">
        <f>PLANNING!V4</f>
        <v>110</v>
      </c>
      <c r="AF6" s="9">
        <v>1966</v>
      </c>
      <c r="AG6" s="22">
        <f t="shared" ref="AG6" ca="1" si="28">(AD6+1+(LOG(I6)*4/3)+N6)*(Q6/7)^0.5</f>
        <v>2.5509091111435755</v>
      </c>
      <c r="AH6" s="22">
        <f t="shared" ref="AH6" ca="1" si="29">(AD6+1+N6+(LOG(I6)*4/3))*(IF(Q6=7, (Q6/7)^0.5, ((Q6+1)/7)^0.5))</f>
        <v>2.8520030884703007</v>
      </c>
      <c r="AI6" s="22">
        <f t="shared" ref="AI6" ca="1" si="30">(Z6+N6+(LOG(I6)*4/3))</f>
        <v>6.3745355626073623</v>
      </c>
      <c r="AJ6" s="68">
        <f t="shared" ref="AJ6" ca="1" si="31">(Z6+N6+(LOG(I6)*4/3))*(Q6/7)^0.5</f>
        <v>4.818695949198939</v>
      </c>
      <c r="AK6" s="68">
        <f t="shared" ref="AK6" ca="1" si="32">(Z6+N6+(LOG(I6)*4/3))*(IF(Q6=7, (Q6/7)^0.5, ((Q6+1)/7)^0.5))</f>
        <v>5.3874658526558505</v>
      </c>
      <c r="AL6" s="8">
        <f t="shared" ref="AL6" ca="1" si="33">(((Y6+LOG(I6)*4/3+N6)+(AB6+LOG(I6)*4/3+N6)*2)/8)*(Q6/7)^0.5</f>
        <v>2.7105822992372857</v>
      </c>
      <c r="AM6" s="8">
        <f t="shared" ref="AM6" ca="1" si="34">(AD6+LOG(I6)*4/3+N6)*0.7+(AC6+LOG(I6)*4/3+N6)*0.3</f>
        <v>2.6745355626073621</v>
      </c>
      <c r="AN6" s="8">
        <f t="shared" ref="AN6" ca="1" si="35">(0.5*(AC6+LOG(I6)*4/3+N6)+ 0.3*(AD6+LOG(I6)*4/3+N6))/10</f>
        <v>0.23996284500858897</v>
      </c>
      <c r="AO6" s="8">
        <f t="shared" ref="AO6" ca="1" si="36">(0.4*(Y6+LOG(I6)*4/3+N6)+0.3*(AD6+LOG(I6)*4/3+N6))/10</f>
        <v>0.70871748938251533</v>
      </c>
      <c r="AP6" s="71">
        <f t="shared" ref="AP6" si="37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70930</v>
      </c>
    </row>
    <row r="7" spans="1:46" x14ac:dyDescent="0.25">
      <c r="A7" s="15" t="s">
        <v>33</v>
      </c>
      <c r="B7" s="15" t="s">
        <v>241</v>
      </c>
      <c r="C7" s="69">
        <f t="shared" ca="1" si="10"/>
        <v>11.723214285714286</v>
      </c>
      <c r="D7" s="111" t="s">
        <v>353</v>
      </c>
      <c r="E7" s="16">
        <v>22</v>
      </c>
      <c r="F7" s="2">
        <f ca="1">$D$2-$D$1-1102-17-112-112</f>
        <v>31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0.78896034082788147</v>
      </c>
      <c r="O7" s="18">
        <v>6.7</v>
      </c>
      <c r="P7" s="19">
        <f>O7*10+19</f>
        <v>86</v>
      </c>
      <c r="Q7" s="25">
        <v>5</v>
      </c>
      <c r="R7" s="63">
        <f>(Q7/7)^0.5</f>
        <v>0.84515425472851657</v>
      </c>
      <c r="S7" s="63">
        <f>IF(Q7=7,1,((Q7+0.99)/7)^0.5)</f>
        <v>0.92504826128926143</v>
      </c>
      <c r="T7" s="27">
        <v>83660</v>
      </c>
      <c r="U7" s="27">
        <f>T7-AT7</f>
        <v>810</v>
      </c>
      <c r="V7" s="27">
        <v>19870</v>
      </c>
      <c r="W7" s="8">
        <f>T7/V7</f>
        <v>4.2103673880221439</v>
      </c>
      <c r="X7" s="20">
        <v>0</v>
      </c>
      <c r="Y7" s="21">
        <f>14+8/16</f>
        <v>14.5</v>
      </c>
      <c r="Z7" s="20">
        <v>5</v>
      </c>
      <c r="AA7" s="21">
        <v>7</v>
      </c>
      <c r="AB7" s="20">
        <v>5</v>
      </c>
      <c r="AC7" s="21">
        <v>1</v>
      </c>
      <c r="AD7" s="20">
        <v>0</v>
      </c>
      <c r="AE7" s="9">
        <f>PLANNING!V6</f>
        <v>113.5</v>
      </c>
      <c r="AF7" s="9">
        <v>2023</v>
      </c>
      <c r="AG7" s="22">
        <f t="shared" ref="AG7" ca="1" si="38">(AD7+1+(LOG(I7)*4/3)+N7)*(Q7/7)^0.5</f>
        <v>2.1388293441773767</v>
      </c>
      <c r="AH7" s="22">
        <f t="shared" ref="AH7" ca="1" si="39">(AD7+1+N7+(LOG(I7)*4/3))*(IF(Q7=7, (Q7/7)^0.5, ((Q7+1)/7)^0.5))</f>
        <v>2.3429701569198595</v>
      </c>
      <c r="AI7" s="22">
        <f t="shared" ref="AI7" ca="1" si="40">(Z7+N7+(LOG(I7)*4/3))</f>
        <v>6.5306970085175982</v>
      </c>
      <c r="AJ7" s="68">
        <f t="shared" ref="AJ7" ca="1" si="41">(Z7+N7+(LOG(I7)*4/3))*(Q7/7)^0.5</f>
        <v>5.5194463630914434</v>
      </c>
      <c r="AK7" s="68">
        <f t="shared" ref="AK7" ca="1" si="42">(Z7+N7+(LOG(I7)*4/3))*(IF(Q7=7, (Q7/7)^0.5, ((Q7+1)/7)^0.5))</f>
        <v>6.0462505560100661</v>
      </c>
      <c r="AL7" s="8">
        <f t="shared" ref="AL7" ca="1" si="43">(((Y7+LOG(I7)*4/3+N7)+(AB7+LOG(I7)*4/3+N7)*2)/8)*(Q7/7)^0.5</f>
        <v>3.0734130636494048</v>
      </c>
      <c r="AM7" s="8">
        <f t="shared" ref="AM7" ca="1" si="44">(AD7+LOG(I7)*4/3+N7)*0.7+(AC7+LOG(I7)*4/3+N7)*0.3</f>
        <v>1.8306970085175975</v>
      </c>
      <c r="AN7" s="8">
        <f t="shared" ref="AN7" ca="1" si="45">(0.5*(AC7+LOG(I7)*4/3+N7)+ 0.3*(AD7+LOG(I7)*4/3+N7))/10</f>
        <v>0.17245576068140783</v>
      </c>
      <c r="AO7" s="8">
        <f t="shared" ref="AO7" ca="1" si="46">(0.4*(Y7+LOG(I7)*4/3+N7)+0.3*(AD7+LOG(I7)*4/3+N7))/10</f>
        <v>0.68714879059623191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82850</v>
      </c>
    </row>
    <row r="8" spans="1:46" x14ac:dyDescent="0.25">
      <c r="A8" s="15" t="s">
        <v>38</v>
      </c>
      <c r="B8" s="15" t="s">
        <v>241</v>
      </c>
      <c r="C8" s="69">
        <f t="shared" ca="1" si="10"/>
        <v>11.276785714285714</v>
      </c>
      <c r="D8" s="111" t="s">
        <v>348</v>
      </c>
      <c r="E8" s="16">
        <v>22</v>
      </c>
      <c r="F8" s="2">
        <f ca="1">$D$2-$D$1-1069-112-112</f>
        <v>81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0.84655408843930868</v>
      </c>
      <c r="O8" s="18">
        <v>6</v>
      </c>
      <c r="P8" s="19">
        <f>O8*10+19</f>
        <v>79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73230</v>
      </c>
      <c r="U8" s="27">
        <f>T8-AT8</f>
        <v>10840</v>
      </c>
      <c r="V8" s="27">
        <v>5710</v>
      </c>
      <c r="W8" s="8">
        <f>T8/V8</f>
        <v>12.824868651488616</v>
      </c>
      <c r="X8" s="20">
        <v>0</v>
      </c>
      <c r="Y8" s="21">
        <f>12+5/11</f>
        <v>12.454545454545455</v>
      </c>
      <c r="Z8" s="20">
        <v>3</v>
      </c>
      <c r="AA8" s="21">
        <f>7+0.1+0.1</f>
        <v>7.1999999999999993</v>
      </c>
      <c r="AB8" s="20">
        <v>10</v>
      </c>
      <c r="AC8" s="21">
        <v>3</v>
      </c>
      <c r="AD8" s="20">
        <v>2</v>
      </c>
      <c r="AE8" s="9">
        <f>PLANNING!V5</f>
        <v>106.5</v>
      </c>
      <c r="AF8" s="9">
        <v>1910</v>
      </c>
      <c r="AG8" s="22">
        <f ca="1">(AD8+1+(LOG(I8)*4/3)+N8)*(Q8/7)^0.5</f>
        <v>3.9042736518911845</v>
      </c>
      <c r="AH8" s="22">
        <f ca="1">(AD8+1+N8+(LOG(I8)*4/3))*(IF(Q8=7, (Q8/7)^0.5, ((Q8+1)/7)^0.5))</f>
        <v>4.2769174996277481</v>
      </c>
      <c r="AI8" s="22">
        <f ca="1">(Z8+N8+(LOG(I8)*4/3))</f>
        <v>4.619598883928389</v>
      </c>
      <c r="AJ8" s="68">
        <f ca="1">(Z8+N8+(LOG(I8)*4/3))*(Q8/7)^0.5</f>
        <v>3.9042736518911845</v>
      </c>
      <c r="AK8" s="68">
        <f ca="1">(Z8+N8+(LOG(I8)*4/3))*(IF(Q8=7, (Q8/7)^0.5, ((Q8+1)/7)^0.5))</f>
        <v>4.2769174996277481</v>
      </c>
      <c r="AL8" s="8">
        <f ca="1">(((Y8+LOG(I8)*4/3+N8)+(AB8+LOG(I8)*4/3+N8)*2)/8)*(Q8/7)^0.5</f>
        <v>3.9419412299132541</v>
      </c>
      <c r="AM8" s="8">
        <f ca="1">(AD8+LOG(I8)*4/3+N8)*0.7+(AC8+LOG(I8)*4/3+N8)*0.3</f>
        <v>3.9195988839283888</v>
      </c>
      <c r="AN8" s="8">
        <f ca="1">(0.5*(AC8+LOG(I8)*4/3+N8)+ 0.3*(AD8+LOG(I8)*4/3+N8))/10</f>
        <v>0.33956791071427112</v>
      </c>
      <c r="AO8" s="8">
        <f ca="1">(0.4*(Y8+LOG(I8)*4/3+N8)+0.3*(AD8+LOG(I8)*4/3+N8))/10</f>
        <v>0.67155374005680546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62390</v>
      </c>
    </row>
    <row r="9" spans="1:46" x14ac:dyDescent="0.25">
      <c r="A9" s="15" t="s">
        <v>31</v>
      </c>
      <c r="B9" s="15" t="s">
        <v>241</v>
      </c>
      <c r="C9" s="69">
        <f t="shared" ca="1" si="10"/>
        <v>11.410714285714286</v>
      </c>
      <c r="D9" s="111" t="s">
        <v>357</v>
      </c>
      <c r="E9" s="1">
        <v>22</v>
      </c>
      <c r="F9" s="2">
        <f ca="1">$D$2-$D$1-880+55-112-112-14-21-112-112</f>
        <v>66</v>
      </c>
      <c r="G9" s="3"/>
      <c r="H9" s="4">
        <v>4</v>
      </c>
      <c r="I9" s="5">
        <v>4.4000000000000004</v>
      </c>
      <c r="J9" s="21">
        <f t="shared" si="11"/>
        <v>0.85793690198158323</v>
      </c>
      <c r="K9" s="6">
        <f t="shared" si="12"/>
        <v>70.400000000000006</v>
      </c>
      <c r="L9" s="6">
        <f t="shared" si="13"/>
        <v>110.00000000000001</v>
      </c>
      <c r="M9" s="72">
        <v>43419</v>
      </c>
      <c r="N9" s="73">
        <f t="shared" ca="1" si="0"/>
        <v>0.76923311986937348</v>
      </c>
      <c r="O9" s="24">
        <v>6.5</v>
      </c>
      <c r="P9" s="19">
        <f t="shared" si="14"/>
        <v>84</v>
      </c>
      <c r="Q9" s="25">
        <v>6</v>
      </c>
      <c r="R9" s="63">
        <f t="shared" si="15"/>
        <v>0.92582009977255142</v>
      </c>
      <c r="S9" s="63">
        <f t="shared" si="16"/>
        <v>0.99928545900129484</v>
      </c>
      <c r="T9" s="27">
        <v>80610</v>
      </c>
      <c r="U9" s="27">
        <f t="shared" si="17"/>
        <v>4190</v>
      </c>
      <c r="V9" s="7">
        <v>6250</v>
      </c>
      <c r="W9" s="8">
        <f t="shared" si="18"/>
        <v>12.897600000000001</v>
      </c>
      <c r="X9" s="20">
        <v>0</v>
      </c>
      <c r="Y9" s="21">
        <f>10+3/9</f>
        <v>10.333333333333334</v>
      </c>
      <c r="Z9" s="20">
        <v>11</v>
      </c>
      <c r="AA9" s="21">
        <v>4</v>
      </c>
      <c r="AB9" s="20">
        <v>9</v>
      </c>
      <c r="AC9" s="21">
        <v>4</v>
      </c>
      <c r="AD9" s="20">
        <v>1</v>
      </c>
      <c r="AE9" s="9">
        <f>PLANNING!V7</f>
        <v>111.5</v>
      </c>
      <c r="AF9" s="9">
        <v>2011</v>
      </c>
      <c r="AG9" s="22">
        <f ca="1">(AD9+1+(LOG(I9)*4/3)+N9)*(Q9/7)^0.5</f>
        <v>3.3581069115220603</v>
      </c>
      <c r="AH9" s="22">
        <f ca="1">(AD9+1+N9+(LOG(I9)*4/3))*(IF(Q9=7, (Q9/7)^0.5, ((Q9+1)/7)^0.5))</f>
        <v>3.6271700218509566</v>
      </c>
      <c r="AI9" s="22">
        <f ca="1">(Z9+N9+(LOG(I9)*4/3))</f>
        <v>12.627170021850956</v>
      </c>
      <c r="AJ9" s="68">
        <f ca="1">(Z9+N9+(LOG(I9)*4/3))*(Q9/7)^0.5</f>
        <v>11.690487809475023</v>
      </c>
      <c r="AK9" s="68">
        <f ca="1">(Z9+N9+(LOG(I9)*4/3))*(IF(Q9=7, (Q9/7)^0.5, ((Q9+1)/7)^0.5))</f>
        <v>12.627170021850956</v>
      </c>
      <c r="AL9" s="8">
        <f ca="1">(((Y9+LOG(I9)*4/3+N9)+(AB9+LOG(I9)*4/3+N9)*2)/8)*(Q9/7)^0.5</f>
        <v>3.8438712036858118</v>
      </c>
      <c r="AM9" s="8">
        <f ca="1">(AD9+LOG(I9)*4/3+N9)*0.7+(AC9+LOG(I9)*4/3+N9)*0.3</f>
        <v>3.5271700218509565</v>
      </c>
      <c r="AN9" s="8">
        <f ca="1">(0.5*(AC9+LOG(I9)*4/3+N9)+ 0.3*(AD9+LOG(I9)*4/3+N9))/10</f>
        <v>0.36017360174807656</v>
      </c>
      <c r="AO9" s="8">
        <f ca="1">(0.4*(Y9+LOG(I9)*4/3+N9)+0.3*(AD9+LOG(I9)*4/3+N9))/10</f>
        <v>0.55723523486290039</v>
      </c>
      <c r="AP9" s="71">
        <f t="shared" si="21"/>
        <v>6.1499999999999999E-2</v>
      </c>
      <c r="AQ9" s="19">
        <v>0</v>
      </c>
      <c r="AR9" s="19">
        <v>2</v>
      </c>
      <c r="AS9" s="19">
        <v>2</v>
      </c>
      <c r="AT9" s="27">
        <v>76420</v>
      </c>
    </row>
    <row r="10" spans="1:46" x14ac:dyDescent="0.25">
      <c r="A10" s="15" t="s">
        <v>196</v>
      </c>
      <c r="B10" s="15" t="s">
        <v>113</v>
      </c>
      <c r="C10" s="69">
        <f t="shared" ca="1" si="10"/>
        <v>11.625</v>
      </c>
      <c r="D10" s="122" t="s">
        <v>194</v>
      </c>
      <c r="E10" s="1">
        <v>22</v>
      </c>
      <c r="F10" s="2">
        <f ca="1">$D$2-$D$1-880-4-112-112-112-112</f>
        <v>42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5.0999999999999996</v>
      </c>
      <c r="P10" s="19">
        <f>O10*10+19</f>
        <v>70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3260</v>
      </c>
      <c r="U10" s="27">
        <f>T10-AT10</f>
        <v>180</v>
      </c>
      <c r="V10" s="7">
        <v>450</v>
      </c>
      <c r="W10" s="8">
        <f>T10/V10</f>
        <v>7.2444444444444445</v>
      </c>
      <c r="X10" s="20">
        <v>0</v>
      </c>
      <c r="Y10" s="21">
        <v>6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</f>
        <v>39.5</v>
      </c>
      <c r="AF10" s="9"/>
      <c r="AG10" s="22">
        <f ca="1">(AD10+1+(LOG(I10)*4/3)+N10)*(Q10/7)^0.5</f>
        <v>4.6116379211258263</v>
      </c>
      <c r="AH10" s="22">
        <f ca="1">(AD10+1+N10+(LOG(I10)*4/3))*(IF(Q10=7, (Q10/7)^0.5, ((Q10+1)/7)^0.5))</f>
        <v>5.0517962328936905</v>
      </c>
      <c r="AI10" s="22">
        <f ca="1">(Z10+N10+(LOG(I10)*4/3))</f>
        <v>4.4565635744296088</v>
      </c>
      <c r="AJ10" s="68">
        <f ca="1">(Z10+N10+(LOG(I10)*4/3))*(Q10/7)^0.5</f>
        <v>3.7664836663973098</v>
      </c>
      <c r="AK10" s="68">
        <f ca="1">(Z10+N10+(LOG(I10)*4/3))*(IF(Q10=7, (Q10/7)^0.5, ((Q10+1)/7)^0.5))</f>
        <v>4.1259761331211386</v>
      </c>
      <c r="AL10" s="8">
        <f ca="1">(((Y10+LOG(I10)*4/3+N10)+(AB10+LOG(I10)*4/3+N10)*2)/8)*(Q10/7)^0.5</f>
        <v>1.7293642204221849</v>
      </c>
      <c r="AM10" s="8">
        <f ca="1">(AD10+LOG(I10)*4/3+N10)*0.7+(AC10+LOG(I10)*4/3+N10)*0.3</f>
        <v>4.9555635744296085</v>
      </c>
      <c r="AN10" s="8">
        <f ca="1">(0.5*(AC10+LOG(I10)*4/3+N10)+ 0.3*(AD10+LOG(I10)*4/3+N10))/10</f>
        <v>0.43969175262103527</v>
      </c>
      <c r="AO10" s="8">
        <f ca="1">(0.4*(Y10+LOG(I10)*4/3+N10)+0.3*(AD10+LOG(I10)*4/3+N10))/10</f>
        <v>0.43195945021007259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3080</v>
      </c>
    </row>
    <row r="11" spans="1:46" x14ac:dyDescent="0.25">
      <c r="A11" s="15" t="s">
        <v>42</v>
      </c>
      <c r="B11" s="15" t="s">
        <v>371</v>
      </c>
      <c r="C11" s="69">
        <f t="shared" ca="1" si="10"/>
        <v>11.589285714285714</v>
      </c>
      <c r="D11" s="111" t="s">
        <v>249</v>
      </c>
      <c r="E11" s="1">
        <v>22</v>
      </c>
      <c r="F11" s="2">
        <f ca="1">$D$2-$D$1-880-112-112-112-112</f>
        <v>46</v>
      </c>
      <c r="G11" s="3" t="s">
        <v>192</v>
      </c>
      <c r="H11" s="107">
        <v>5</v>
      </c>
      <c r="I11" s="5">
        <v>4.0999999999999996</v>
      </c>
      <c r="J11" s="21">
        <f t="shared" ref="J11:J13" si="47">LOG(I11)*4/3</f>
        <v>0.81704514229298064</v>
      </c>
      <c r="K11" s="6">
        <f t="shared" ref="K11:K13" si="48">(H11)*(H11)*(I11)</f>
        <v>102.49999999999999</v>
      </c>
      <c r="L11" s="6">
        <f t="shared" ref="L11:L13" si="49">(H11+1)*(H11+1)*I11</f>
        <v>147.6</v>
      </c>
      <c r="M11" s="72">
        <v>43137</v>
      </c>
      <c r="N11" s="73">
        <f t="shared" ref="N11:N17" ca="1" si="50">IF((TODAY()-M11)&gt;335,1,((TODAY()-M11)^0.64)/(336^0.64))</f>
        <v>1</v>
      </c>
      <c r="O11" s="24">
        <v>5.8</v>
      </c>
      <c r="P11" s="19">
        <f t="shared" ref="P11:P13" si="51">O11*10+19</f>
        <v>77</v>
      </c>
      <c r="Q11" s="25">
        <v>7</v>
      </c>
      <c r="R11" s="63">
        <f t="shared" ref="R11:R13" si="52">(Q11/7)^0.5</f>
        <v>1</v>
      </c>
      <c r="S11" s="63">
        <f t="shared" ref="S11:S13" si="53">IF(Q11=7,1,((Q11+0.99)/7)^0.5)</f>
        <v>1</v>
      </c>
      <c r="T11" s="27">
        <v>99640</v>
      </c>
      <c r="U11" s="27">
        <f t="shared" ref="U11:U13" si="54">T11-AT11</f>
        <v>2650</v>
      </c>
      <c r="V11" s="7">
        <v>8650</v>
      </c>
      <c r="W11" s="8">
        <f t="shared" ref="W11:W13" si="55">T11/V11</f>
        <v>11.519075144508671</v>
      </c>
      <c r="X11" s="20">
        <v>0</v>
      </c>
      <c r="Y11" s="21">
        <f>11+6/9</f>
        <v>11.666666666666666</v>
      </c>
      <c r="Z11" s="20">
        <v>4</v>
      </c>
      <c r="AA11" s="21">
        <f>12+4/6</f>
        <v>12.666666666666666</v>
      </c>
      <c r="AB11" s="20">
        <f>4+0.25</f>
        <v>4.25</v>
      </c>
      <c r="AC11" s="21">
        <f>5.25+0.25+0.25+0.25+0.25+0.25+0.25+0.25</f>
        <v>7</v>
      </c>
      <c r="AD11" s="20">
        <v>3</v>
      </c>
      <c r="AE11" s="9">
        <f>PLANNING!V9</f>
        <v>121.5</v>
      </c>
      <c r="AF11" s="9">
        <v>2048</v>
      </c>
      <c r="AG11" s="22">
        <f t="shared" ref="AG11:AG13" ca="1" si="56">(AD11+1+(LOG(I11)*4/3)+N11)*(Q11/7)^0.5</f>
        <v>5.8170451422929803</v>
      </c>
      <c r="AH11" s="22">
        <f t="shared" ref="AH11:AH13" ca="1" si="57">(AD11+1+N11+(LOG(I11)*4/3))*(IF(Q11=7, (Q11/7)^0.5, ((Q11+1)/7)^0.5))</f>
        <v>5.8170451422929803</v>
      </c>
      <c r="AI11" s="22">
        <f t="shared" ref="AI11:AI13" ca="1" si="58">(Z11+N11+(LOG(I11)*4/3))</f>
        <v>5.8170451422929803</v>
      </c>
      <c r="AJ11" s="68">
        <f t="shared" ref="AJ11:AJ13" ca="1" si="59">(Z11+N11+(LOG(I11)*4/3))*(Q11/7)^0.5</f>
        <v>5.8170451422929803</v>
      </c>
      <c r="AK11" s="68">
        <f t="shared" ref="AK11:AK13" ca="1" si="60">(Z11+N11+(LOG(I11)*4/3))*(IF(Q11=7, (Q11/7)^0.5, ((Q11+1)/7)^0.5))</f>
        <v>5.8170451422929803</v>
      </c>
      <c r="AL11" s="8">
        <f t="shared" ref="AL11:AL13" ca="1" si="61">(((Y11+LOG(I11)*4/3+N11)+(AB11+LOG(I11)*4/3+N11)*2)/8)*(Q11/7)^0.5</f>
        <v>3.2022252616932008</v>
      </c>
      <c r="AM11" s="8">
        <f t="shared" ref="AM11:AM13" ca="1" si="62">(AD11+LOG(I11)*4/3+N11)*0.7+(AC11+LOG(I11)*4/3+N11)*0.3</f>
        <v>6.0170451422929805</v>
      </c>
      <c r="AN11" s="8">
        <f t="shared" ref="AN11:AN13" ca="1" si="63">(0.5*(AC11+LOG(I11)*4/3+N11)+ 0.3*(AD11+LOG(I11)*4/3+N11))/10</f>
        <v>0.5853636113834384</v>
      </c>
      <c r="AO11" s="8">
        <f t="shared" ref="AO11:AO13" ca="1" si="64">(0.4*(Y11+LOG(I11)*4/3+N11)+0.3*(AD11+LOG(I11)*4/3+N11))/10</f>
        <v>0.68385982662717537</v>
      </c>
      <c r="AP11" s="71">
        <f t="shared" ref="AP11:AP13" si="65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96990</v>
      </c>
    </row>
    <row r="12" spans="1:46" x14ac:dyDescent="0.25">
      <c r="A12" s="15" t="s">
        <v>32</v>
      </c>
      <c r="B12" s="15" t="s">
        <v>371</v>
      </c>
      <c r="C12" s="69">
        <f t="shared" ca="1" si="10"/>
        <v>11.9375</v>
      </c>
      <c r="D12" s="111" t="s">
        <v>248</v>
      </c>
      <c r="E12" s="1">
        <v>22</v>
      </c>
      <c r="F12" s="2">
        <f ca="1">$D$2-$D$1-1367</f>
        <v>7</v>
      </c>
      <c r="G12" s="3" t="s">
        <v>44</v>
      </c>
      <c r="H12" s="4">
        <v>3</v>
      </c>
      <c r="I12" s="5">
        <v>4.2</v>
      </c>
      <c r="J12" s="21">
        <f t="shared" si="47"/>
        <v>0.8309990538638673</v>
      </c>
      <c r="K12" s="6">
        <f t="shared" si="48"/>
        <v>37.800000000000004</v>
      </c>
      <c r="L12" s="6">
        <f t="shared" si="49"/>
        <v>67.2</v>
      </c>
      <c r="M12" s="72">
        <v>43122</v>
      </c>
      <c r="N12" s="73">
        <f t="shared" ca="1" si="50"/>
        <v>1</v>
      </c>
      <c r="O12" s="24">
        <v>5.7</v>
      </c>
      <c r="P12" s="19">
        <f t="shared" si="51"/>
        <v>76</v>
      </c>
      <c r="Q12" s="25">
        <v>5</v>
      </c>
      <c r="R12" s="63">
        <f t="shared" si="52"/>
        <v>0.84515425472851657</v>
      </c>
      <c r="S12" s="63">
        <f t="shared" si="53"/>
        <v>0.92504826128926143</v>
      </c>
      <c r="T12" s="27">
        <v>85150</v>
      </c>
      <c r="U12" s="27">
        <f t="shared" si="54"/>
        <v>-3350</v>
      </c>
      <c r="V12" s="7">
        <v>9290</v>
      </c>
      <c r="W12" s="8">
        <f t="shared" si="55"/>
        <v>9.1657696447793331</v>
      </c>
      <c r="X12" s="20">
        <v>0</v>
      </c>
      <c r="Y12" s="21">
        <f>10+5/7</f>
        <v>10.714285714285714</v>
      </c>
      <c r="Z12" s="20">
        <v>3</v>
      </c>
      <c r="AA12" s="21">
        <v>13</v>
      </c>
      <c r="AB12" s="20">
        <v>7</v>
      </c>
      <c r="AC12" s="21">
        <f>4.25+0.25+0.25+0.25+0.25+0.25+0.25+0.25+0.25+0.25+0.25+0.25</f>
        <v>7</v>
      </c>
      <c r="AD12" s="20">
        <v>3</v>
      </c>
      <c r="AE12" s="9">
        <f>PLANNING!V14</f>
        <v>115.5</v>
      </c>
      <c r="AF12" s="9">
        <v>2164</v>
      </c>
      <c r="AG12" s="22">
        <f t="shared" ca="1" si="56"/>
        <v>4.9280936596910019</v>
      </c>
      <c r="AH12" s="22">
        <f t="shared" ca="1" si="57"/>
        <v>5.398456125821899</v>
      </c>
      <c r="AI12" s="22">
        <f t="shared" ca="1" si="58"/>
        <v>4.8309990538638674</v>
      </c>
      <c r="AJ12" s="68">
        <f t="shared" ca="1" si="59"/>
        <v>4.0829394049624854</v>
      </c>
      <c r="AK12" s="68">
        <f t="shared" ca="1" si="60"/>
        <v>4.4726360260493472</v>
      </c>
      <c r="AL12" s="8">
        <f t="shared" ca="1" si="61"/>
        <v>3.1912267057919461</v>
      </c>
      <c r="AM12" s="8">
        <f t="shared" ca="1" si="62"/>
        <v>6.0309990538638676</v>
      </c>
      <c r="AN12" s="8">
        <f t="shared" ca="1" si="63"/>
        <v>0.58647992430910934</v>
      </c>
      <c r="AO12" s="8">
        <f t="shared" ca="1" si="64"/>
        <v>0.64674136234189927</v>
      </c>
      <c r="AP12" s="71">
        <f t="shared" si="65"/>
        <v>2.63E-2</v>
      </c>
      <c r="AQ12" s="19">
        <v>2</v>
      </c>
      <c r="AR12" s="19">
        <v>0</v>
      </c>
      <c r="AS12" s="19">
        <v>2</v>
      </c>
      <c r="AT12" s="27">
        <v>88500</v>
      </c>
    </row>
    <row r="13" spans="1:46" x14ac:dyDescent="0.25">
      <c r="A13" s="15" t="s">
        <v>40</v>
      </c>
      <c r="B13" s="15" t="s">
        <v>371</v>
      </c>
      <c r="C13" s="69">
        <f t="shared" ca="1" si="10"/>
        <v>11.589285714285714</v>
      </c>
      <c r="D13" s="111" t="s">
        <v>195</v>
      </c>
      <c r="E13" s="16">
        <v>22</v>
      </c>
      <c r="F13" s="2">
        <f ca="1">$D$2-$D$1-880-112-112-112-112</f>
        <v>46</v>
      </c>
      <c r="G13" s="17" t="s">
        <v>192</v>
      </c>
      <c r="H13" s="35">
        <v>6</v>
      </c>
      <c r="I13" s="26">
        <v>4.2</v>
      </c>
      <c r="J13" s="21">
        <f t="shared" si="47"/>
        <v>0.8309990538638673</v>
      </c>
      <c r="K13" s="6">
        <f t="shared" si="48"/>
        <v>151.20000000000002</v>
      </c>
      <c r="L13" s="6">
        <f t="shared" si="49"/>
        <v>205.8</v>
      </c>
      <c r="M13" s="72">
        <v>43051</v>
      </c>
      <c r="N13" s="73">
        <f t="shared" ca="1" si="50"/>
        <v>1</v>
      </c>
      <c r="O13" s="18">
        <v>5.0999999999999996</v>
      </c>
      <c r="P13" s="19">
        <f t="shared" si="51"/>
        <v>70</v>
      </c>
      <c r="Q13" s="25">
        <v>4</v>
      </c>
      <c r="R13" s="63">
        <f t="shared" si="52"/>
        <v>0.7559289460184544</v>
      </c>
      <c r="S13" s="63">
        <f t="shared" si="53"/>
        <v>0.84430867747355465</v>
      </c>
      <c r="T13" s="27">
        <v>57020</v>
      </c>
      <c r="U13" s="27">
        <f t="shared" si="54"/>
        <v>2540</v>
      </c>
      <c r="V13" s="27">
        <v>5690</v>
      </c>
      <c r="W13" s="8">
        <f t="shared" si="55"/>
        <v>10.021089630931458</v>
      </c>
      <c r="X13" s="20">
        <v>0</v>
      </c>
      <c r="Y13" s="21">
        <f>10+2/7</f>
        <v>10.285714285714286</v>
      </c>
      <c r="Z13" s="20">
        <v>3</v>
      </c>
      <c r="AA13" s="21">
        <v>12</v>
      </c>
      <c r="AB13" s="20">
        <f>5.4+0.2+0.2+0.2</f>
        <v>6.0000000000000009</v>
      </c>
      <c r="AC13" s="21">
        <f>3.34+0.34+0.33+0.33+0.33+0.33+0.33+0.33+0.33+0.26+0.25+0.25+0.25+0.25</f>
        <v>7.25</v>
      </c>
      <c r="AD13" s="20">
        <v>3</v>
      </c>
      <c r="AE13" s="9">
        <f>PLANNING!V10</f>
        <v>102.5</v>
      </c>
      <c r="AF13" s="9">
        <v>1961</v>
      </c>
      <c r="AG13" s="22">
        <f t="shared" ca="1" si="56"/>
        <v>4.4078209690219179</v>
      </c>
      <c r="AH13" s="22">
        <f t="shared" ca="1" si="57"/>
        <v>4.9280936596910019</v>
      </c>
      <c r="AI13" s="22">
        <f t="shared" ca="1" si="58"/>
        <v>4.8309990538638674</v>
      </c>
      <c r="AJ13" s="68">
        <f t="shared" ca="1" si="59"/>
        <v>3.6518920230034637</v>
      </c>
      <c r="AK13" s="68">
        <f t="shared" ca="1" si="60"/>
        <v>4.0829394049624854</v>
      </c>
      <c r="AL13" s="8">
        <f t="shared" ca="1" si="61"/>
        <v>2.624841508264089</v>
      </c>
      <c r="AM13" s="8">
        <f t="shared" ca="1" si="62"/>
        <v>6.1059990538638669</v>
      </c>
      <c r="AN13" s="8">
        <f t="shared" ca="1" si="63"/>
        <v>0.5989799243091094</v>
      </c>
      <c r="AO13" s="8">
        <f t="shared" ca="1" si="64"/>
        <v>0.62959850519904215</v>
      </c>
      <c r="AP13" s="71">
        <f t="shared" si="65"/>
        <v>6.1499999999999999E-2</v>
      </c>
      <c r="AQ13" s="19">
        <v>2</v>
      </c>
      <c r="AR13" s="19">
        <v>2</v>
      </c>
      <c r="AS13" s="19">
        <v>1</v>
      </c>
      <c r="AT13" s="27">
        <v>54480</v>
      </c>
    </row>
    <row r="14" spans="1:46" x14ac:dyDescent="0.25">
      <c r="A14" s="15" t="s">
        <v>30</v>
      </c>
      <c r="B14" s="15" t="s">
        <v>371</v>
      </c>
      <c r="C14" s="69">
        <f t="shared" ca="1" si="10"/>
        <v>11.625</v>
      </c>
      <c r="D14" s="111" t="s">
        <v>190</v>
      </c>
      <c r="E14" s="16">
        <v>22</v>
      </c>
      <c r="F14" s="2">
        <f ca="1">$D$2-$D$1-880-4-112-112-112-112</f>
        <v>42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</v>
      </c>
      <c r="P14" s="19">
        <f>O14*10+19</f>
        <v>79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101280</v>
      </c>
      <c r="U14" s="27">
        <f>T14-AT14</f>
        <v>-2050</v>
      </c>
      <c r="V14" s="27">
        <v>13450</v>
      </c>
      <c r="W14" s="8">
        <f>T14/V14</f>
        <v>7.5301115241635692</v>
      </c>
      <c r="X14" s="20">
        <v>0</v>
      </c>
      <c r="Y14" s="21">
        <f>8+4/5</f>
        <v>8.8000000000000007</v>
      </c>
      <c r="Z14" s="20">
        <v>5.7</v>
      </c>
      <c r="AA14" s="21">
        <f>12+0.2+0.2+0.2+0.2+0.2+(7/7)+(1/8)</f>
        <v>14.124999999999996</v>
      </c>
      <c r="AB14" s="20">
        <v>6</v>
      </c>
      <c r="AC14" s="21">
        <f>4.25+0.34+0.33+0.33+0.25+0.25+0.25+0.25+0.25+0.25+0.25+0.25+0.25</f>
        <v>7.5</v>
      </c>
      <c r="AD14" s="20">
        <v>5</v>
      </c>
      <c r="AE14" s="9">
        <f>PLANNING!V13</f>
        <v>113</v>
      </c>
      <c r="AF14" s="9">
        <v>2073</v>
      </c>
      <c r="AG14" s="22">
        <f>(AD14+1+(LOG(I14)*4/3)+N14)*(Q14/7)^0.5</f>
        <v>7.761776777430768</v>
      </c>
      <c r="AH14" s="22">
        <f>(AD14+1+N14+(LOG(I14)*4/3))*(IF(Q14=7, (Q14/7)^0.5, ((Q14+1)/7)^0.5))</f>
        <v>8.3836771089087652</v>
      </c>
      <c r="AI14" s="22">
        <f>(Z14+N14+(LOG(I14)*4/3))</f>
        <v>8.0836771089087662</v>
      </c>
      <c r="AJ14" s="68">
        <f>(Z14+N14+(LOG(I14)*4/3))*(Q14/7)^0.5</f>
        <v>7.4840307474990038</v>
      </c>
      <c r="AK14" s="68">
        <f>(Z14+N14+(LOG(I14)*4/3))*(IF(Q14=7, (Q14/7)^0.5, ((Q14+1)/7)^0.5))</f>
        <v>8.0836771089087662</v>
      </c>
      <c r="AL14" s="8">
        <f>(((Y14+LOG(I14)*4/3+N14)+(AB14+LOG(I14)*4/3+N14)*2)/8)*(Q14/7)^0.5</f>
        <v>3.2347033264569309</v>
      </c>
      <c r="AM14" s="8">
        <f>(AD14+LOG(I14)*4/3+N14)*0.7+(AC14+LOG(I14)*4/3+N14)*0.3</f>
        <v>8.1336771089087634</v>
      </c>
      <c r="AN14" s="8">
        <f>(0.5*(AC14+LOG(I14)*4/3+N14)+ 0.3*(AD14+LOG(I14)*4/3+N14))/10</f>
        <v>0.7156941687127012</v>
      </c>
      <c r="AO14" s="8">
        <f>(0.4*(Y14+LOG(I14)*4/3+N14)+0.3*(AD14+LOG(I14)*4/3+N14))/10</f>
        <v>0.66885739762361363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103330</v>
      </c>
    </row>
    <row r="15" spans="1:46" x14ac:dyDescent="0.25">
      <c r="A15" s="15" t="s">
        <v>35</v>
      </c>
      <c r="B15" s="15" t="s">
        <v>371</v>
      </c>
      <c r="C15" s="69">
        <f t="shared" ca="1" si="10"/>
        <v>11.625</v>
      </c>
      <c r="D15" s="111" t="s">
        <v>246</v>
      </c>
      <c r="E15" s="16">
        <v>22</v>
      </c>
      <c r="F15" s="2">
        <f ca="1">$D$2-$D$1-880-4-112-112-112-112</f>
        <v>42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77460</v>
      </c>
      <c r="U15" s="27">
        <f>T15-AT15</f>
        <v>2250</v>
      </c>
      <c r="V15" s="27">
        <v>9050</v>
      </c>
      <c r="W15" s="8">
        <f>T15/V15</f>
        <v>8.5591160220994471</v>
      </c>
      <c r="X15" s="20">
        <v>0</v>
      </c>
      <c r="Y15" s="21">
        <f>9+2/7</f>
        <v>9.2857142857142865</v>
      </c>
      <c r="Z15" s="20">
        <v>5</v>
      </c>
      <c r="AA15" s="21">
        <f>13+1.33/7</f>
        <v>13.19</v>
      </c>
      <c r="AB15" s="20">
        <f>4.5+0.25+0.25</f>
        <v>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107.88</v>
      </c>
      <c r="AF15" s="9">
        <v>1975</v>
      </c>
      <c r="AG15" s="22">
        <f ca="1">(AD15+1+(LOG(I15)*4/3)+N15)*(Q15/7)^0.5</f>
        <v>4.9042160246727713</v>
      </c>
      <c r="AH15" s="22">
        <f ca="1">(AD15+1+N15+(LOG(I15)*4/3))*(IF(Q15=7, (Q15/7)^0.5, ((Q15+1)/7)^0.5))</f>
        <v>5.3722994871831782</v>
      </c>
      <c r="AI15" s="22">
        <f ca="1">(Z15+N15+(LOG(I15)*4/3))</f>
        <v>6.8027466551039497</v>
      </c>
      <c r="AJ15" s="68">
        <f ca="1">(Z15+N15+(LOG(I15)*4/3))*(Q15/7)^0.5</f>
        <v>5.7493702794012878</v>
      </c>
      <c r="AK15" s="68">
        <f ca="1">(Z15+N15+(LOG(I15)*4/3))*(IF(Q15=7, (Q15/7)^0.5, ((Q15+1)/7)^0.5))</f>
        <v>6.2981195869557292</v>
      </c>
      <c r="AL15" s="8">
        <f ca="1">(((Y15+LOG(I15)*4/3+N15)+(AB15+LOG(I15)*4/3+N15)*2)/8)*(Q15/7)^0.5</f>
        <v>2.6087750626657598</v>
      </c>
      <c r="AM15" s="8">
        <f ca="1">(AD15+LOG(I15)*4/3+N15)*0.7+(AC15+LOG(I15)*4/3+N15)*0.3</f>
        <v>6.2432466551039498</v>
      </c>
      <c r="AN15" s="8">
        <f ca="1">(0.5*(AC15+LOG(I15)*4/3+N15)+ 0.3*(AD15+LOG(I15)*4/3+N15))/10</f>
        <v>0.6243030657416494</v>
      </c>
      <c r="AO15" s="8">
        <f ca="1">(0.4*(Y15+LOG(I15)*4/3+N15)+0.3*(AD15+LOG(I15)*4/3+N15))/10</f>
        <v>0.58762083728584791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75210</v>
      </c>
    </row>
    <row r="16" spans="1:46" x14ac:dyDescent="0.25">
      <c r="A16" s="15" t="s">
        <v>39</v>
      </c>
      <c r="B16" s="15" t="s">
        <v>75</v>
      </c>
      <c r="C16" s="69">
        <f t="shared" ca="1" si="10"/>
        <v>3.9017857142857144</v>
      </c>
      <c r="D16" s="122" t="s">
        <v>369</v>
      </c>
      <c r="E16" s="16">
        <v>30</v>
      </c>
      <c r="F16" s="2">
        <f ca="1">$D$2-$D$1-880+25-112-112-60-112-112</f>
        <v>11</v>
      </c>
      <c r="G16" s="17" t="s">
        <v>101</v>
      </c>
      <c r="H16" s="4">
        <v>1</v>
      </c>
      <c r="I16" s="26">
        <v>7</v>
      </c>
      <c r="J16" s="21">
        <f t="shared" ref="J16:J21" si="66">LOG(I16)*4/3</f>
        <v>1.1267973866856758</v>
      </c>
      <c r="K16" s="6">
        <f t="shared" ref="K16:K17" si="67">(H16)*(H16)*(I16)</f>
        <v>7</v>
      </c>
      <c r="L16" s="6">
        <f t="shared" ref="L16:L17" si="68">(H16+1)*(H16+1)*I16</f>
        <v>28</v>
      </c>
      <c r="M16" s="72">
        <v>43409</v>
      </c>
      <c r="N16" s="73">
        <f t="shared" ca="1" si="50"/>
        <v>0.79113509781959868</v>
      </c>
      <c r="O16" s="18">
        <v>5.8</v>
      </c>
      <c r="P16" s="19">
        <f t="shared" ref="P16:P21" si="69">O16*10+19</f>
        <v>77</v>
      </c>
      <c r="Q16" s="25">
        <v>5</v>
      </c>
      <c r="R16" s="63">
        <f t="shared" ref="R16:R21" si="70">(Q16/7)^0.5</f>
        <v>0.84515425472851657</v>
      </c>
      <c r="S16" s="63">
        <f t="shared" ref="S16:S21" si="71">IF(Q16=7,1,((Q16+0.99)/7)^0.5)</f>
        <v>0.92504826128926143</v>
      </c>
      <c r="T16" s="27">
        <v>65380</v>
      </c>
      <c r="U16" s="27">
        <f t="shared" ref="U16:U21" si="72">T16-AT16</f>
        <v>-5290</v>
      </c>
      <c r="V16" s="27">
        <v>17100</v>
      </c>
      <c r="W16" s="8">
        <f t="shared" ref="W16:W21" si="73">T16/V16</f>
        <v>3.8233918128654971</v>
      </c>
      <c r="X16" s="20">
        <v>0</v>
      </c>
      <c r="Y16" s="21">
        <v>9</v>
      </c>
      <c r="Z16" s="20">
        <v>13</v>
      </c>
      <c r="AA16" s="21">
        <v>6</v>
      </c>
      <c r="AB16" s="20">
        <v>7</v>
      </c>
      <c r="AC16" s="21">
        <v>7</v>
      </c>
      <c r="AD16" s="20">
        <v>17</v>
      </c>
      <c r="AE16" s="9">
        <f>30+58+8.5+14+16+25</f>
        <v>151.5</v>
      </c>
      <c r="AF16" s="9"/>
      <c r="AG16" s="22">
        <f t="shared" ref="AG16:AG17" ca="1" si="74">(AD16+1+(LOG(I16)*4/3)+N16)*(Q16/7)^0.5</f>
        <v>16.833725384674967</v>
      </c>
      <c r="AH16" s="22">
        <f t="shared" ref="AH16:AH17" ca="1" si="75">(AD16+1+N16+(LOG(I16)*4/3))*(IF(Q16=7, (Q16/7)^0.5, ((Q16+1)/7)^0.5))</f>
        <v>18.440422240067615</v>
      </c>
      <c r="AI16" s="22">
        <f t="shared" ref="AI16:AI17" ca="1" si="76">(Z16+N16+(LOG(I16)*4/3))</f>
        <v>14.917932484505274</v>
      </c>
      <c r="AJ16" s="68">
        <f t="shared" ref="AJ16:AJ17" ca="1" si="77">(Z16+N16+(LOG(I16)*4/3))*(Q16/7)^0.5</f>
        <v>12.607954111032383</v>
      </c>
      <c r="AK16" s="68">
        <f t="shared" ref="AK16:AK17" ca="1" si="78">(Z16+N16+(LOG(I16)*4/3))*(IF(Q16=7, (Q16/7)^0.5, ((Q16+1)/7)^0.5))</f>
        <v>13.811321741204859</v>
      </c>
      <c r="AL16" s="8">
        <f t="shared" ref="AL16:AL17" ca="1" si="79">(((Y16+LOG(I16)*4/3+N16)+(AB16+LOG(I16)*4/3+N16)*2)/8)*(Q16/7)^0.5</f>
        <v>3.0376742821801104</v>
      </c>
      <c r="AM16" s="8">
        <f t="shared" ref="AM16:AM17" ca="1" si="80">(AD16+LOG(I16)*4/3+N16)*0.7+(AC16+LOG(I16)*4/3+N16)*0.3</f>
        <v>15.917932484505275</v>
      </c>
      <c r="AN16" s="8">
        <f t="shared" ref="AN16:AN17" ca="1" si="81">(0.5*(AC16+LOG(I16)*4/3+N16)+ 0.3*(AD16+LOG(I16)*4/3+N16))/10</f>
        <v>1.0134345987604221</v>
      </c>
      <c r="AO16" s="8">
        <f t="shared" ref="AO16:AO17" ca="1" si="82">(0.4*(Y16+LOG(I16)*4/3+N16)+0.3*(AD16+LOG(I16)*4/3+N16))/10</f>
        <v>1.0042552739153692</v>
      </c>
      <c r="AP16" s="71">
        <f t="shared" ref="AP16:AP17" si="8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70670</v>
      </c>
    </row>
    <row r="17" spans="1:46" x14ac:dyDescent="0.25">
      <c r="A17" s="15" t="s">
        <v>240</v>
      </c>
      <c r="B17" s="23" t="s">
        <v>75</v>
      </c>
      <c r="C17" s="69">
        <f t="shared" ca="1" si="10"/>
        <v>2.8571428571428572</v>
      </c>
      <c r="D17" s="122" t="s">
        <v>355</v>
      </c>
      <c r="E17" s="1">
        <v>31</v>
      </c>
      <c r="F17" s="2">
        <f ca="1">$D$2-$D$1-880+25-112-112-55-112-112</f>
        <v>16</v>
      </c>
      <c r="G17" s="3" t="s">
        <v>192</v>
      </c>
      <c r="H17" s="107">
        <v>5</v>
      </c>
      <c r="I17" s="5">
        <v>4.8</v>
      </c>
      <c r="J17" s="21">
        <f t="shared" si="66"/>
        <v>0.90832164983411623</v>
      </c>
      <c r="K17" s="6">
        <f t="shared" si="67"/>
        <v>120</v>
      </c>
      <c r="L17" s="6">
        <f t="shared" si="68"/>
        <v>172.79999999999998</v>
      </c>
      <c r="M17" s="72">
        <v>43415</v>
      </c>
      <c r="N17" s="73">
        <f t="shared" ca="1" si="50"/>
        <v>0.77803549598249677</v>
      </c>
      <c r="O17" s="24">
        <v>5.6</v>
      </c>
      <c r="P17" s="19">
        <f t="shared" si="69"/>
        <v>75</v>
      </c>
      <c r="Q17" s="25">
        <v>5</v>
      </c>
      <c r="R17" s="63">
        <f t="shared" si="70"/>
        <v>0.84515425472851657</v>
      </c>
      <c r="S17" s="63">
        <f t="shared" si="71"/>
        <v>0.92504826128926143</v>
      </c>
      <c r="T17" s="27">
        <v>11730</v>
      </c>
      <c r="U17" s="27">
        <f t="shared" si="72"/>
        <v>680</v>
      </c>
      <c r="V17" s="7">
        <v>5892</v>
      </c>
      <c r="W17" s="8">
        <f t="shared" si="73"/>
        <v>1.9908350305498981</v>
      </c>
      <c r="X17" s="20">
        <v>0</v>
      </c>
      <c r="Y17" s="21">
        <v>5</v>
      </c>
      <c r="Z17" s="20">
        <v>11</v>
      </c>
      <c r="AA17" s="21">
        <v>2</v>
      </c>
      <c r="AB17" s="20">
        <v>4</v>
      </c>
      <c r="AC17" s="21">
        <v>5</v>
      </c>
      <c r="AD17" s="20">
        <v>12</v>
      </c>
      <c r="AE17" s="9">
        <f>10+40+4+8+12</f>
        <v>74</v>
      </c>
      <c r="AF17" s="9"/>
      <c r="AG17" s="22">
        <f t="shared" ca="1" si="74"/>
        <v>12.412237228249463</v>
      </c>
      <c r="AH17" s="22">
        <f t="shared" ca="1" si="75"/>
        <v>13.59692463803526</v>
      </c>
      <c r="AI17" s="22">
        <f t="shared" ca="1" si="76"/>
        <v>12.686357145816613</v>
      </c>
      <c r="AJ17" s="68">
        <f t="shared" ca="1" si="77"/>
        <v>10.72192871879243</v>
      </c>
      <c r="AK17" s="68">
        <f t="shared" ca="1" si="78"/>
        <v>11.745284438490158</v>
      </c>
      <c r="AL17" s="8">
        <f t="shared" ca="1" si="79"/>
        <v>1.9078376327258697</v>
      </c>
      <c r="AM17" s="8">
        <f t="shared" ca="1" si="80"/>
        <v>11.586357145816613</v>
      </c>
      <c r="AN17" s="8">
        <f t="shared" ca="1" si="81"/>
        <v>0.74490857166532909</v>
      </c>
      <c r="AO17" s="8">
        <f t="shared" ca="1" si="82"/>
        <v>0.67804500020716296</v>
      </c>
      <c r="AP17" s="71">
        <f t="shared" si="83"/>
        <v>4.9399999999999999E-2</v>
      </c>
      <c r="AQ17" s="19">
        <v>2</v>
      </c>
      <c r="AR17" s="19">
        <v>1</v>
      </c>
      <c r="AS17" s="19">
        <v>1</v>
      </c>
      <c r="AT17" s="27">
        <v>11050</v>
      </c>
    </row>
    <row r="18" spans="1:46" x14ac:dyDescent="0.25">
      <c r="A18" s="15" t="s">
        <v>189</v>
      </c>
      <c r="B18" s="15" t="s">
        <v>75</v>
      </c>
      <c r="C18" s="69">
        <f t="shared" ca="1" si="10"/>
        <v>11.258928571428571</v>
      </c>
      <c r="D18" s="122" t="s">
        <v>191</v>
      </c>
      <c r="E18" s="16">
        <v>22</v>
      </c>
      <c r="F18" s="2">
        <f ca="1">$D$2-$D$1-880+37-112-112-112-112</f>
        <v>83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3860</v>
      </c>
      <c r="U18" s="27">
        <f>T18-AT18</f>
        <v>10</v>
      </c>
      <c r="V18" s="27">
        <v>450</v>
      </c>
      <c r="W18" s="8">
        <f>T18/V18</f>
        <v>8.5777777777777775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</f>
        <v>4.25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22">
        <f ca="1">(AD18+1+(LOG(I18)*4/3)+N18)*(Q18/7)^0.5</f>
        <v>4.6741988622504165</v>
      </c>
      <c r="AH18" s="22">
        <f ca="1">(AD18+1+N18+(LOG(I18)*4/3))*(IF(Q18=7, (Q18/7)^0.5, ((Q18+1)/7)^0.5))</f>
        <v>5.1203283102390715</v>
      </c>
      <c r="AI18" s="22">
        <f ca="1">(Z18+N18+(LOG(I18)*4/3))</f>
        <v>7.5305866782293833</v>
      </c>
      <c r="AJ18" s="68">
        <f ca="1">(Z18+N18+(LOG(I18)*4/3))*(Q18/7)^0.5</f>
        <v>6.3645073717074494</v>
      </c>
      <c r="AK18" s="68">
        <f ca="1">(Z18+N18+(LOG(I18)*4/3))*(IF(Q18=7, (Q18/7)^0.5, ((Q18+1)/7)^0.5))</f>
        <v>6.9719685097841744</v>
      </c>
      <c r="AL18" s="8">
        <f ca="1">(((Y18+LOG(I18)*4/3+N18)+(AB18+LOG(I18)*4/3+N18)*2)/8)*(Q18/7)^0.5</f>
        <v>1.8056467142644386</v>
      </c>
      <c r="AM18" s="8">
        <f ca="1">(AD18+LOG(I18)*4/3+N18)*0.7+(AC18+LOG(I18)*4/3+N18)*0.3</f>
        <v>5.3162945213666379</v>
      </c>
      <c r="AN18" s="8">
        <f ca="1">(0.5*(AC18+LOG(I18)*4/3+N18)+ 0.3*(AD18+LOG(I18)*4/3+N18))/10</f>
        <v>0.49339824144789307</v>
      </c>
      <c r="AO18" s="8">
        <f ca="1">(0.4*(Y18+LOG(I18)*4/3+N18)+0.3*(AD18+LOG(I18)*4/3+N18))/10</f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3850</v>
      </c>
    </row>
    <row r="19" spans="1:46" x14ac:dyDescent="0.25">
      <c r="A19" s="15" t="s">
        <v>340</v>
      </c>
      <c r="B19" s="15" t="s">
        <v>43</v>
      </c>
      <c r="C19" s="69">
        <f t="shared" ca="1" si="10"/>
        <v>2.9285714285714284</v>
      </c>
      <c r="D19" s="122" t="s">
        <v>362</v>
      </c>
      <c r="E19" s="16">
        <v>31</v>
      </c>
      <c r="F19" s="2">
        <f ca="1">$D$2-$D$1-880+25-112-3-112-60-112-112</f>
        <v>8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0.76702366970655766</v>
      </c>
      <c r="O19" s="18">
        <v>5.4</v>
      </c>
      <c r="P19" s="19">
        <f>O19*10+19</f>
        <v>73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7740</v>
      </c>
      <c r="U19" s="27">
        <f>T19-AT19</f>
        <v>-2770</v>
      </c>
      <c r="V19" s="27">
        <v>3072</v>
      </c>
      <c r="W19" s="8">
        <f>T19/V19</f>
        <v>2.51953125</v>
      </c>
      <c r="X19" s="20">
        <v>0</v>
      </c>
      <c r="Y19" s="21">
        <v>5</v>
      </c>
      <c r="Z19" s="20">
        <v>2</v>
      </c>
      <c r="AA19" s="21">
        <v>4</v>
      </c>
      <c r="AB19" s="20">
        <v>7</v>
      </c>
      <c r="AC19" s="21">
        <v>10</v>
      </c>
      <c r="AD19" s="20">
        <v>14</v>
      </c>
      <c r="AE19" s="9">
        <f>10+3.5+14+33+16</f>
        <v>76.5</v>
      </c>
      <c r="AF19" s="9"/>
      <c r="AG19" s="22">
        <f ca="1">(AD19+1+(LOG(I19)*4/3)+N19)*(Q19/7)^0.5</f>
        <v>12.744772229035942</v>
      </c>
      <c r="AH19" s="22">
        <f ca="1">(AD19+1+N19+(LOG(I19)*4/3))*(IF(Q19=7, (Q19/7)^0.5, ((Q19+1)/7)^0.5))</f>
        <v>14.249088530937943</v>
      </c>
      <c r="AI19" s="22">
        <f ca="1">(Z19+N19+(LOG(I19)*4/3))</f>
        <v>3.859748917095716</v>
      </c>
      <c r="AJ19" s="68">
        <f ca="1">(Z19+N19+(LOG(I19)*4/3))*(Q19/7)^0.5</f>
        <v>2.9176959307960355</v>
      </c>
      <c r="AK19" s="68">
        <f ca="1">(Z19+N19+(LOG(I19)*4/3))*(IF(Q19=7, (Q19/7)^0.5, ((Q19+1)/7)^0.5))</f>
        <v>3.2620832194672289</v>
      </c>
      <c r="AL19" s="8">
        <f ca="1">(((Y19+LOG(I19)*4/3+N19)+(AB19+LOG(I19)*4/3+N19)*2)/8)*(Q19/7)^0.5</f>
        <v>2.3225205113285012</v>
      </c>
      <c r="AM19" s="8">
        <f ca="1">(AD19+LOG(I19)*4/3+N19)*0.7+(AC19+LOG(I19)*4/3+N19)*0.3</f>
        <v>14.659748917095714</v>
      </c>
      <c r="AN19" s="8">
        <f ca="1">(0.5*(AC19+LOG(I19)*4/3+N19)+ 0.3*(AD19+LOG(I19)*4/3+N19))/10</f>
        <v>1.068779913367657</v>
      </c>
      <c r="AO19" s="8">
        <f ca="1">(0.4*(Y19+LOG(I19)*4/3+N19)+0.3*(AD19+LOG(I19)*4/3+N19))/10</f>
        <v>0.7501824241967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10510</v>
      </c>
    </row>
    <row r="20" spans="1:46" x14ac:dyDescent="0.25">
      <c r="A20" s="15" t="s">
        <v>347</v>
      </c>
      <c r="B20" s="15" t="s">
        <v>43</v>
      </c>
      <c r="C20" s="69">
        <f t="shared" ca="1" si="10"/>
        <v>2.5892857142857144</v>
      </c>
      <c r="D20" s="122" t="s">
        <v>356</v>
      </c>
      <c r="E20" s="16">
        <v>31</v>
      </c>
      <c r="F20" s="2">
        <f ca="1">$D$2-$D$1-880+56-112-112+41-112+15-112-112</f>
        <v>46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0.77364134993024503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12750</v>
      </c>
      <c r="U20" s="27">
        <f>T20-AT20</f>
        <v>40</v>
      </c>
      <c r="V20" s="27">
        <v>2124</v>
      </c>
      <c r="W20" s="8">
        <f>T20/V20</f>
        <v>6.0028248587570623</v>
      </c>
      <c r="X20" s="20">
        <v>0</v>
      </c>
      <c r="Y20" s="21">
        <v>6</v>
      </c>
      <c r="Z20" s="20">
        <v>2</v>
      </c>
      <c r="AA20" s="21">
        <v>6</v>
      </c>
      <c r="AB20" s="20">
        <v>9</v>
      </c>
      <c r="AC20" s="21">
        <v>8.9499999999999993</v>
      </c>
      <c r="AD20" s="20">
        <v>13</v>
      </c>
      <c r="AE20" s="9">
        <f>14+8.5+23+27+14</f>
        <v>86.5</v>
      </c>
      <c r="AF20" s="9"/>
      <c r="AG20" s="22">
        <f ca="1">(AD20+1+(LOG(I20)*4/3)+N20)*(Q20/7)^0.5</f>
        <v>15.839428749201687</v>
      </c>
      <c r="AH20" s="22">
        <f ca="1">(AD20+1+N20+(LOG(I20)*4/3))*(IF(Q20=7, (Q20/7)^0.5, ((Q20+1)/7)^0.5))</f>
        <v>15.839428749201687</v>
      </c>
      <c r="AI20" s="22">
        <f ca="1">(Z20+N20+(LOG(I20)*4/3))</f>
        <v>3.8394287492016872</v>
      </c>
      <c r="AJ20" s="68">
        <f ca="1">(Z20+N20+(LOG(I20)*4/3))*(Q20/7)^0.5</f>
        <v>3.8394287492016872</v>
      </c>
      <c r="AK20" s="68">
        <f ca="1">(Z20+N20+(LOG(I20)*4/3))*(IF(Q20=7, (Q20/7)^0.5, ((Q20+1)/7)^0.5))</f>
        <v>3.8394287492016872</v>
      </c>
      <c r="AL20" s="8">
        <f ca="1">(((Y20+LOG(I20)*4/3+N20)+(AB20+LOG(I20)*4/3+N20)*2)/8)*(Q20/7)^0.5</f>
        <v>3.6897857809506327</v>
      </c>
      <c r="AM20" s="8">
        <f ca="1">(AD20+LOG(I20)*4/3+N20)*0.7+(AC20+LOG(I20)*4/3+N20)*0.3</f>
        <v>13.624428749201686</v>
      </c>
      <c r="AN20" s="8">
        <f ca="1">(0.5*(AC20+LOG(I20)*4/3+N20)+ 0.3*(AD20+LOG(I20)*4/3+N20))/10</f>
        <v>0.98465429993613507</v>
      </c>
      <c r="AO20" s="8">
        <f ca="1">(0.4*(Y20+LOG(I20)*4/3+N20)+0.3*(AD20+LOG(I20)*4/3+N20))/10</f>
        <v>0.75876001244411806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0"/>
        <v>3.8125</v>
      </c>
      <c r="D21" s="122" t="s">
        <v>370</v>
      </c>
      <c r="E21" s="16">
        <v>30</v>
      </c>
      <c r="F21" s="2">
        <f ca="1">$D$2-$D$1-1100+25-112-166</f>
        <v>21</v>
      </c>
      <c r="G21" s="17" t="s">
        <v>0</v>
      </c>
      <c r="H21" s="4">
        <v>3</v>
      </c>
      <c r="I21" s="26">
        <v>5.9</v>
      </c>
      <c r="J21" s="21">
        <f t="shared" si="66"/>
        <v>1.0278026821895256</v>
      </c>
      <c r="K21" s="6">
        <f t="shared" ref="K21" si="84">(H21)*(H21)*(I21)</f>
        <v>53.1</v>
      </c>
      <c r="L21" s="6">
        <f t="shared" ref="L21" si="85">(H21+1)*(H21+1)*I21</f>
        <v>94.4</v>
      </c>
      <c r="M21" s="72">
        <v>43417</v>
      </c>
      <c r="N21" s="73">
        <f ca="1">IF((TODAY()-M21)&gt;335,1,((TODAY()-M21)^0.64)/(336^0.64))</f>
        <v>0.77364134993024503</v>
      </c>
      <c r="O21" s="18">
        <v>4.9000000000000004</v>
      </c>
      <c r="P21" s="19">
        <f t="shared" si="69"/>
        <v>68</v>
      </c>
      <c r="Q21" s="25">
        <v>6</v>
      </c>
      <c r="R21" s="63">
        <f t="shared" si="70"/>
        <v>0.92582009977255142</v>
      </c>
      <c r="S21" s="63">
        <f t="shared" si="71"/>
        <v>0.99928545900129484</v>
      </c>
      <c r="T21" s="27">
        <v>39490</v>
      </c>
      <c r="U21" s="27">
        <f t="shared" si="72"/>
        <v>560</v>
      </c>
      <c r="V21" s="27">
        <v>8436</v>
      </c>
      <c r="W21" s="8">
        <f t="shared" si="73"/>
        <v>4.6811284969179709</v>
      </c>
      <c r="X21" s="20">
        <v>0</v>
      </c>
      <c r="Y21" s="21">
        <v>5</v>
      </c>
      <c r="Z21" s="20">
        <v>6</v>
      </c>
      <c r="AA21" s="21">
        <v>5</v>
      </c>
      <c r="AB21" s="20">
        <v>9</v>
      </c>
      <c r="AC21" s="21">
        <v>12</v>
      </c>
      <c r="AD21" s="20">
        <v>0</v>
      </c>
      <c r="AE21" s="9">
        <f>10+12+5.5+23+49</f>
        <v>99.5</v>
      </c>
      <c r="AF21" s="9"/>
      <c r="AG21" s="22">
        <f t="shared" ref="AG21" ca="1" si="86">(AD21+1+(LOG(I21)*4/3)+N21)*(Q21/7)^0.5</f>
        <v>2.5936331933243451</v>
      </c>
      <c r="AH21" s="22">
        <f t="shared" ref="AH21" ca="1" si="87">(AD21+1+N21+(LOG(I21)*4/3))*(IF(Q21=7, (Q21/7)^0.5, ((Q21+1)/7)^0.5))</f>
        <v>2.8014440321197709</v>
      </c>
      <c r="AI21" s="22">
        <f t="shared" ref="AI21" ca="1" si="88">(Z21+N21+(LOG(I21)*4/3))</f>
        <v>7.8014440321197709</v>
      </c>
      <c r="AJ21" s="68">
        <f t="shared" ref="AJ21" ca="1" si="89">(Z21+N21+(LOG(I21)*4/3))*(Q21/7)^0.5</f>
        <v>7.2227336921871022</v>
      </c>
      <c r="AK21" s="68">
        <f t="shared" ref="AK21" ca="1" si="90">(Z21+N21+(LOG(I21)*4/3))*(IF(Q21=7, (Q21/7)^0.5, ((Q21+1)/7)^0.5))</f>
        <v>7.8014440321197709</v>
      </c>
      <c r="AL21" s="8">
        <f t="shared" ref="AL21" ca="1" si="91">(((Y21+LOG(I21)*4/3+N21)+(AB21+LOG(I21)*4/3+N21)*2)/8)*(Q21/7)^0.5</f>
        <v>3.2871626969280077</v>
      </c>
      <c r="AM21" s="8">
        <f t="shared" ref="AM21" ca="1" si="92">(AD21+LOG(I21)*4/3+N21)*0.7+(AC21+LOG(I21)*4/3+N21)*0.3</f>
        <v>5.4014440321197696</v>
      </c>
      <c r="AN21" s="8">
        <f t="shared" ref="AN21" ca="1" si="93">(0.5*(AC21+LOG(I21)*4/3+N21)+ 0.3*(AD21+LOG(I21)*4/3+N21))/10</f>
        <v>0.74411552256958158</v>
      </c>
      <c r="AO21" s="8">
        <f t="shared" ref="AO21" ca="1" si="94">(0.4*(Y21+LOG(I21)*4/3+N21)+0.3*(AD21+LOG(I21)*4/3+N21))/10</f>
        <v>0.32610108224838397</v>
      </c>
      <c r="AP21" s="71">
        <f t="shared" ref="AP21" si="95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38930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07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U4:U21">
    <cfRule type="dataBar" priority="5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{8A6F6FBC-D49C-4DBA-A001-836503F14D7E}</x14:id>
        </ext>
      </extLst>
    </cfRule>
  </conditionalFormatting>
  <conditionalFormatting sqref="V4:V21">
    <cfRule type="dataBar" priority="55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G4:AH21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K21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1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2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3">
      <colorScale>
        <cfvo type="min"/>
        <cfvo type="max"/>
        <color rgb="FFF8696B"/>
        <color rgb="FFFCFCFF"/>
      </colorScale>
    </cfRule>
  </conditionalFormatting>
  <conditionalFormatting sqref="AT4:AT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{4817DBCB-A351-402E-9B49-DC2AEBA1BDA7}</x14:id>
        </ext>
      </extLst>
    </cfRule>
  </conditionalFormatting>
  <conditionalFormatting sqref="I4: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6F6FBC-D49C-4DBA-A001-836503F14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4817DBCB-A351-402E-9B49-DC2AEBA1B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53</v>
      </c>
      <c r="D3" s="114">
        <f>PLANTILLA!G4</f>
        <v>0</v>
      </c>
      <c r="E3" s="28">
        <f>PLANTILLA!M4</f>
        <v>43415</v>
      </c>
      <c r="F3" s="42">
        <f>PLANTILLA!Q4</f>
        <v>3</v>
      </c>
      <c r="G3" s="43">
        <f t="shared" ref="G3" si="0">(F3/7)^0.5</f>
        <v>0.65465367070797709</v>
      </c>
      <c r="H3" s="43">
        <f t="shared" ref="H3" si="1">IF(F3=7,1,((F3+0.99)/7)^0.5)</f>
        <v>0.75498344352707503</v>
      </c>
      <c r="I3" s="140">
        <f ca="1">PLANTILLA!N4</f>
        <v>0.77803549598249677</v>
      </c>
      <c r="J3" s="34">
        <f>PLANTILLA!I4</f>
        <v>4.5999999999999996</v>
      </c>
      <c r="K3" s="41">
        <f>PLANTILLA!X4</f>
        <v>15</v>
      </c>
      <c r="L3" s="41">
        <f>PLANTILLA!Y4</f>
        <v>10.428571428571429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1.6785714285714286</v>
      </c>
      <c r="S3" s="41">
        <f t="shared" ref="S3" si="3">(0.5*P3+ 0.3*Q3)/10</f>
        <v>0.08</v>
      </c>
      <c r="T3" s="41">
        <f t="shared" ref="T3" si="4">(0.4*L3+0.3*Q3)/10</f>
        <v>0.44714285714285718</v>
      </c>
      <c r="U3" s="41">
        <f t="shared" ref="U3" ca="1" si="5">(Q3+I3+(LOG(J3)*4/3))*(F3/7)^0.5</f>
        <v>1.7424999271617565</v>
      </c>
      <c r="V3" s="41">
        <f t="shared" ref="V3" ca="1" si="6">IF(F3=7,U3,(Q3+I3+(LOG(J3)*4/3))*((F3+0.99)/7)^0.5)</f>
        <v>2.0095489481202264</v>
      </c>
      <c r="W3" s="32">
        <f t="shared" ref="W3" ca="1" si="7">((K3+I3+(LOG(J3)*4/3))*0.597)+((L3+I3+(LOG(J3)*4/3))*0.276)</f>
        <v>13.283960818355787</v>
      </c>
      <c r="X3" s="32">
        <f t="shared" ref="X3" ca="1" si="8">((K3+I3+(LOG(J3)*4/3))*0.866)+((L3+I3+(LOG(J3)*4/3))*0.425)</f>
        <v>19.567413830057479</v>
      </c>
      <c r="Y3" s="32">
        <f t="shared" ref="Y3" ca="1" si="9">W3</f>
        <v>13.283960818355787</v>
      </c>
      <c r="Z3" s="32">
        <f t="shared" ref="Z3" ca="1" si="10">((L3+I3+(LOG(J3)*4/3))*0.516)</f>
        <v>6.2385865612667484</v>
      </c>
      <c r="AA3" s="32">
        <f t="shared" ref="AA3" ca="1" si="11">((L3+I3+(LOG(J3)*4/3))*1)</f>
        <v>12.090284033462691</v>
      </c>
      <c r="AB3" s="32">
        <f t="shared" ref="AB3" ca="1" si="12">Z3/2</f>
        <v>3.1192932806333742</v>
      </c>
      <c r="AC3" s="32">
        <f t="shared" ref="AC3" ca="1" si="13">((M3+I3+(LOG(J3)*4/3))*0.238)</f>
        <v>0.39548759996412042</v>
      </c>
      <c r="AD3" s="32">
        <f t="shared" ref="AD3" ca="1" si="14">((L3+I3+(LOG(J3)*4/3))*0.378)</f>
        <v>4.5701273646488971</v>
      </c>
      <c r="AE3" s="32">
        <f t="shared" ref="AE3" ca="1" si="15">((L3+I3+(LOG(J3)*4/3))*0.723)</f>
        <v>8.7412753561935244</v>
      </c>
      <c r="AF3" s="32">
        <f t="shared" ref="AF3" ca="1" si="16">AD3/2</f>
        <v>2.2850636823244486</v>
      </c>
      <c r="AG3" s="32">
        <f t="shared" ref="AG3" ca="1" si="17">((M3+I3+(LOG(J3)*4/3))*0.385)</f>
        <v>0.63975935288313601</v>
      </c>
      <c r="AH3" s="32">
        <f t="shared" ref="AH3" ca="1" si="18">((L3+I3+(LOG(J3)*4/3))*0.92)</f>
        <v>11.123061310785676</v>
      </c>
      <c r="AI3" s="32">
        <f t="shared" ref="AI3" ca="1" si="19">((L3+I3+(LOG(J3)*4/3))*0.414)</f>
        <v>5.0053775898535537</v>
      </c>
      <c r="AJ3" s="32">
        <f t="shared" ref="AJ3" ca="1" si="20">((M3+I3+(LOG(J3)*4/3))*0.167)</f>
        <v>0.27750600501684081</v>
      </c>
      <c r="AK3" s="32">
        <f t="shared" ref="AK3" ca="1" si="21">((N3+I3+(LOG(J3)*4/3))*0.588)</f>
        <v>0.97708701167606216</v>
      </c>
      <c r="AL3" s="32">
        <f t="shared" ref="AL3" ca="1" si="22">((L3+I3+(LOG(J3)*4/3))*0.754)</f>
        <v>9.1160741612308698</v>
      </c>
      <c r="AM3" s="32">
        <f t="shared" ref="AM3" ca="1" si="23">((L3+I3+(LOG(J3)*4/3))*0.708)</f>
        <v>8.5599210956915854</v>
      </c>
      <c r="AN3" s="32">
        <f t="shared" ref="AN3" ca="1" si="24">((Q3+I3+(LOG(J3)*4/3))*0.167)</f>
        <v>0.44450600501684084</v>
      </c>
      <c r="AO3" s="32">
        <f t="shared" ref="AO3" ca="1" si="25">((R3+I3+(LOG(J3)*4/3))*0.288)</f>
        <v>0.96200180163725491</v>
      </c>
      <c r="AP3" s="32">
        <f t="shared" ref="AP3" ca="1" si="26">((L3+I3+(LOG(J3)*4/3))*0.27)</f>
        <v>3.2643766890349268</v>
      </c>
      <c r="AQ3" s="32">
        <f t="shared" ref="AQ3" ca="1" si="27">((L3+I3+(LOG(J3)*4/3))*0.594)</f>
        <v>7.1816287158768377</v>
      </c>
      <c r="AR3" s="32">
        <f t="shared" ref="AR3" ca="1" si="28">AP3/2</f>
        <v>1.6321883445174634</v>
      </c>
      <c r="AS3" s="32">
        <f t="shared" ref="AS3" ca="1" si="29">((M3+I3+(LOG(J3)*4/3))*0.944)</f>
        <v>1.5686566990173516</v>
      </c>
      <c r="AT3" s="32">
        <f t="shared" ref="AT3" ca="1" si="30">((O3+I3+(LOG(J3)*4/3))*0.13)</f>
        <v>0.2160226386358641</v>
      </c>
      <c r="AU3" s="32">
        <f t="shared" ref="AU3" ca="1" si="31">((P3+I3+(LOG(J3)*4/3))*0.173)+((O3+I3+(LOG(J3)*4/3))*0.12)</f>
        <v>0.65988179323313989</v>
      </c>
      <c r="AV3" s="32">
        <f t="shared" ref="AV3" ca="1" si="32">AT3/2</f>
        <v>0.10801131931793205</v>
      </c>
      <c r="AW3" s="32">
        <f t="shared" ref="AW3" ca="1" si="33">((L3+I3+(LOG(J3)*4/3))*0.189)</f>
        <v>2.2850636823244486</v>
      </c>
      <c r="AX3" s="32">
        <f t="shared" ref="AX3" ca="1" si="34">((L3+I3+(LOG(J3)*4/3))*0.4)</f>
        <v>4.8361136133850771</v>
      </c>
      <c r="AY3" s="32">
        <f t="shared" ref="AY3" ca="1" si="35">AW3/2</f>
        <v>1.1425318411622243</v>
      </c>
      <c r="AZ3" s="32">
        <f t="shared" ref="AZ3" ca="1" si="36">((M3+I3+(LOG(J3)*4/3))*1)</f>
        <v>1.6617126048912623</v>
      </c>
      <c r="BA3" s="32">
        <f t="shared" ref="BA3" ca="1" si="37">((O3+I3+(LOG(J3)*4/3))*0.253)</f>
        <v>0.42041328903748937</v>
      </c>
      <c r="BB3" s="32">
        <f t="shared" ref="BB3" ca="1" si="38">((P3+I3+(LOG(J3)*4/3))*0.21)+((O3+I3+(LOG(J3)*4/3))*0.341)</f>
        <v>1.1256036452950855</v>
      </c>
      <c r="BC3" s="32">
        <f t="shared" ref="BC3" ca="1" si="39">BA3/2</f>
        <v>0.21020664451874468</v>
      </c>
      <c r="BD3" s="32">
        <f t="shared" ref="BD3" ca="1" si="40">((L3+I3+(LOG(J3)*4/3))*0.291)</f>
        <v>3.5182726537376428</v>
      </c>
      <c r="BE3" s="32">
        <f t="shared" ref="BE3" ca="1" si="41">((L3+I3+(LOG(J3)*4/3))*0.348)</f>
        <v>4.2074188436450157</v>
      </c>
      <c r="BF3" s="32">
        <f t="shared" ref="BF3" ca="1" si="42">((M3+I3+(LOG(J3)*4/3))*0.881)</f>
        <v>1.4639688049092021</v>
      </c>
      <c r="BG3" s="32">
        <f t="shared" ref="BG3" ca="1" si="43">((N3+I3+(LOG(J3)*4/3))*0.574)+((O3+I3+(LOG(J3)*4/3))*0.315)</f>
        <v>1.4772625057483322</v>
      </c>
      <c r="BH3" s="32">
        <f t="shared" ref="BH3" ca="1" si="44">((O3+I3+(LOG(J3)*4/3))*0.241)</f>
        <v>0.40047273777879422</v>
      </c>
      <c r="BI3" s="32">
        <f t="shared" ref="BI3" ca="1" si="45">((L3+I3+(LOG(J3)*4/3))*0.485)</f>
        <v>5.8637877562294047</v>
      </c>
      <c r="BJ3" s="32">
        <f t="shared" ref="BJ3" ca="1" si="46">((L3+I3+(LOG(J3)*4/3))*0.264)</f>
        <v>3.1918349848341507</v>
      </c>
      <c r="BK3" s="32">
        <f t="shared" ref="BK3" ca="1" si="47">((M3+I3+(LOG(J3)*4/3))*0.381)</f>
        <v>0.63311250246357098</v>
      </c>
      <c r="BL3" s="32">
        <f t="shared" ref="BL3" ca="1" si="48">((N3+I3+(LOG(J3)*4/3))*0.673)+((O3+I3+(LOG(J3)*4/3))*0.201)</f>
        <v>1.4523368166749633</v>
      </c>
      <c r="BM3" s="32">
        <f t="shared" ref="BM3" ca="1" si="49">((O3+I3+(LOG(J3)*4/3))*0.052)</f>
        <v>8.6409055454345629E-2</v>
      </c>
      <c r="BN3" s="32">
        <f t="shared" ref="BN3" ca="1" si="50">((L3+I3+(LOG(J3)*4/3))*0.18)</f>
        <v>2.1762511260232844</v>
      </c>
      <c r="BO3" s="32">
        <f t="shared" ref="BO3" ca="1" si="51">((L3+I3+(LOG(J3)*4/3))*0.068)</f>
        <v>0.82213931427546305</v>
      </c>
      <c r="BP3" s="32">
        <f t="shared" ref="BP3" ca="1" si="52">((M3+I3+(LOG(J3)*4/3))*0.305)</f>
        <v>0.50682234449183494</v>
      </c>
      <c r="BQ3" s="32">
        <f t="shared" ref="BQ3" ca="1" si="53">((N3+I3+(LOG(J3)*4/3))*1)+((O3+I3+(LOG(J3)*4/3))*0.286)</f>
        <v>2.1369624098901632</v>
      </c>
      <c r="BR3" s="32">
        <f t="shared" ref="BR3" ca="1" si="54">((O3+I3+(LOG(J3)*4/3))*0.135)</f>
        <v>0.22433120166032042</v>
      </c>
      <c r="BS3" s="32">
        <f t="shared" ref="BS3" ca="1" si="55">((L3+I3+(LOG(J3)*4/3))*0.284)</f>
        <v>3.433640665503404</v>
      </c>
      <c r="BT3" s="32">
        <f t="shared" ref="BT3" ca="1" si="56">((L3+I3+(LOG(J3)*4/3))*0.244)</f>
        <v>2.9500293041648966</v>
      </c>
      <c r="BU3" s="32">
        <f t="shared" ref="BU3" ca="1" si="57">((M3+I3+(LOG(J3)*4/3))*0.631)</f>
        <v>1.0485406536863866</v>
      </c>
      <c r="BV3" s="32">
        <f t="shared" ref="BV3" ca="1" si="58">((N3+I3+(LOG(J3)*4/3))*0.702)+((O3+I3+(LOG(J3)*4/3))*0.193)</f>
        <v>1.4872327813776796</v>
      </c>
      <c r="BW3" s="32">
        <f t="shared" ref="BW3" ca="1" si="59">((O3+I3+(LOG(J3)*4/3))*0.148)</f>
        <v>0.2459334655239068</v>
      </c>
      <c r="BX3" s="32">
        <f t="shared" ref="BX3" ca="1" si="60">((M3+I3+(LOG(J3)*4/3))*0.406)</f>
        <v>0.67465531758585251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0.99275226714834763</v>
      </c>
      <c r="BZ3" s="32">
        <f t="shared" ref="BZ3" ca="1" si="62">IF(D3="TEC",((O3+I3+(LOG(J3)*4/3))*0.543)+((P3+I3+(LOG(J3)*4/3))*0.583),((O3+I3+(LOG(J3)*4/3))*0.543)+((P3+I3+(LOG(J3)*4/3))*0.583))</f>
        <v>2.4540883931075612</v>
      </c>
      <c r="CA3" s="32">
        <f t="shared" ref="CA3" ca="1" si="63">BY3</f>
        <v>0.99275226714834763</v>
      </c>
      <c r="CB3" s="32">
        <f t="shared" ref="CB3" ca="1" si="64">((P3+I3+(LOG(J3)*4/3))*0.26)+((N3+I3+(LOG(J3)*4/3))*0.221)+((O3+I3+(LOG(J3)*4/3))*0.142)</f>
        <v>1.2952469528472563</v>
      </c>
      <c r="CC3" s="32">
        <f t="shared" ref="CC3" ca="1" si="65">((P3+I3+(LOG(J3)*4/3))*1)+((O3+I3+(LOG(J3)*4/3))*0.369)</f>
        <v>3.2748845560961382</v>
      </c>
      <c r="CD3" s="32">
        <f t="shared" ref="CD3" ca="1" si="66">CB3</f>
        <v>1.2952469528472563</v>
      </c>
      <c r="CE3" s="32">
        <f t="shared" ref="CE3" ca="1" si="67">((M3+I3+(LOG(J3)*4/3))*0.25)</f>
        <v>0.41542815122281557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78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50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0.82123776531293857</v>
      </c>
      <c r="J5" s="34">
        <f>PLANTILLA!I6</f>
        <v>2.6</v>
      </c>
      <c r="K5" s="41">
        <f>PLANTILLA!X6</f>
        <v>0</v>
      </c>
      <c r="L5" s="41">
        <f>PLANTILLA!Y6</f>
        <v>14.5625</v>
      </c>
      <c r="M5" s="41">
        <f>PLANTILLA!Z6</f>
        <v>5</v>
      </c>
      <c r="N5" s="41">
        <f>PLANTILLA!AA6</f>
        <v>5.4</v>
      </c>
      <c r="O5" s="41">
        <f>PLANTILLA!AB6</f>
        <v>5</v>
      </c>
      <c r="P5" s="41">
        <f>PLANTILLA!AC6</f>
        <v>2</v>
      </c>
      <c r="Q5" s="41">
        <f>PLANTILLA!AD6</f>
        <v>1</v>
      </c>
      <c r="R5" s="41">
        <f t="shared" si="70"/>
        <v>3.4453125</v>
      </c>
      <c r="S5" s="41">
        <f t="shared" si="71"/>
        <v>0.13</v>
      </c>
      <c r="T5" s="41">
        <f t="shared" si="72"/>
        <v>0.61250000000000004</v>
      </c>
      <c r="U5" s="41">
        <f t="shared" ca="1" si="73"/>
        <v>1.7949801651251209</v>
      </c>
      <c r="V5" s="41">
        <f t="shared" ca="1" si="74"/>
        <v>2.0048409804789449</v>
      </c>
      <c r="W5" s="32">
        <f t="shared" ca="1" si="75"/>
        <v>5.2192195461562276</v>
      </c>
      <c r="X5" s="32">
        <f t="shared" ca="1" si="76"/>
        <v>7.9635879113261057</v>
      </c>
      <c r="Y5" s="32">
        <f t="shared" ca="1" si="77"/>
        <v>5.2192195461562276</v>
      </c>
      <c r="Z5" s="32">
        <f t="shared" ca="1" si="78"/>
        <v>8.2235103503053999</v>
      </c>
      <c r="AA5" s="32">
        <f t="shared" ca="1" si="79"/>
        <v>15.937035562607363</v>
      </c>
      <c r="AB5" s="32">
        <f t="shared" ca="1" si="80"/>
        <v>4.1117551751526999</v>
      </c>
      <c r="AC5" s="32">
        <f t="shared" ca="1" si="81"/>
        <v>1.5171394639005522</v>
      </c>
      <c r="AD5" s="32">
        <f t="shared" ca="1" si="82"/>
        <v>6.0241994426655836</v>
      </c>
      <c r="AE5" s="32">
        <f t="shared" ca="1" si="83"/>
        <v>11.522476711765123</v>
      </c>
      <c r="AF5" s="32">
        <f t="shared" ca="1" si="84"/>
        <v>3.0120997213327918</v>
      </c>
      <c r="AG5" s="32">
        <f t="shared" ca="1" si="85"/>
        <v>2.4541961916038346</v>
      </c>
      <c r="AH5" s="32">
        <f t="shared" ca="1" si="86"/>
        <v>14.662072717598775</v>
      </c>
      <c r="AI5" s="32">
        <f t="shared" ca="1" si="87"/>
        <v>6.597932722919448</v>
      </c>
      <c r="AJ5" s="32">
        <f t="shared" ca="1" si="88"/>
        <v>1.0645474389554295</v>
      </c>
      <c r="AK5" s="32">
        <f t="shared" ca="1" si="89"/>
        <v>3.9834269108131291</v>
      </c>
      <c r="AL5" s="32">
        <f t="shared" ca="1" si="90"/>
        <v>12.016524814205951</v>
      </c>
      <c r="AM5" s="32">
        <f t="shared" ca="1" si="91"/>
        <v>11.283421178326012</v>
      </c>
      <c r="AN5" s="32">
        <f t="shared" ca="1" si="92"/>
        <v>0.39654743895542954</v>
      </c>
      <c r="AO5" s="32">
        <f t="shared" ca="1" si="93"/>
        <v>1.3881162420309203</v>
      </c>
      <c r="AP5" s="32">
        <f t="shared" ca="1" si="94"/>
        <v>4.3029996019039887</v>
      </c>
      <c r="AQ5" s="32">
        <f t="shared" ca="1" si="95"/>
        <v>9.4665991241887735</v>
      </c>
      <c r="AR5" s="32">
        <f t="shared" ca="1" si="96"/>
        <v>2.1514998009519943</v>
      </c>
      <c r="AS5" s="32">
        <f t="shared" ca="1" si="97"/>
        <v>6.0175615711013499</v>
      </c>
      <c r="AT5" s="32">
        <f t="shared" ca="1" si="98"/>
        <v>0.82868962313895711</v>
      </c>
      <c r="AU5" s="32">
        <f t="shared" ca="1" si="99"/>
        <v>1.348738919843957</v>
      </c>
      <c r="AV5" s="32">
        <f t="shared" ca="1" si="100"/>
        <v>0.41434481156947855</v>
      </c>
      <c r="AW5" s="32">
        <f t="shared" ca="1" si="101"/>
        <v>3.0120997213327918</v>
      </c>
      <c r="AX5" s="32">
        <f t="shared" ca="1" si="102"/>
        <v>6.3748142250429458</v>
      </c>
      <c r="AY5" s="32">
        <f t="shared" ca="1" si="103"/>
        <v>1.5060498606663959</v>
      </c>
      <c r="AZ5" s="32">
        <f t="shared" ca="1" si="104"/>
        <v>6.3745355626073623</v>
      </c>
      <c r="BA5" s="32">
        <f t="shared" ca="1" si="105"/>
        <v>1.6127574973396628</v>
      </c>
      <c r="BB5" s="32">
        <f t="shared" ca="1" si="106"/>
        <v>2.8823690949966565</v>
      </c>
      <c r="BC5" s="32">
        <f t="shared" ca="1" si="107"/>
        <v>0.80637874866983139</v>
      </c>
      <c r="BD5" s="32">
        <f t="shared" ca="1" si="108"/>
        <v>4.6376773487187428</v>
      </c>
      <c r="BE5" s="32">
        <f t="shared" ca="1" si="109"/>
        <v>5.5460883757873622</v>
      </c>
      <c r="BF5" s="32">
        <f t="shared" ca="1" si="110"/>
        <v>5.6159658306570863</v>
      </c>
      <c r="BG5" s="32">
        <f t="shared" ca="1" si="111"/>
        <v>5.8965621151579448</v>
      </c>
      <c r="BH5" s="32">
        <f t="shared" ca="1" si="112"/>
        <v>1.5362630705883742</v>
      </c>
      <c r="BI5" s="32">
        <f t="shared" ca="1" si="113"/>
        <v>7.7294622478645714</v>
      </c>
      <c r="BJ5" s="32">
        <f t="shared" ca="1" si="114"/>
        <v>4.2073773885283439</v>
      </c>
      <c r="BK5" s="32">
        <f t="shared" ca="1" si="115"/>
        <v>2.4286980493534052</v>
      </c>
      <c r="BL5" s="32">
        <f t="shared" ca="1" si="116"/>
        <v>5.8405440817188348</v>
      </c>
      <c r="BM5" s="32">
        <f t="shared" ca="1" si="117"/>
        <v>0.33147584925558282</v>
      </c>
      <c r="BN5" s="32">
        <f t="shared" ca="1" si="118"/>
        <v>2.8686664012693255</v>
      </c>
      <c r="BO5" s="32">
        <f t="shared" ca="1" si="119"/>
        <v>1.0837184182573008</v>
      </c>
      <c r="BP5" s="32">
        <f t="shared" ca="1" si="120"/>
        <v>1.9442333465952455</v>
      </c>
      <c r="BQ5" s="32">
        <f t="shared" ca="1" si="121"/>
        <v>8.597652733513069</v>
      </c>
      <c r="BR5" s="32">
        <f t="shared" ca="1" si="122"/>
        <v>0.86056230095199393</v>
      </c>
      <c r="BS5" s="32">
        <f t="shared" ca="1" si="123"/>
        <v>4.5261180997804908</v>
      </c>
      <c r="BT5" s="32">
        <f t="shared" ca="1" si="124"/>
        <v>3.8886366772761964</v>
      </c>
      <c r="BU5" s="32">
        <f t="shared" ca="1" si="125"/>
        <v>4.0223319400052455</v>
      </c>
      <c r="BV5" s="32">
        <f t="shared" ca="1" si="126"/>
        <v>5.9860093285335889</v>
      </c>
      <c r="BW5" s="32">
        <f t="shared" ca="1" si="127"/>
        <v>0.94343126326588955</v>
      </c>
      <c r="BX5" s="32">
        <f t="shared" ca="1" si="128"/>
        <v>2.5880614384185892</v>
      </c>
      <c r="BY5" s="32">
        <f t="shared" ca="1" si="129"/>
        <v>2.9977330281184358</v>
      </c>
      <c r="BZ5" s="32">
        <f t="shared" ca="1" si="130"/>
        <v>5.4287270434958899</v>
      </c>
      <c r="CA5" s="32">
        <f t="shared" ca="1" si="131"/>
        <v>2.9977330281184358</v>
      </c>
      <c r="CB5" s="32">
        <f t="shared" ca="1" si="132"/>
        <v>3.2797356555043868</v>
      </c>
      <c r="CC5" s="32">
        <f t="shared" ca="1" si="133"/>
        <v>5.7267391852094791</v>
      </c>
      <c r="CD5" s="32">
        <f t="shared" ca="1" si="134"/>
        <v>3.2797356555043868</v>
      </c>
      <c r="CE5" s="32">
        <f t="shared" ca="1" si="135"/>
        <v>1.5936338906518406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31</v>
      </c>
      <c r="D6" s="134">
        <f>PLANTILLA!G7</f>
        <v>0</v>
      </c>
      <c r="E6" s="28">
        <f>PLANTILLA!M7</f>
        <v>43410</v>
      </c>
      <c r="F6" s="42">
        <f>PLANTILLA!Q7</f>
        <v>5</v>
      </c>
      <c r="G6" s="43">
        <f t="shared" si="68"/>
        <v>0.84515425472851657</v>
      </c>
      <c r="H6" s="43">
        <f t="shared" si="69"/>
        <v>0.92504826128926143</v>
      </c>
      <c r="I6" s="140">
        <f ca="1">PLANTILLA!N7</f>
        <v>0.78896034082788147</v>
      </c>
      <c r="J6" s="34">
        <f>PLANTILLA!I7</f>
        <v>3.6</v>
      </c>
      <c r="K6" s="41">
        <f>PLANTILLA!X7</f>
        <v>0</v>
      </c>
      <c r="L6" s="41">
        <f>PLANTILLA!Y7</f>
        <v>14.5</v>
      </c>
      <c r="M6" s="41">
        <f>PLANTILLA!Z7</f>
        <v>5</v>
      </c>
      <c r="N6" s="41">
        <f>PLANTILLA!AA7</f>
        <v>7</v>
      </c>
      <c r="O6" s="41">
        <f>PLANTILLA!AB7</f>
        <v>5</v>
      </c>
      <c r="P6" s="41">
        <f>PLANTILLA!AC7</f>
        <v>1</v>
      </c>
      <c r="Q6" s="41">
        <f>PLANTILLA!AD7</f>
        <v>0</v>
      </c>
      <c r="R6" s="41">
        <f t="shared" si="70"/>
        <v>3.4375</v>
      </c>
      <c r="S6" s="41">
        <f t="shared" si="71"/>
        <v>0.05</v>
      </c>
      <c r="T6" s="41">
        <f t="shared" si="72"/>
        <v>0.58000000000000007</v>
      </c>
      <c r="U6" s="41">
        <f t="shared" ca="1" si="73"/>
        <v>1.29367508944886</v>
      </c>
      <c r="V6" s="41">
        <f t="shared" ca="1" si="74"/>
        <v>1.4159686062898775</v>
      </c>
      <c r="W6" s="32">
        <f t="shared" ca="1" si="75"/>
        <v>5.3382984884358633</v>
      </c>
      <c r="X6" s="32">
        <f t="shared" ca="1" si="76"/>
        <v>8.1386298379962199</v>
      </c>
      <c r="Y6" s="32">
        <f t="shared" ca="1" si="77"/>
        <v>5.3382984884358633</v>
      </c>
      <c r="Z6" s="32">
        <f t="shared" ca="1" si="78"/>
        <v>8.2718396563950805</v>
      </c>
      <c r="AA6" s="32">
        <f t="shared" ca="1" si="79"/>
        <v>16.030697008517599</v>
      </c>
      <c r="AB6" s="32">
        <f t="shared" ca="1" si="80"/>
        <v>4.1359198281975402</v>
      </c>
      <c r="AC6" s="32">
        <f t="shared" ca="1" si="81"/>
        <v>1.5543058880271883</v>
      </c>
      <c r="AD6" s="32">
        <f t="shared" ca="1" si="82"/>
        <v>6.0596034692196525</v>
      </c>
      <c r="AE6" s="32">
        <f t="shared" ca="1" si="83"/>
        <v>11.590193937158224</v>
      </c>
      <c r="AF6" s="32">
        <f t="shared" ca="1" si="84"/>
        <v>3.0298017346098263</v>
      </c>
      <c r="AG6" s="32">
        <f t="shared" ca="1" si="85"/>
        <v>2.5143183482792755</v>
      </c>
      <c r="AH6" s="32">
        <f t="shared" ca="1" si="86"/>
        <v>14.748241247836193</v>
      </c>
      <c r="AI6" s="32">
        <f t="shared" ca="1" si="87"/>
        <v>6.6367085615262855</v>
      </c>
      <c r="AJ6" s="32">
        <f t="shared" ca="1" si="88"/>
        <v>1.0906264004224389</v>
      </c>
      <c r="AK6" s="32">
        <f t="shared" ca="1" si="89"/>
        <v>5.0160498410083481</v>
      </c>
      <c r="AL6" s="32">
        <f t="shared" ca="1" si="90"/>
        <v>12.08714554442227</v>
      </c>
      <c r="AM6" s="32">
        <f t="shared" ca="1" si="91"/>
        <v>11.349733482030459</v>
      </c>
      <c r="AN6" s="32">
        <f t="shared" ca="1" si="92"/>
        <v>0.25562640042243884</v>
      </c>
      <c r="AO6" s="32">
        <f t="shared" ca="1" si="93"/>
        <v>1.4308407384530681</v>
      </c>
      <c r="AP6" s="32">
        <f t="shared" ca="1" si="94"/>
        <v>4.3282881922997518</v>
      </c>
      <c r="AQ6" s="32">
        <f t="shared" ca="1" si="95"/>
        <v>9.522234023059454</v>
      </c>
      <c r="AR6" s="32">
        <f t="shared" ca="1" si="96"/>
        <v>2.1641440961498759</v>
      </c>
      <c r="AS6" s="32">
        <f t="shared" ca="1" si="97"/>
        <v>6.1649779760406123</v>
      </c>
      <c r="AT6" s="32">
        <f t="shared" ca="1" si="98"/>
        <v>0.8489906111072878</v>
      </c>
      <c r="AU6" s="32">
        <f t="shared" ca="1" si="99"/>
        <v>1.2214942234956561</v>
      </c>
      <c r="AV6" s="32">
        <f t="shared" ca="1" si="100"/>
        <v>0.4244953055536439</v>
      </c>
      <c r="AW6" s="32">
        <f t="shared" ca="1" si="101"/>
        <v>3.0298017346098263</v>
      </c>
      <c r="AX6" s="32">
        <f t="shared" ca="1" si="102"/>
        <v>6.4122788034070402</v>
      </c>
      <c r="AY6" s="32">
        <f t="shared" ca="1" si="103"/>
        <v>1.5149008673049131</v>
      </c>
      <c r="AZ6" s="32">
        <f t="shared" ca="1" si="104"/>
        <v>6.5306970085175982</v>
      </c>
      <c r="BA6" s="32">
        <f t="shared" ca="1" si="105"/>
        <v>1.6522663431549522</v>
      </c>
      <c r="BB6" s="32">
        <f t="shared" ca="1" si="106"/>
        <v>2.7584140516931965</v>
      </c>
      <c r="BC6" s="32">
        <f t="shared" ca="1" si="107"/>
        <v>0.82613317157747612</v>
      </c>
      <c r="BD6" s="32">
        <f t="shared" ca="1" si="108"/>
        <v>4.6649328294786212</v>
      </c>
      <c r="BE6" s="32">
        <f t="shared" ca="1" si="109"/>
        <v>5.5786825589641245</v>
      </c>
      <c r="BF6" s="32">
        <f t="shared" ca="1" si="110"/>
        <v>5.7535440645040037</v>
      </c>
      <c r="BG6" s="32">
        <f t="shared" ca="1" si="111"/>
        <v>6.9537896405721451</v>
      </c>
      <c r="BH6" s="32">
        <f t="shared" ca="1" si="112"/>
        <v>1.5738979790527412</v>
      </c>
      <c r="BI6" s="32">
        <f t="shared" ca="1" si="113"/>
        <v>7.774888049131035</v>
      </c>
      <c r="BJ6" s="32">
        <f t="shared" ca="1" si="114"/>
        <v>4.232104010248646</v>
      </c>
      <c r="BK6" s="32">
        <f t="shared" ca="1" si="115"/>
        <v>2.4881955602452051</v>
      </c>
      <c r="BL6" s="32">
        <f t="shared" ca="1" si="116"/>
        <v>7.053829185444382</v>
      </c>
      <c r="BM6" s="32">
        <f t="shared" ca="1" si="117"/>
        <v>0.33959624444291509</v>
      </c>
      <c r="BN6" s="32">
        <f t="shared" ca="1" si="118"/>
        <v>2.8855254615331676</v>
      </c>
      <c r="BO6" s="32">
        <f t="shared" ca="1" si="119"/>
        <v>1.0900873965791968</v>
      </c>
      <c r="BP6" s="32">
        <f t="shared" ca="1" si="120"/>
        <v>1.9918625875978675</v>
      </c>
      <c r="BQ6" s="32">
        <f t="shared" ca="1" si="121"/>
        <v>10.398476352953631</v>
      </c>
      <c r="BR6" s="32">
        <f t="shared" ca="1" si="122"/>
        <v>0.88164409614987582</v>
      </c>
      <c r="BS6" s="32">
        <f t="shared" ca="1" si="123"/>
        <v>4.5527179504189981</v>
      </c>
      <c r="BT6" s="32">
        <f t="shared" ca="1" si="124"/>
        <v>3.911490070078294</v>
      </c>
      <c r="BU6" s="32">
        <f t="shared" ca="1" si="125"/>
        <v>4.1208698123746048</v>
      </c>
      <c r="BV6" s="32">
        <f t="shared" ca="1" si="126"/>
        <v>7.2489738226232507</v>
      </c>
      <c r="BW6" s="32">
        <f t="shared" ca="1" si="127"/>
        <v>0.96654315726060447</v>
      </c>
      <c r="BX6" s="32">
        <f t="shared" ca="1" si="128"/>
        <v>2.6514629854581448</v>
      </c>
      <c r="BY6" s="32">
        <f t="shared" ca="1" si="129"/>
        <v>3.1824931414376683</v>
      </c>
      <c r="BZ6" s="32">
        <f t="shared" ca="1" si="130"/>
        <v>5.0215648315908155</v>
      </c>
      <c r="CA6" s="32">
        <f t="shared" ca="1" si="131"/>
        <v>3.1824931414376683</v>
      </c>
      <c r="CB6" s="32">
        <f t="shared" ca="1" si="132"/>
        <v>3.4706242363064637</v>
      </c>
      <c r="CC6" s="32">
        <f t="shared" ca="1" si="133"/>
        <v>4.9405242046605915</v>
      </c>
      <c r="CD6" s="32">
        <f t="shared" ca="1" si="134"/>
        <v>3.4706242363064637</v>
      </c>
      <c r="CE6" s="32">
        <f t="shared" ca="1" si="135"/>
        <v>1.6326742521293995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81</v>
      </c>
      <c r="D7" s="134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40">
        <f ca="1">PLANTILLA!N8</f>
        <v>0.84655408843930868</v>
      </c>
      <c r="J7" s="34">
        <f>PLANTILLA!I8</f>
        <v>3.8</v>
      </c>
      <c r="K7" s="41">
        <f>PLANTILLA!X8</f>
        <v>0</v>
      </c>
      <c r="L7" s="41">
        <f>PLANTILLA!Y8</f>
        <v>12.454545454545455</v>
      </c>
      <c r="M7" s="41">
        <f>PLANTILLA!Z8</f>
        <v>3</v>
      </c>
      <c r="N7" s="41">
        <f>PLANTILLA!AA8</f>
        <v>7.1999999999999993</v>
      </c>
      <c r="O7" s="41">
        <f>PLANTILLA!AB8</f>
        <v>10</v>
      </c>
      <c r="P7" s="41">
        <f>PLANTILLA!AC8</f>
        <v>3</v>
      </c>
      <c r="Q7" s="41">
        <f>PLANTILLA!AD8</f>
        <v>2</v>
      </c>
      <c r="R7" s="41">
        <f t="shared" si="70"/>
        <v>4.4318181818181817</v>
      </c>
      <c r="S7" s="41">
        <f t="shared" si="71"/>
        <v>0.21000000000000002</v>
      </c>
      <c r="T7" s="41">
        <f t="shared" si="72"/>
        <v>0.55818181818181822</v>
      </c>
      <c r="U7" s="41">
        <f t="shared" ca="1" si="73"/>
        <v>3.0591193971626676</v>
      </c>
      <c r="V7" s="41">
        <f t="shared" ca="1" si="74"/>
        <v>3.3483036541425069</v>
      </c>
      <c r="W7" s="32">
        <f t="shared" ca="1" si="75"/>
        <v>4.8513643711240295</v>
      </c>
      <c r="X7" s="32">
        <f t="shared" ca="1" si="76"/>
        <v>7.3840839773333675</v>
      </c>
      <c r="Y7" s="32">
        <f t="shared" ca="1" si="77"/>
        <v>4.8513643711240295</v>
      </c>
      <c r="Z7" s="32">
        <f t="shared" ca="1" si="78"/>
        <v>7.2622584786525035</v>
      </c>
      <c r="AA7" s="32">
        <f t="shared" ca="1" si="79"/>
        <v>14.074144338473843</v>
      </c>
      <c r="AB7" s="32">
        <f t="shared" ca="1" si="80"/>
        <v>3.6311292393262518</v>
      </c>
      <c r="AC7" s="32">
        <f t="shared" ca="1" si="81"/>
        <v>1.0994645343749565</v>
      </c>
      <c r="AD7" s="32">
        <f t="shared" ca="1" si="82"/>
        <v>5.3200265599431127</v>
      </c>
      <c r="AE7" s="32">
        <f t="shared" ca="1" si="83"/>
        <v>10.175606356716589</v>
      </c>
      <c r="AF7" s="32">
        <f t="shared" ca="1" si="84"/>
        <v>2.6600132799715563</v>
      </c>
      <c r="AG7" s="32">
        <f t="shared" ca="1" si="85"/>
        <v>1.7785455703124298</v>
      </c>
      <c r="AH7" s="32">
        <f t="shared" ca="1" si="86"/>
        <v>12.948212791395937</v>
      </c>
      <c r="AI7" s="32">
        <f t="shared" ca="1" si="87"/>
        <v>5.8266957561281707</v>
      </c>
      <c r="AJ7" s="32">
        <f t="shared" ca="1" si="88"/>
        <v>0.77147301361604104</v>
      </c>
      <c r="AK7" s="32">
        <f t="shared" ca="1" si="89"/>
        <v>5.1859241437498911</v>
      </c>
      <c r="AL7" s="32">
        <f t="shared" ca="1" si="90"/>
        <v>10.611904831209278</v>
      </c>
      <c r="AM7" s="32">
        <f t="shared" ca="1" si="91"/>
        <v>9.9644941916394796</v>
      </c>
      <c r="AN7" s="32">
        <f t="shared" ca="1" si="92"/>
        <v>0.60447301361604089</v>
      </c>
      <c r="AO7" s="32">
        <f t="shared" ca="1" si="93"/>
        <v>1.7428081149350123</v>
      </c>
      <c r="AP7" s="32">
        <f t="shared" ca="1" si="94"/>
        <v>3.8000189713879378</v>
      </c>
      <c r="AQ7" s="32">
        <f t="shared" ca="1" si="95"/>
        <v>8.3600417370534625</v>
      </c>
      <c r="AR7" s="32">
        <f t="shared" ca="1" si="96"/>
        <v>1.9000094856939689</v>
      </c>
      <c r="AS7" s="32">
        <f t="shared" ca="1" si="97"/>
        <v>4.360901346428399</v>
      </c>
      <c r="AT7" s="32">
        <f t="shared" ca="1" si="98"/>
        <v>1.5105478549106905</v>
      </c>
      <c r="AU7" s="32">
        <f t="shared" ca="1" si="99"/>
        <v>2.1935424729910178</v>
      </c>
      <c r="AV7" s="32">
        <f t="shared" ca="1" si="100"/>
        <v>0.75527392745534527</v>
      </c>
      <c r="AW7" s="32">
        <f t="shared" ca="1" si="101"/>
        <v>2.6600132799715563</v>
      </c>
      <c r="AX7" s="32">
        <f t="shared" ca="1" si="102"/>
        <v>5.6296577353895376</v>
      </c>
      <c r="AY7" s="32">
        <f t="shared" ca="1" si="103"/>
        <v>1.3300066399857782</v>
      </c>
      <c r="AZ7" s="32">
        <f t="shared" ca="1" si="104"/>
        <v>4.619598883928389</v>
      </c>
      <c r="BA7" s="32">
        <f t="shared" ca="1" si="105"/>
        <v>2.9397585176338823</v>
      </c>
      <c r="BB7" s="32">
        <f t="shared" ca="1" si="106"/>
        <v>4.932398985044542</v>
      </c>
      <c r="BC7" s="32">
        <f t="shared" ca="1" si="107"/>
        <v>1.4698792588169411</v>
      </c>
      <c r="BD7" s="32">
        <f t="shared" ca="1" si="108"/>
        <v>4.0955760024958883</v>
      </c>
      <c r="BE7" s="32">
        <f t="shared" ca="1" si="109"/>
        <v>4.8978022297888968</v>
      </c>
      <c r="BF7" s="32">
        <f t="shared" ca="1" si="110"/>
        <v>4.069866616740911</v>
      </c>
      <c r="BG7" s="32">
        <f t="shared" ca="1" si="111"/>
        <v>8.7226234078123355</v>
      </c>
      <c r="BH7" s="32">
        <f t="shared" ca="1" si="112"/>
        <v>2.8003233310267412</v>
      </c>
      <c r="BI7" s="32">
        <f t="shared" ca="1" si="113"/>
        <v>6.8259600041598141</v>
      </c>
      <c r="BJ7" s="32">
        <f t="shared" ca="1" si="114"/>
        <v>3.7155741053570948</v>
      </c>
      <c r="BK7" s="32">
        <f t="shared" ca="1" si="115"/>
        <v>1.7600671747767163</v>
      </c>
      <c r="BL7" s="32">
        <f t="shared" ca="1" si="116"/>
        <v>8.2711294245534113</v>
      </c>
      <c r="BM7" s="32">
        <f t="shared" ca="1" si="117"/>
        <v>0.60421914196427617</v>
      </c>
      <c r="BN7" s="32">
        <f t="shared" ca="1" si="118"/>
        <v>2.5333459809252918</v>
      </c>
      <c r="BO7" s="32">
        <f t="shared" ca="1" si="119"/>
        <v>0.95704181501622143</v>
      </c>
      <c r="BP7" s="32">
        <f t="shared" ca="1" si="120"/>
        <v>1.4089776595981587</v>
      </c>
      <c r="BQ7" s="32">
        <f t="shared" ca="1" si="121"/>
        <v>12.142804164731906</v>
      </c>
      <c r="BR7" s="32">
        <f t="shared" ca="1" si="122"/>
        <v>1.5686458493303326</v>
      </c>
      <c r="BS7" s="32">
        <f t="shared" ca="1" si="123"/>
        <v>3.9970569921265713</v>
      </c>
      <c r="BT7" s="32">
        <f t="shared" ca="1" si="124"/>
        <v>3.4340912185876178</v>
      </c>
      <c r="BU7" s="32">
        <f t="shared" ca="1" si="125"/>
        <v>2.9149668957588135</v>
      </c>
      <c r="BV7" s="32">
        <f t="shared" ca="1" si="126"/>
        <v>8.4339410011159064</v>
      </c>
      <c r="BW7" s="32">
        <f t="shared" ca="1" si="127"/>
        <v>1.7197006348214015</v>
      </c>
      <c r="BX7" s="32">
        <f t="shared" ca="1" si="128"/>
        <v>1.8755571468749261</v>
      </c>
      <c r="BY7" s="32">
        <f t="shared" ca="1" si="129"/>
        <v>4.7616110185266898</v>
      </c>
      <c r="BZ7" s="32">
        <f t="shared" ca="1" si="130"/>
        <v>9.0026683433033661</v>
      </c>
      <c r="CA7" s="32">
        <f t="shared" ca="1" si="131"/>
        <v>4.7616110185266898</v>
      </c>
      <c r="CB7" s="32">
        <f t="shared" ca="1" si="132"/>
        <v>4.8002101046873857</v>
      </c>
      <c r="CC7" s="32">
        <f t="shared" ca="1" si="133"/>
        <v>8.9072308720979638</v>
      </c>
      <c r="CD7" s="32">
        <f t="shared" ca="1" si="134"/>
        <v>4.8002101046873857</v>
      </c>
      <c r="CE7" s="32">
        <f t="shared" ca="1" si="135"/>
        <v>1.1548997209820973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66</v>
      </c>
      <c r="D8" s="134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40">
        <f ca="1">PLANTILLA!N9</f>
        <v>0.76923311986937348</v>
      </c>
      <c r="J8" s="34">
        <f>PLANTILLA!I9</f>
        <v>4.4000000000000004</v>
      </c>
      <c r="K8" s="41">
        <f>PLANTILLA!X9</f>
        <v>0</v>
      </c>
      <c r="L8" s="41">
        <f>PLANTILLA!Y9</f>
        <v>10.333333333333334</v>
      </c>
      <c r="M8" s="41">
        <f>PLANTILLA!Z9</f>
        <v>11</v>
      </c>
      <c r="N8" s="41">
        <f>PLANTILLA!AA9</f>
        <v>4</v>
      </c>
      <c r="O8" s="41">
        <f>PLANTILLA!AB9</f>
        <v>9</v>
      </c>
      <c r="P8" s="41">
        <f>PLANTILLA!AC9</f>
        <v>4</v>
      </c>
      <c r="Q8" s="41">
        <f>PLANTILLA!AD9</f>
        <v>1</v>
      </c>
      <c r="R8" s="41">
        <f t="shared" si="70"/>
        <v>3.916666666666667</v>
      </c>
      <c r="S8" s="41">
        <f t="shared" si="71"/>
        <v>0.22999999999999998</v>
      </c>
      <c r="T8" s="41">
        <f t="shared" si="72"/>
        <v>0.44333333333333336</v>
      </c>
      <c r="U8" s="41">
        <f t="shared" ca="1" si="73"/>
        <v>2.4322868117495089</v>
      </c>
      <c r="V8" s="41">
        <f t="shared" ca="1" si="74"/>
        <v>2.6252928011597749</v>
      </c>
      <c r="W8" s="32">
        <f t="shared" ca="1" si="75"/>
        <v>4.2725194290758859</v>
      </c>
      <c r="X8" s="32">
        <f t="shared" ca="1" si="76"/>
        <v>6.4923431648762522</v>
      </c>
      <c r="Y8" s="32">
        <f t="shared" ca="1" si="77"/>
        <v>4.2725194290758859</v>
      </c>
      <c r="Z8" s="32">
        <f t="shared" ca="1" si="78"/>
        <v>6.1716197312750936</v>
      </c>
      <c r="AA8" s="32">
        <f t="shared" ca="1" si="79"/>
        <v>11.96050335518429</v>
      </c>
      <c r="AB8" s="32">
        <f t="shared" ca="1" si="80"/>
        <v>3.0858098656375468</v>
      </c>
      <c r="AC8" s="32">
        <f t="shared" ca="1" si="81"/>
        <v>3.0052664652005276</v>
      </c>
      <c r="AD8" s="32">
        <f t="shared" ca="1" si="82"/>
        <v>4.5210702682596615</v>
      </c>
      <c r="AE8" s="32">
        <f t="shared" ca="1" si="83"/>
        <v>8.6474439257982407</v>
      </c>
      <c r="AF8" s="32">
        <f t="shared" ca="1" si="84"/>
        <v>2.2605351341298308</v>
      </c>
      <c r="AG8" s="32">
        <f t="shared" ca="1" si="85"/>
        <v>4.8614604584126182</v>
      </c>
      <c r="AH8" s="32">
        <f t="shared" ca="1" si="86"/>
        <v>11.003663086769548</v>
      </c>
      <c r="AI8" s="32">
        <f t="shared" ca="1" si="87"/>
        <v>4.9516483890462961</v>
      </c>
      <c r="AJ8" s="32">
        <f t="shared" ca="1" si="88"/>
        <v>2.1087373936491098</v>
      </c>
      <c r="AK8" s="32">
        <f t="shared" ca="1" si="89"/>
        <v>3.3087759728483626</v>
      </c>
      <c r="AL8" s="32">
        <f t="shared" ca="1" si="90"/>
        <v>9.0182195298089542</v>
      </c>
      <c r="AM8" s="32">
        <f t="shared" ca="1" si="91"/>
        <v>8.4680363754704775</v>
      </c>
      <c r="AN8" s="32">
        <f t="shared" ca="1" si="92"/>
        <v>0.4387373936491098</v>
      </c>
      <c r="AO8" s="32">
        <f t="shared" ca="1" si="93"/>
        <v>1.5966249662930756</v>
      </c>
      <c r="AP8" s="32">
        <f t="shared" ca="1" si="94"/>
        <v>3.2293359058997586</v>
      </c>
      <c r="AQ8" s="32">
        <f t="shared" ca="1" si="95"/>
        <v>7.1045389929794682</v>
      </c>
      <c r="AR8" s="32">
        <f t="shared" ca="1" si="96"/>
        <v>1.6146679529498793</v>
      </c>
      <c r="AS8" s="32">
        <f t="shared" ca="1" si="97"/>
        <v>11.920048500627303</v>
      </c>
      <c r="AT8" s="32">
        <f t="shared" ca="1" si="98"/>
        <v>1.3815321028406244</v>
      </c>
      <c r="AU8" s="32">
        <f t="shared" ca="1" si="99"/>
        <v>2.2487608164023301</v>
      </c>
      <c r="AV8" s="32">
        <f t="shared" ca="1" si="100"/>
        <v>0.69076605142031222</v>
      </c>
      <c r="AW8" s="32">
        <f t="shared" ca="1" si="101"/>
        <v>2.2605351341298308</v>
      </c>
      <c r="AX8" s="32">
        <f t="shared" ca="1" si="102"/>
        <v>4.7842013420737164</v>
      </c>
      <c r="AY8" s="32">
        <f t="shared" ca="1" si="103"/>
        <v>1.1302675670649154</v>
      </c>
      <c r="AZ8" s="32">
        <f t="shared" ca="1" si="104"/>
        <v>12.627170021850956</v>
      </c>
      <c r="BA8" s="32">
        <f t="shared" ca="1" si="105"/>
        <v>2.6886740155282918</v>
      </c>
      <c r="BB8" s="32">
        <f t="shared" ca="1" si="106"/>
        <v>4.8055706820398774</v>
      </c>
      <c r="BC8" s="32">
        <f t="shared" ca="1" si="107"/>
        <v>1.3443370077641459</v>
      </c>
      <c r="BD8" s="32">
        <f t="shared" ca="1" si="108"/>
        <v>3.4805064763586282</v>
      </c>
      <c r="BE8" s="32">
        <f t="shared" ca="1" si="109"/>
        <v>4.1622551676041324</v>
      </c>
      <c r="BF8" s="32">
        <f t="shared" ca="1" si="110"/>
        <v>11.124536789250692</v>
      </c>
      <c r="BG8" s="32">
        <f t="shared" ca="1" si="111"/>
        <v>6.5775541494255005</v>
      </c>
      <c r="BH8" s="32">
        <f t="shared" ca="1" si="112"/>
        <v>2.5611479752660804</v>
      </c>
      <c r="BI8" s="32">
        <f t="shared" ca="1" si="113"/>
        <v>5.8008441272643809</v>
      </c>
      <c r="BJ8" s="32">
        <f t="shared" ca="1" si="114"/>
        <v>3.1575728857686527</v>
      </c>
      <c r="BK8" s="32">
        <f t="shared" ca="1" si="115"/>
        <v>4.8109517783252143</v>
      </c>
      <c r="BL8" s="32">
        <f t="shared" ca="1" si="116"/>
        <v>5.9231465990977368</v>
      </c>
      <c r="BM8" s="32">
        <f t="shared" ca="1" si="117"/>
        <v>0.55261284113624964</v>
      </c>
      <c r="BN8" s="32">
        <f t="shared" ca="1" si="118"/>
        <v>2.1528906039331721</v>
      </c>
      <c r="BO8" s="32">
        <f t="shared" ca="1" si="119"/>
        <v>0.81331422815253174</v>
      </c>
      <c r="BP8" s="32">
        <f t="shared" ca="1" si="120"/>
        <v>3.8512868566645415</v>
      </c>
      <c r="BQ8" s="32">
        <f t="shared" ca="1" si="121"/>
        <v>8.6665406481003302</v>
      </c>
      <c r="BR8" s="32">
        <f t="shared" ca="1" si="122"/>
        <v>1.4346679529498791</v>
      </c>
      <c r="BS8" s="32">
        <f t="shared" ca="1" si="123"/>
        <v>3.3967829528723379</v>
      </c>
      <c r="BT8" s="32">
        <f t="shared" ca="1" si="124"/>
        <v>2.9183628186649666</v>
      </c>
      <c r="BU8" s="32">
        <f t="shared" ca="1" si="125"/>
        <v>7.9677442837879537</v>
      </c>
      <c r="BV8" s="32">
        <f t="shared" ca="1" si="126"/>
        <v>6.0013171695566054</v>
      </c>
      <c r="BW8" s="32">
        <f t="shared" ca="1" si="127"/>
        <v>1.5728211632339415</v>
      </c>
      <c r="BX8" s="32">
        <f t="shared" ca="1" si="128"/>
        <v>5.1266310288714889</v>
      </c>
      <c r="BY8" s="32">
        <f t="shared" ca="1" si="129"/>
        <v>4.1817555813843486</v>
      </c>
      <c r="BZ8" s="32">
        <f t="shared" ca="1" si="130"/>
        <v>9.0511934446041771</v>
      </c>
      <c r="CA8" s="32">
        <f t="shared" ca="1" si="131"/>
        <v>4.1817555813843486</v>
      </c>
      <c r="CB8" s="32">
        <f t="shared" ca="1" si="132"/>
        <v>4.215726923613146</v>
      </c>
      <c r="CC8" s="32">
        <f t="shared" ca="1" si="133"/>
        <v>9.5485957599139599</v>
      </c>
      <c r="CD8" s="32">
        <f t="shared" ca="1" si="134"/>
        <v>4.215726923613146</v>
      </c>
      <c r="CE8" s="32">
        <f t="shared" ca="1" si="135"/>
        <v>3.156792505462739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42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1.875</v>
      </c>
      <c r="S9" s="41">
        <f t="shared" si="71"/>
        <v>0.3231666666666666</v>
      </c>
      <c r="T9" s="41">
        <f t="shared" si="72"/>
        <v>0.33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2.9275800004770485</v>
      </c>
      <c r="X9" s="32">
        <f t="shared" ca="1" si="76"/>
        <v>4.4304235745886249</v>
      </c>
      <c r="Y9" s="32">
        <f t="shared" ca="1" si="77"/>
        <v>2.9275800004770485</v>
      </c>
      <c r="Z9" s="32">
        <f t="shared" ca="1" si="78"/>
        <v>3.8475868044056782</v>
      </c>
      <c r="AA9" s="32">
        <f t="shared" ca="1" si="79"/>
        <v>7.4565635744296088</v>
      </c>
      <c r="AB9" s="32">
        <f t="shared" ca="1" si="80"/>
        <v>1.9237934022028391</v>
      </c>
      <c r="AC9" s="32">
        <f t="shared" ca="1" si="81"/>
        <v>1.0606621307142468</v>
      </c>
      <c r="AD9" s="32">
        <f t="shared" ca="1" si="82"/>
        <v>2.818581031134392</v>
      </c>
      <c r="AE9" s="32">
        <f t="shared" ca="1" si="83"/>
        <v>5.391095464312607</v>
      </c>
      <c r="AF9" s="32">
        <f t="shared" ca="1" si="84"/>
        <v>1.409290515567196</v>
      </c>
      <c r="AG9" s="32">
        <f t="shared" ca="1" si="85"/>
        <v>1.7157769761553994</v>
      </c>
      <c r="AH9" s="32">
        <f t="shared" ca="1" si="86"/>
        <v>6.8600384884752401</v>
      </c>
      <c r="AI9" s="32">
        <f t="shared" ca="1" si="87"/>
        <v>3.087017319813858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5.6222489351199254</v>
      </c>
      <c r="AM9" s="32">
        <f t="shared" ca="1" si="91"/>
        <v>5.2792470106961629</v>
      </c>
      <c r="AN9" s="32">
        <f t="shared" ca="1" si="92"/>
        <v>0.74424611692974474</v>
      </c>
      <c r="AO9" s="32">
        <f t="shared" ca="1" si="93"/>
        <v>0.95949030943572711</v>
      </c>
      <c r="AP9" s="32">
        <f t="shared" ca="1" si="94"/>
        <v>2.0132721650959944</v>
      </c>
      <c r="AQ9" s="32">
        <f t="shared" ca="1" si="95"/>
        <v>4.4291987632111871</v>
      </c>
      <c r="AR9" s="32">
        <f t="shared" ca="1" si="96"/>
        <v>1.0066360825479972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1.409290515567196</v>
      </c>
      <c r="AX9" s="32">
        <f t="shared" ca="1" si="102"/>
        <v>2.9826254297718435</v>
      </c>
      <c r="AY9" s="32">
        <f t="shared" ca="1" si="103"/>
        <v>0.70464525778359799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2.1698600001590158</v>
      </c>
      <c r="BE9" s="32">
        <f t="shared" ca="1" si="109"/>
        <v>2.5948841239015037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3.6164333335983603</v>
      </c>
      <c r="BJ9" s="32">
        <f t="shared" ca="1" si="114"/>
        <v>1.9685327836494169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1.3421814433973296</v>
      </c>
      <c r="BO9" s="32">
        <f t="shared" ca="1" si="119"/>
        <v>0.50704632306121344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2.1176640551380088</v>
      </c>
      <c r="BT9" s="32">
        <f t="shared" ca="1" si="124"/>
        <v>1.8194015121608245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46</v>
      </c>
      <c r="D10" s="134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11.666666666666666</v>
      </c>
      <c r="M10" s="41">
        <f>PLANTILLA!Z11</f>
        <v>4</v>
      </c>
      <c r="N10" s="41">
        <f>PLANTILLA!AA11</f>
        <v>12.666666666666666</v>
      </c>
      <c r="O10" s="41">
        <f>PLANTILLA!AB11</f>
        <v>4.25</v>
      </c>
      <c r="P10" s="41">
        <f>PLANTILLA!AC11</f>
        <v>7</v>
      </c>
      <c r="Q10" s="41">
        <f>PLANTILLA!AD11</f>
        <v>3</v>
      </c>
      <c r="R10" s="41">
        <f t="shared" si="70"/>
        <v>2.895833333333333</v>
      </c>
      <c r="S10" s="41">
        <f t="shared" si="71"/>
        <v>0.44000000000000006</v>
      </c>
      <c r="T10" s="41">
        <f t="shared" si="72"/>
        <v>0.55666666666666664</v>
      </c>
      <c r="U10" s="41">
        <f t="shared" ca="1" si="73"/>
        <v>4.8170451422929803</v>
      </c>
      <c r="V10" s="41">
        <f t="shared" ca="1" si="74"/>
        <v>4.8170451422929803</v>
      </c>
      <c r="W10" s="32">
        <f t="shared" ca="1" si="75"/>
        <v>4.8062804092217721</v>
      </c>
      <c r="X10" s="32">
        <f t="shared" ca="1" si="76"/>
        <v>7.3041386120335714</v>
      </c>
      <c r="Y10" s="32">
        <f t="shared" ca="1" si="77"/>
        <v>4.8062804092217721</v>
      </c>
      <c r="Z10" s="32">
        <f t="shared" ca="1" si="78"/>
        <v>6.9575952934231786</v>
      </c>
      <c r="AA10" s="32">
        <f t="shared" ca="1" si="79"/>
        <v>13.483711808959647</v>
      </c>
      <c r="AB10" s="32">
        <f t="shared" ca="1" si="80"/>
        <v>3.4787976467115893</v>
      </c>
      <c r="AC10" s="32">
        <f t="shared" ca="1" si="81"/>
        <v>1.3844567438657291</v>
      </c>
      <c r="AD10" s="32">
        <f t="shared" ca="1" si="82"/>
        <v>5.0968430637867463</v>
      </c>
      <c r="AE10" s="32">
        <f t="shared" ca="1" si="83"/>
        <v>9.7487236378778253</v>
      </c>
      <c r="AF10" s="32">
        <f t="shared" ca="1" si="84"/>
        <v>2.5484215318933732</v>
      </c>
      <c r="AG10" s="32">
        <f t="shared" ca="1" si="85"/>
        <v>2.2395623797827975</v>
      </c>
      <c r="AH10" s="32">
        <f t="shared" ca="1" si="86"/>
        <v>12.405014864242876</v>
      </c>
      <c r="AI10" s="32">
        <f t="shared" ca="1" si="87"/>
        <v>5.5822566889092933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10.166718703955574</v>
      </c>
      <c r="AM10" s="32">
        <f t="shared" ca="1" si="91"/>
        <v>9.5464679607434295</v>
      </c>
      <c r="AN10" s="32">
        <f t="shared" ca="1" si="92"/>
        <v>0.80444653876292771</v>
      </c>
      <c r="AO10" s="32">
        <f t="shared" ca="1" si="93"/>
        <v>1.3573090009803781</v>
      </c>
      <c r="AP10" s="32">
        <f t="shared" ca="1" si="94"/>
        <v>3.6406021884191051</v>
      </c>
      <c r="AQ10" s="32">
        <f t="shared" ca="1" si="95"/>
        <v>8.0093248145220297</v>
      </c>
      <c r="AR10" s="32">
        <f t="shared" ca="1" si="96"/>
        <v>1.8203010942095526</v>
      </c>
      <c r="AS10" s="32">
        <f t="shared" ca="1" si="97"/>
        <v>5.4912906143245728</v>
      </c>
      <c r="AT10" s="32">
        <f t="shared" ca="1" si="98"/>
        <v>0.7887158684980875</v>
      </c>
      <c r="AU10" s="32">
        <f t="shared" ca="1" si="99"/>
        <v>2.2533942266918432</v>
      </c>
      <c r="AV10" s="32">
        <f t="shared" ca="1" si="100"/>
        <v>0.39435793424904375</v>
      </c>
      <c r="AW10" s="32">
        <f t="shared" ca="1" si="101"/>
        <v>2.5484215318933732</v>
      </c>
      <c r="AX10" s="32">
        <f t="shared" ca="1" si="102"/>
        <v>5.3934847235838594</v>
      </c>
      <c r="AY10" s="32">
        <f t="shared" ca="1" si="103"/>
        <v>1.2742107659466866</v>
      </c>
      <c r="AZ10" s="32">
        <f t="shared" ca="1" si="104"/>
        <v>5.8170451422929803</v>
      </c>
      <c r="BA10" s="32">
        <f t="shared" ca="1" si="105"/>
        <v>1.534962421000124</v>
      </c>
      <c r="BB10" s="32">
        <f t="shared" ca="1" si="106"/>
        <v>3.9204418734034325</v>
      </c>
      <c r="BC10" s="32">
        <f t="shared" ca="1" si="107"/>
        <v>0.76748121050006202</v>
      </c>
      <c r="BD10" s="32">
        <f t="shared" ca="1" si="108"/>
        <v>3.9237601364072572</v>
      </c>
      <c r="BE10" s="32">
        <f t="shared" ca="1" si="109"/>
        <v>4.6923317095179566</v>
      </c>
      <c r="BF10" s="32">
        <f t="shared" ca="1" si="110"/>
        <v>5.1248167703601153</v>
      </c>
      <c r="BG10" s="32">
        <f t="shared" ca="1" si="111"/>
        <v>10.224769798165127</v>
      </c>
      <c r="BH10" s="32">
        <f t="shared" ca="1" si="112"/>
        <v>1.4621578792926082</v>
      </c>
      <c r="BI10" s="32">
        <f t="shared" ca="1" si="113"/>
        <v>6.5396002273454288</v>
      </c>
      <c r="BJ10" s="32">
        <f t="shared" ca="1" si="114"/>
        <v>3.559699917565347</v>
      </c>
      <c r="BK10" s="32">
        <f t="shared" ca="1" si="115"/>
        <v>2.2162941992136256</v>
      </c>
      <c r="BL10" s="32">
        <f t="shared" ca="1" si="116"/>
        <v>10.967014121030733</v>
      </c>
      <c r="BM10" s="32">
        <f t="shared" ca="1" si="117"/>
        <v>0.31548634739923498</v>
      </c>
      <c r="BN10" s="32">
        <f t="shared" ca="1" si="118"/>
        <v>2.4270681256127364</v>
      </c>
      <c r="BO10" s="32">
        <f t="shared" ca="1" si="119"/>
        <v>0.91689240300925612</v>
      </c>
      <c r="BP10" s="32">
        <f t="shared" ca="1" si="120"/>
        <v>1.774198768399359</v>
      </c>
      <c r="BQ10" s="32">
        <f t="shared" ca="1" si="121"/>
        <v>16.21888671965544</v>
      </c>
      <c r="BR10" s="32">
        <f t="shared" ca="1" si="122"/>
        <v>0.81905109420955235</v>
      </c>
      <c r="BS10" s="32">
        <f t="shared" ca="1" si="123"/>
        <v>3.8293741537445394</v>
      </c>
      <c r="BT10" s="32">
        <f t="shared" ca="1" si="124"/>
        <v>3.2900256813861537</v>
      </c>
      <c r="BU10" s="32">
        <f t="shared" ca="1" si="125"/>
        <v>3.6705554847868704</v>
      </c>
      <c r="BV10" s="32">
        <f t="shared" ca="1" si="126"/>
        <v>11.338505402352217</v>
      </c>
      <c r="BW10" s="32">
        <f t="shared" ca="1" si="127"/>
        <v>0.89792268105936102</v>
      </c>
      <c r="BX10" s="32">
        <f t="shared" ca="1" si="128"/>
        <v>2.36172032777095</v>
      </c>
      <c r="BY10" s="32">
        <f t="shared" ca="1" si="129"/>
        <v>4.7221805191346427</v>
      </c>
      <c r="BZ10" s="32">
        <f t="shared" ca="1" si="130"/>
        <v>8.4347428302218965</v>
      </c>
      <c r="CA10" s="32">
        <f t="shared" ca="1" si="131"/>
        <v>4.7221805191346427</v>
      </c>
      <c r="CB10" s="32">
        <f t="shared" ca="1" si="132"/>
        <v>6.3548524569818605</v>
      </c>
      <c r="CC10" s="32">
        <f t="shared" ca="1" si="133"/>
        <v>11.055784799799092</v>
      </c>
      <c r="CD10" s="32">
        <f t="shared" ca="1" si="134"/>
        <v>6.3548524569818605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7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10.714285714285714</v>
      </c>
      <c r="M11" s="41">
        <f>PLANTILLA!Z12</f>
        <v>3</v>
      </c>
      <c r="N11" s="41">
        <f>PLANTILLA!AA12</f>
        <v>13</v>
      </c>
      <c r="O11" s="41">
        <f>PLANTILLA!AB12</f>
        <v>7</v>
      </c>
      <c r="P11" s="41">
        <f>PLANTILLA!AC12</f>
        <v>7</v>
      </c>
      <c r="Q11" s="41">
        <f>PLANTILLA!AD12</f>
        <v>3</v>
      </c>
      <c r="R11" s="41">
        <f t="shared" si="70"/>
        <v>3.4642857142857144</v>
      </c>
      <c r="S11" s="41">
        <f t="shared" si="71"/>
        <v>0.44000000000000006</v>
      </c>
      <c r="T11" s="41">
        <f t="shared" si="72"/>
        <v>0.51857142857142846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4.5556050311660128</v>
      </c>
      <c r="X11" s="32">
        <f t="shared" ca="1" si="76"/>
        <v>6.9173912071096808</v>
      </c>
      <c r="Y11" s="32">
        <f t="shared" ca="1" si="77"/>
        <v>4.5556050311660128</v>
      </c>
      <c r="Z11" s="32">
        <f t="shared" ca="1" si="78"/>
        <v>6.4733669403651835</v>
      </c>
      <c r="AA11" s="32">
        <f t="shared" ca="1" si="79"/>
        <v>12.54528476814958</v>
      </c>
      <c r="AB11" s="32">
        <f t="shared" ca="1" si="80"/>
        <v>3.2366834701825917</v>
      </c>
      <c r="AC11" s="32">
        <f t="shared" ca="1" si="81"/>
        <v>1.1497777748196003</v>
      </c>
      <c r="AD11" s="32">
        <f t="shared" ca="1" si="82"/>
        <v>4.7421176423605411</v>
      </c>
      <c r="AE11" s="32">
        <f t="shared" ca="1" si="83"/>
        <v>9.0702408873721456</v>
      </c>
      <c r="AF11" s="32">
        <f t="shared" ca="1" si="84"/>
        <v>2.3710588211802706</v>
      </c>
      <c r="AG11" s="32">
        <f t="shared" ca="1" si="85"/>
        <v>1.859934635737589</v>
      </c>
      <c r="AH11" s="32">
        <f t="shared" ca="1" si="86"/>
        <v>11.541661986697614</v>
      </c>
      <c r="AI11" s="32">
        <f t="shared" ca="1" si="87"/>
        <v>5.1937478940139261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9.4591447151847827</v>
      </c>
      <c r="AM11" s="32">
        <f t="shared" ca="1" si="91"/>
        <v>8.8820616158499028</v>
      </c>
      <c r="AN11" s="32">
        <f t="shared" ca="1" si="92"/>
        <v>0.80677684199526589</v>
      </c>
      <c r="AO11" s="32">
        <f t="shared" ca="1" si="93"/>
        <v>1.5250420132270794</v>
      </c>
      <c r="AP11" s="32">
        <f t="shared" ca="1" si="94"/>
        <v>3.387226887400387</v>
      </c>
      <c r="AQ11" s="32">
        <f t="shared" ca="1" si="95"/>
        <v>7.4518991522808502</v>
      </c>
      <c r="AR11" s="32">
        <f t="shared" ca="1" si="96"/>
        <v>1.6936134437001935</v>
      </c>
      <c r="AS11" s="32">
        <f t="shared" ca="1" si="97"/>
        <v>4.5604631068474903</v>
      </c>
      <c r="AT11" s="32">
        <f t="shared" ca="1" si="98"/>
        <v>1.1480298770023027</v>
      </c>
      <c r="AU11" s="32">
        <f t="shared" ca="1" si="99"/>
        <v>2.5874827227821129</v>
      </c>
      <c r="AV11" s="32">
        <f t="shared" ca="1" si="100"/>
        <v>0.57401493850115137</v>
      </c>
      <c r="AW11" s="32">
        <f t="shared" ca="1" si="101"/>
        <v>2.3710588211802706</v>
      </c>
      <c r="AX11" s="32">
        <f t="shared" ca="1" si="102"/>
        <v>5.0181139072598322</v>
      </c>
      <c r="AY11" s="32">
        <f t="shared" ca="1" si="103"/>
        <v>1.1855294105901353</v>
      </c>
      <c r="AZ11" s="32">
        <f t="shared" ca="1" si="104"/>
        <v>4.8309990538638674</v>
      </c>
      <c r="BA11" s="32">
        <f t="shared" ca="1" si="105"/>
        <v>2.2342427606275583</v>
      </c>
      <c r="BB11" s="32">
        <f t="shared" ca="1" si="106"/>
        <v>4.8658804786789904</v>
      </c>
      <c r="BC11" s="32">
        <f t="shared" ca="1" si="107"/>
        <v>1.1171213803137792</v>
      </c>
      <c r="BD11" s="32">
        <f t="shared" ca="1" si="108"/>
        <v>3.6506778675315275</v>
      </c>
      <c r="BE11" s="32">
        <f t="shared" ca="1" si="109"/>
        <v>4.3657590993160538</v>
      </c>
      <c r="BF11" s="32">
        <f t="shared" ca="1" si="110"/>
        <v>4.256110166454067</v>
      </c>
      <c r="BG11" s="32">
        <f t="shared" ca="1" si="111"/>
        <v>11.294758158884976</v>
      </c>
      <c r="BH11" s="32">
        <f t="shared" ca="1" si="112"/>
        <v>2.128270771981192</v>
      </c>
      <c r="BI11" s="32">
        <f t="shared" ca="1" si="113"/>
        <v>6.0844631125525463</v>
      </c>
      <c r="BJ11" s="32">
        <f t="shared" ca="1" si="114"/>
        <v>3.3119551787914894</v>
      </c>
      <c r="BK11" s="32">
        <f t="shared" ca="1" si="115"/>
        <v>1.8406106395221336</v>
      </c>
      <c r="BL11" s="32">
        <f t="shared" ca="1" si="116"/>
        <v>11.756293173077021</v>
      </c>
      <c r="BM11" s="32">
        <f t="shared" ca="1" si="117"/>
        <v>0.45921195080092103</v>
      </c>
      <c r="BN11" s="32">
        <f t="shared" ca="1" si="118"/>
        <v>2.2581512582669245</v>
      </c>
      <c r="BO11" s="32">
        <f t="shared" ca="1" si="119"/>
        <v>0.85307936423417152</v>
      </c>
      <c r="BP11" s="32">
        <f t="shared" ca="1" si="120"/>
        <v>1.4734547114284795</v>
      </c>
      <c r="BQ11" s="32">
        <f t="shared" ca="1" si="121"/>
        <v>17.356664783268933</v>
      </c>
      <c r="BR11" s="32">
        <f t="shared" ca="1" si="122"/>
        <v>1.192184872271622</v>
      </c>
      <c r="BS11" s="32">
        <f t="shared" ca="1" si="123"/>
        <v>3.5628608741544805</v>
      </c>
      <c r="BT11" s="32">
        <f t="shared" ca="1" si="124"/>
        <v>3.0610494834284974</v>
      </c>
      <c r="BU11" s="32">
        <f t="shared" ca="1" si="125"/>
        <v>3.0483604029881004</v>
      </c>
      <c r="BV11" s="32">
        <f t="shared" ca="1" si="126"/>
        <v>12.11574415320816</v>
      </c>
      <c r="BW11" s="32">
        <f t="shared" ca="1" si="127"/>
        <v>1.3069878599718521</v>
      </c>
      <c r="BX11" s="32">
        <f t="shared" ca="1" si="128"/>
        <v>1.9613856158687304</v>
      </c>
      <c r="BY11" s="32">
        <f t="shared" ca="1" si="129"/>
        <v>5.4649505070630742</v>
      </c>
      <c r="BZ11" s="32">
        <f t="shared" ca="1" si="130"/>
        <v>9.9437049346507145</v>
      </c>
      <c r="CA11" s="32">
        <f t="shared" ca="1" si="131"/>
        <v>5.4649505070630742</v>
      </c>
      <c r="CB11" s="32">
        <f t="shared" ca="1" si="132"/>
        <v>6.8277124105571891</v>
      </c>
      <c r="CC11" s="32">
        <f t="shared" ca="1" si="133"/>
        <v>12.089637704739634</v>
      </c>
      <c r="CD11" s="32">
        <f t="shared" ca="1" si="134"/>
        <v>6.8277124105571891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46</v>
      </c>
      <c r="D12" s="134" t="str">
        <f>PLANTILLA!G13</f>
        <v>IMP</v>
      </c>
      <c r="E12" s="28">
        <f>PLANTILLA!M13</f>
        <v>43051</v>
      </c>
      <c r="F12" s="42">
        <f>PLANTILLA!Q13</f>
        <v>4</v>
      </c>
      <c r="G12" s="43">
        <f t="shared" si="68"/>
        <v>0.7559289460184544</v>
      </c>
      <c r="H12" s="43">
        <f t="shared" si="69"/>
        <v>0.84430867747355465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10.285714285714286</v>
      </c>
      <c r="M12" s="41">
        <f>PLANTILLA!Z13</f>
        <v>3</v>
      </c>
      <c r="N12" s="41">
        <f>PLANTILLA!AA13</f>
        <v>12</v>
      </c>
      <c r="O12" s="41">
        <f>PLANTILLA!AB13</f>
        <v>6.0000000000000009</v>
      </c>
      <c r="P12" s="41">
        <f>PLANTILLA!AC13</f>
        <v>7.25</v>
      </c>
      <c r="Q12" s="41">
        <f>PLANTILLA!AD13</f>
        <v>3</v>
      </c>
      <c r="R12" s="41">
        <f t="shared" si="70"/>
        <v>3.160714285714286</v>
      </c>
      <c r="S12" s="41">
        <f t="shared" si="71"/>
        <v>0.45250000000000001</v>
      </c>
      <c r="T12" s="41">
        <f t="shared" si="72"/>
        <v>0.50142857142857145</v>
      </c>
      <c r="U12" s="41">
        <f t="shared" ca="1" si="73"/>
        <v>3.6518920230034637</v>
      </c>
      <c r="V12" s="41">
        <f t="shared" ca="1" si="74"/>
        <v>4.0788544220437961</v>
      </c>
      <c r="W12" s="32">
        <f t="shared" ca="1" si="75"/>
        <v>4.4373193168802993</v>
      </c>
      <c r="X12" s="32">
        <f t="shared" ca="1" si="76"/>
        <v>6.7352483499668239</v>
      </c>
      <c r="Y12" s="32">
        <f t="shared" ca="1" si="77"/>
        <v>4.4373193168802993</v>
      </c>
      <c r="Z12" s="32">
        <f t="shared" ca="1" si="78"/>
        <v>6.2522240832223268</v>
      </c>
      <c r="AA12" s="32">
        <f t="shared" ca="1" si="79"/>
        <v>12.116713339578153</v>
      </c>
      <c r="AB12" s="32">
        <f t="shared" ca="1" si="80"/>
        <v>3.1261120416111634</v>
      </c>
      <c r="AC12" s="32">
        <f t="shared" ca="1" si="81"/>
        <v>1.1497777748196003</v>
      </c>
      <c r="AD12" s="32">
        <f t="shared" ca="1" si="82"/>
        <v>4.5801176423605421</v>
      </c>
      <c r="AE12" s="32">
        <f t="shared" ca="1" si="83"/>
        <v>8.7603837445150035</v>
      </c>
      <c r="AF12" s="32">
        <f t="shared" ca="1" si="84"/>
        <v>2.290058821180271</v>
      </c>
      <c r="AG12" s="32">
        <f t="shared" ca="1" si="85"/>
        <v>1.859934635737589</v>
      </c>
      <c r="AH12" s="32">
        <f t="shared" ca="1" si="86"/>
        <v>11.147376272411901</v>
      </c>
      <c r="AI12" s="32">
        <f t="shared" ca="1" si="87"/>
        <v>5.0163193225853551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9.1360018580419275</v>
      </c>
      <c r="AM12" s="32">
        <f t="shared" ca="1" si="91"/>
        <v>8.5786330444213323</v>
      </c>
      <c r="AN12" s="32">
        <f t="shared" ca="1" si="92"/>
        <v>0.80677684199526589</v>
      </c>
      <c r="AO12" s="32">
        <f t="shared" ca="1" si="93"/>
        <v>1.4376134417985083</v>
      </c>
      <c r="AP12" s="32">
        <f t="shared" ca="1" si="94"/>
        <v>3.2715126016861014</v>
      </c>
      <c r="AQ12" s="32">
        <f t="shared" ca="1" si="95"/>
        <v>7.1973277237094226</v>
      </c>
      <c r="AR12" s="32">
        <f t="shared" ca="1" si="96"/>
        <v>1.6357563008430507</v>
      </c>
      <c r="AS12" s="32">
        <f t="shared" ca="1" si="97"/>
        <v>4.5604631068474903</v>
      </c>
      <c r="AT12" s="32">
        <f t="shared" ca="1" si="98"/>
        <v>1.0180298770023029</v>
      </c>
      <c r="AU12" s="32">
        <f t="shared" ca="1" si="99"/>
        <v>2.5107327227821128</v>
      </c>
      <c r="AV12" s="32">
        <f t="shared" ca="1" si="100"/>
        <v>0.50901493850115143</v>
      </c>
      <c r="AW12" s="32">
        <f t="shared" ca="1" si="101"/>
        <v>2.290058821180271</v>
      </c>
      <c r="AX12" s="32">
        <f t="shared" ca="1" si="102"/>
        <v>4.8466853358312614</v>
      </c>
      <c r="AY12" s="32">
        <f t="shared" ca="1" si="103"/>
        <v>1.1450294105901355</v>
      </c>
      <c r="AZ12" s="32">
        <f t="shared" ca="1" si="104"/>
        <v>4.8309990538638674</v>
      </c>
      <c r="BA12" s="32">
        <f t="shared" ca="1" si="105"/>
        <v>1.9812427606275587</v>
      </c>
      <c r="BB12" s="32">
        <f t="shared" ca="1" si="106"/>
        <v>4.5773804786789913</v>
      </c>
      <c r="BC12" s="32">
        <f t="shared" ca="1" si="107"/>
        <v>0.99062138031377933</v>
      </c>
      <c r="BD12" s="32">
        <f t="shared" ca="1" si="108"/>
        <v>3.5259635818172423</v>
      </c>
      <c r="BE12" s="32">
        <f t="shared" ca="1" si="109"/>
        <v>4.2166162421731972</v>
      </c>
      <c r="BF12" s="32">
        <f t="shared" ca="1" si="110"/>
        <v>4.256110166454067</v>
      </c>
      <c r="BG12" s="32">
        <f t="shared" ca="1" si="111"/>
        <v>10.405758158884979</v>
      </c>
      <c r="BH12" s="32">
        <f t="shared" ca="1" si="112"/>
        <v>1.8872707719811923</v>
      </c>
      <c r="BI12" s="32">
        <f t="shared" ca="1" si="113"/>
        <v>5.8766059696954036</v>
      </c>
      <c r="BJ12" s="32">
        <f t="shared" ca="1" si="114"/>
        <v>3.1988123216486324</v>
      </c>
      <c r="BK12" s="32">
        <f t="shared" ca="1" si="115"/>
        <v>1.8406106395221336</v>
      </c>
      <c r="BL12" s="32">
        <f t="shared" ca="1" si="116"/>
        <v>10.882293173077022</v>
      </c>
      <c r="BM12" s="32">
        <f t="shared" ca="1" si="117"/>
        <v>0.40721195080092115</v>
      </c>
      <c r="BN12" s="32">
        <f t="shared" ca="1" si="118"/>
        <v>2.1810084011240676</v>
      </c>
      <c r="BO12" s="32">
        <f t="shared" ca="1" si="119"/>
        <v>0.8239365070913145</v>
      </c>
      <c r="BP12" s="32">
        <f t="shared" ca="1" si="120"/>
        <v>1.4734547114284795</v>
      </c>
      <c r="BQ12" s="32">
        <f t="shared" ca="1" si="121"/>
        <v>16.070664783268931</v>
      </c>
      <c r="BR12" s="32">
        <f t="shared" ca="1" si="122"/>
        <v>1.0571848722716224</v>
      </c>
      <c r="BS12" s="32">
        <f t="shared" ca="1" si="123"/>
        <v>3.4411465884401951</v>
      </c>
      <c r="BT12" s="32">
        <f t="shared" ca="1" si="124"/>
        <v>2.9564780548570693</v>
      </c>
      <c r="BU12" s="32">
        <f t="shared" ca="1" si="125"/>
        <v>3.0483604029881004</v>
      </c>
      <c r="BV12" s="32">
        <f t="shared" ca="1" si="126"/>
        <v>11.220744153208161</v>
      </c>
      <c r="BW12" s="32">
        <f t="shared" ca="1" si="127"/>
        <v>1.1589878599718524</v>
      </c>
      <c r="BX12" s="32">
        <f t="shared" ca="1" si="128"/>
        <v>1.9613856158687304</v>
      </c>
      <c r="BY12" s="32">
        <f t="shared" ca="1" si="129"/>
        <v>5.1027005070630747</v>
      </c>
      <c r="BZ12" s="32">
        <f t="shared" ca="1" si="130"/>
        <v>9.5464549346507148</v>
      </c>
      <c r="CA12" s="32">
        <f t="shared" ca="1" si="131"/>
        <v>5.1027005070630747</v>
      </c>
      <c r="CB12" s="32">
        <f t="shared" ca="1" si="132"/>
        <v>6.5297124105571891</v>
      </c>
      <c r="CC12" s="32">
        <f t="shared" ca="1" si="133"/>
        <v>11.970637704739634</v>
      </c>
      <c r="CD12" s="32">
        <f t="shared" ca="1" si="134"/>
        <v>6.5297124105571891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42</v>
      </c>
      <c r="D13" s="134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8.8000000000000007</v>
      </c>
      <c r="M13" s="41">
        <f>PLANTILLA!Z14</f>
        <v>5.7</v>
      </c>
      <c r="N13" s="41">
        <f>PLANTILLA!AA14</f>
        <v>14.124999999999996</v>
      </c>
      <c r="O13" s="41">
        <f>PLANTILLA!AB14</f>
        <v>6</v>
      </c>
      <c r="P13" s="41">
        <f>PLANTILLA!AC14</f>
        <v>7.5</v>
      </c>
      <c r="Q13" s="41">
        <f>PLANTILLA!AD14</f>
        <v>5</v>
      </c>
      <c r="R13" s="41">
        <f t="shared" si="70"/>
        <v>2.9750000000000001</v>
      </c>
      <c r="S13" s="41">
        <f t="shared" si="71"/>
        <v>0.52500000000000002</v>
      </c>
      <c r="T13" s="41">
        <f t="shared" si="72"/>
        <v>0.502</v>
      </c>
      <c r="U13" s="41">
        <f t="shared" si="73"/>
        <v>6.835956677658217</v>
      </c>
      <c r="V13" s="41">
        <f t="shared" si="74"/>
        <v>7.3784011688932489</v>
      </c>
      <c r="W13" s="32">
        <f t="shared" si="75"/>
        <v>4.5097501160773525</v>
      </c>
      <c r="X13" s="32">
        <f t="shared" si="76"/>
        <v>6.8173271476012154</v>
      </c>
      <c r="Y13" s="32">
        <f t="shared" si="77"/>
        <v>4.5097501160773525</v>
      </c>
      <c r="Z13" s="32">
        <f t="shared" si="78"/>
        <v>5.7707773881969233</v>
      </c>
      <c r="AA13" s="32">
        <f t="shared" si="79"/>
        <v>11.183677108908766</v>
      </c>
      <c r="AB13" s="32">
        <f t="shared" si="80"/>
        <v>2.8853886940984617</v>
      </c>
      <c r="AC13" s="32">
        <f t="shared" si="81"/>
        <v>1.9239151519202862</v>
      </c>
      <c r="AD13" s="32">
        <f t="shared" si="82"/>
        <v>4.2274299471675132</v>
      </c>
      <c r="AE13" s="32">
        <f t="shared" si="83"/>
        <v>8.0857985497410372</v>
      </c>
      <c r="AF13" s="32">
        <f t="shared" si="84"/>
        <v>2.1137149735837566</v>
      </c>
      <c r="AG13" s="32">
        <f t="shared" si="85"/>
        <v>3.1122156869298752</v>
      </c>
      <c r="AH13" s="32">
        <f t="shared" si="86"/>
        <v>10.288982940196066</v>
      </c>
      <c r="AI13" s="32">
        <f t="shared" si="87"/>
        <v>4.6300423230882286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8.4324925401172095</v>
      </c>
      <c r="AM13" s="32">
        <f t="shared" si="91"/>
        <v>7.9180433931074061</v>
      </c>
      <c r="AN13" s="32">
        <f t="shared" si="92"/>
        <v>1.233074077187764</v>
      </c>
      <c r="AO13" s="32">
        <f t="shared" si="93"/>
        <v>1.5432990073657242</v>
      </c>
      <c r="AP13" s="32">
        <f t="shared" si="94"/>
        <v>3.0195928194053669</v>
      </c>
      <c r="AQ13" s="32">
        <f t="shared" si="95"/>
        <v>6.6431042026918066</v>
      </c>
      <c r="AR13" s="32">
        <f t="shared" si="96"/>
        <v>1.5097964097026835</v>
      </c>
      <c r="AS13" s="32">
        <f t="shared" si="97"/>
        <v>7.6309911908098753</v>
      </c>
      <c r="AT13" s="32">
        <f t="shared" si="98"/>
        <v>1.0898780241581396</v>
      </c>
      <c r="AU13" s="32">
        <f t="shared" si="99"/>
        <v>2.715917392910268</v>
      </c>
      <c r="AV13" s="32">
        <f t="shared" si="100"/>
        <v>0.54493901207906981</v>
      </c>
      <c r="AW13" s="32">
        <f t="shared" si="101"/>
        <v>2.1137149735837566</v>
      </c>
      <c r="AX13" s="32">
        <f t="shared" si="102"/>
        <v>4.4734708435635069</v>
      </c>
      <c r="AY13" s="32">
        <f t="shared" si="103"/>
        <v>1.0568574867918783</v>
      </c>
      <c r="AZ13" s="32">
        <f t="shared" si="104"/>
        <v>8.0836771089087662</v>
      </c>
      <c r="BA13" s="32">
        <f t="shared" si="105"/>
        <v>2.1210703085539175</v>
      </c>
      <c r="BB13" s="32">
        <f t="shared" si="106"/>
        <v>4.9344060870087301</v>
      </c>
      <c r="BC13" s="32">
        <f t="shared" si="107"/>
        <v>1.0605351542769588</v>
      </c>
      <c r="BD13" s="32">
        <f t="shared" si="108"/>
        <v>3.2544500386924509</v>
      </c>
      <c r="BE13" s="32">
        <f t="shared" si="109"/>
        <v>3.8919196339002502</v>
      </c>
      <c r="BF13" s="32">
        <f t="shared" si="110"/>
        <v>7.1217195329486227</v>
      </c>
      <c r="BG13" s="32">
        <f t="shared" si="111"/>
        <v>12.11683894981989</v>
      </c>
      <c r="BH13" s="32">
        <f t="shared" si="112"/>
        <v>2.0204661832470125</v>
      </c>
      <c r="BI13" s="32">
        <f t="shared" si="113"/>
        <v>5.424083397820751</v>
      </c>
      <c r="BJ13" s="32">
        <f t="shared" si="114"/>
        <v>2.9524907567519145</v>
      </c>
      <c r="BK13" s="32">
        <f t="shared" si="115"/>
        <v>3.07988097849424</v>
      </c>
      <c r="BL13" s="32">
        <f t="shared" si="116"/>
        <v>12.79545879318626</v>
      </c>
      <c r="BM13" s="32">
        <f t="shared" si="117"/>
        <v>0.43595120966325579</v>
      </c>
      <c r="BN13" s="32">
        <f t="shared" si="118"/>
        <v>2.013061879603578</v>
      </c>
      <c r="BO13" s="32">
        <f t="shared" si="119"/>
        <v>0.76049004340579618</v>
      </c>
      <c r="BP13" s="32">
        <f t="shared" si="120"/>
        <v>2.4655215182171735</v>
      </c>
      <c r="BQ13" s="32">
        <f t="shared" si="121"/>
        <v>18.906408762056671</v>
      </c>
      <c r="BR13" s="32">
        <f t="shared" si="122"/>
        <v>1.1317964097026834</v>
      </c>
      <c r="BS13" s="32">
        <f t="shared" si="123"/>
        <v>3.1761642989300891</v>
      </c>
      <c r="BT13" s="32">
        <f t="shared" si="124"/>
        <v>2.7288172145737386</v>
      </c>
      <c r="BU13" s="32">
        <f t="shared" si="125"/>
        <v>5.1008002557214311</v>
      </c>
      <c r="BV13" s="32">
        <f t="shared" si="126"/>
        <v>13.207141012473343</v>
      </c>
      <c r="BW13" s="32">
        <f t="shared" si="127"/>
        <v>1.2407842121184971</v>
      </c>
      <c r="BX13" s="32">
        <f t="shared" si="128"/>
        <v>3.2819729062169594</v>
      </c>
      <c r="BY13" s="32">
        <f t="shared" si="129"/>
        <v>5.7283957737414655</v>
      </c>
      <c r="BZ13" s="32">
        <f t="shared" si="130"/>
        <v>10.314520424631269</v>
      </c>
      <c r="CA13" s="32">
        <f t="shared" si="131"/>
        <v>5.7283957737414655</v>
      </c>
      <c r="CB13" s="32">
        <f t="shared" si="132"/>
        <v>7.4086558388501604</v>
      </c>
      <c r="CC13" s="32">
        <f t="shared" si="133"/>
        <v>12.9772539620961</v>
      </c>
      <c r="CD13" s="32">
        <f t="shared" si="134"/>
        <v>7.4086558388501604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42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9.2857142857142865</v>
      </c>
      <c r="M14" s="41">
        <f>PLANTILLA!Z15</f>
        <v>5</v>
      </c>
      <c r="N14" s="41">
        <f>PLANTILLA!AA15</f>
        <v>13.19</v>
      </c>
      <c r="O14" s="41">
        <f>PLANTILLA!AB15</f>
        <v>5</v>
      </c>
      <c r="P14" s="41">
        <f>PLANTILLA!AC15</f>
        <v>7.8016666666666676</v>
      </c>
      <c r="Q14" s="41">
        <f>PLANTILLA!AD15</f>
        <v>3</v>
      </c>
      <c r="R14" s="41">
        <f t="shared" si="70"/>
        <v>2.7857142857142856</v>
      </c>
      <c r="S14" s="41">
        <f t="shared" si="71"/>
        <v>0.48008333333333331</v>
      </c>
      <c r="T14" s="41">
        <f t="shared" si="72"/>
        <v>0.46142857142857147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4.1366549727628916</v>
      </c>
      <c r="X14" s="32">
        <f t="shared" ca="1" si="76"/>
        <v>6.273774503167771</v>
      </c>
      <c r="Y14" s="32">
        <f t="shared" ca="1" si="77"/>
        <v>4.1366549727628916</v>
      </c>
      <c r="Z14" s="32">
        <f t="shared" ca="1" si="78"/>
        <v>5.7216458454622101</v>
      </c>
      <c r="AA14" s="32">
        <f t="shared" ca="1" si="79"/>
        <v>11.088460940818237</v>
      </c>
      <c r="AB14" s="32">
        <f t="shared" ca="1" si="80"/>
        <v>2.8608229227311051</v>
      </c>
      <c r="AC14" s="32">
        <f t="shared" ca="1" si="81"/>
        <v>1.6190537039147399</v>
      </c>
      <c r="AD14" s="32">
        <f t="shared" ca="1" si="82"/>
        <v>4.1914382356292936</v>
      </c>
      <c r="AE14" s="32">
        <f t="shared" ca="1" si="83"/>
        <v>8.0169572602115853</v>
      </c>
      <c r="AF14" s="32">
        <f t="shared" ca="1" si="84"/>
        <v>2.0957191178146468</v>
      </c>
      <c r="AG14" s="32">
        <f t="shared" ca="1" si="85"/>
        <v>2.6190574622150207</v>
      </c>
      <c r="AH14" s="32">
        <f t="shared" ca="1" si="86"/>
        <v>10.201384065552778</v>
      </c>
      <c r="AI14" s="32">
        <f t="shared" ca="1" si="87"/>
        <v>4.5906228294987503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8.3606995493769514</v>
      </c>
      <c r="AM14" s="32">
        <f t="shared" ca="1" si="91"/>
        <v>7.8506303460993117</v>
      </c>
      <c r="AN14" s="32">
        <f t="shared" ca="1" si="92"/>
        <v>0.80205869140235964</v>
      </c>
      <c r="AO14" s="32">
        <f t="shared" ca="1" si="93"/>
        <v>1.3214767509556518</v>
      </c>
      <c r="AP14" s="32">
        <f t="shared" ca="1" si="94"/>
        <v>2.9938844540209244</v>
      </c>
      <c r="AQ14" s="32">
        <f t="shared" ca="1" si="95"/>
        <v>6.5865457988460321</v>
      </c>
      <c r="AR14" s="32">
        <f t="shared" ca="1" si="96"/>
        <v>1.4969422270104622</v>
      </c>
      <c r="AS14" s="32">
        <f t="shared" ca="1" si="97"/>
        <v>6.4217928424181281</v>
      </c>
      <c r="AT14" s="32">
        <f t="shared" ca="1" si="98"/>
        <v>0.88435706516351353</v>
      </c>
      <c r="AU14" s="32">
        <f t="shared" ca="1" si="99"/>
        <v>2.4778931032787908</v>
      </c>
      <c r="AV14" s="32">
        <f t="shared" ca="1" si="100"/>
        <v>0.44217853258175677</v>
      </c>
      <c r="AW14" s="32">
        <f t="shared" ca="1" si="101"/>
        <v>2.0957191178146468</v>
      </c>
      <c r="AX14" s="32">
        <f t="shared" ca="1" si="102"/>
        <v>4.4353843763272947</v>
      </c>
      <c r="AY14" s="32">
        <f t="shared" ca="1" si="103"/>
        <v>1.0478595589073234</v>
      </c>
      <c r="AZ14" s="32">
        <f t="shared" ca="1" si="104"/>
        <v>6.8027466551039497</v>
      </c>
      <c r="BA14" s="32">
        <f t="shared" ca="1" si="105"/>
        <v>1.7210949037412993</v>
      </c>
      <c r="BB14" s="32">
        <f t="shared" ca="1" si="106"/>
        <v>4.3366634069622769</v>
      </c>
      <c r="BC14" s="32">
        <f t="shared" ca="1" si="107"/>
        <v>0.86054745187064963</v>
      </c>
      <c r="BD14" s="32">
        <f t="shared" ca="1" si="108"/>
        <v>3.2267421337781066</v>
      </c>
      <c r="BE14" s="32">
        <f t="shared" ca="1" si="109"/>
        <v>3.8587844074047464</v>
      </c>
      <c r="BF14" s="32">
        <f t="shared" ca="1" si="110"/>
        <v>5.9932198031465793</v>
      </c>
      <c r="BG14" s="32">
        <f t="shared" ca="1" si="111"/>
        <v>10.748701776387412</v>
      </c>
      <c r="BH14" s="32">
        <f t="shared" ca="1" si="112"/>
        <v>1.6394619438800517</v>
      </c>
      <c r="BI14" s="32">
        <f t="shared" ca="1" si="113"/>
        <v>5.3779035562968449</v>
      </c>
      <c r="BJ14" s="32">
        <f t="shared" ca="1" si="114"/>
        <v>2.9273536883760145</v>
      </c>
      <c r="BK14" s="32">
        <f t="shared" ca="1" si="115"/>
        <v>2.5918464755946049</v>
      </c>
      <c r="BL14" s="32">
        <f t="shared" ca="1" si="116"/>
        <v>11.457470576560853</v>
      </c>
      <c r="BM14" s="32">
        <f t="shared" ca="1" si="117"/>
        <v>0.35374282606540536</v>
      </c>
      <c r="BN14" s="32">
        <f t="shared" ca="1" si="118"/>
        <v>1.9959229693472826</v>
      </c>
      <c r="BO14" s="32">
        <f t="shared" ca="1" si="119"/>
        <v>0.75401534397564018</v>
      </c>
      <c r="BP14" s="32">
        <f t="shared" ca="1" si="120"/>
        <v>2.0748377298067044</v>
      </c>
      <c r="BQ14" s="32">
        <f t="shared" ca="1" si="121"/>
        <v>16.93833219846368</v>
      </c>
      <c r="BR14" s="32">
        <f t="shared" ca="1" si="122"/>
        <v>0.91837079843903324</v>
      </c>
      <c r="BS14" s="32">
        <f t="shared" ca="1" si="123"/>
        <v>3.1491229071923792</v>
      </c>
      <c r="BT14" s="32">
        <f t="shared" ca="1" si="124"/>
        <v>2.7055844695596498</v>
      </c>
      <c r="BU14" s="32">
        <f t="shared" ca="1" si="125"/>
        <v>4.2925331393705921</v>
      </c>
      <c r="BV14" s="32">
        <f t="shared" ca="1" si="126"/>
        <v>11.837838256318035</v>
      </c>
      <c r="BW14" s="32">
        <f t="shared" ca="1" si="127"/>
        <v>1.0068065049553845</v>
      </c>
      <c r="BX14" s="32">
        <f t="shared" ca="1" si="128"/>
        <v>2.7619151419722039</v>
      </c>
      <c r="BY14" s="32">
        <f t="shared" ca="1" si="129"/>
        <v>5.0794026739758245</v>
      </c>
      <c r="BZ14" s="32">
        <f t="shared" ca="1" si="130"/>
        <v>9.2932644003137153</v>
      </c>
      <c r="CA14" s="32">
        <f t="shared" ca="1" si="131"/>
        <v>5.0794026739758245</v>
      </c>
      <c r="CB14" s="32">
        <f t="shared" ca="1" si="132"/>
        <v>6.7765344994630947</v>
      </c>
      <c r="CC14" s="32">
        <f t="shared" ca="1" si="133"/>
        <v>12.114626837503977</v>
      </c>
      <c r="CD14" s="32">
        <f t="shared" ca="1" si="134"/>
        <v>6.7765344994630947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11</v>
      </c>
      <c r="D15" s="134" t="str">
        <f>PLANTILLA!G16</f>
        <v>POT</v>
      </c>
      <c r="E15" s="28">
        <f>PLANTILLA!M16</f>
        <v>43409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0.79113509781959868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</v>
      </c>
      <c r="P15" s="41">
        <f>PLANTILLA!AC16</f>
        <v>7</v>
      </c>
      <c r="Q15" s="41">
        <f>PLANTILLA!AD16</f>
        <v>17</v>
      </c>
      <c r="R15" s="41">
        <f t="shared" si="70"/>
        <v>3.25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15.98857112994645</v>
      </c>
      <c r="V15" s="41">
        <f t="shared" ca="1" si="74"/>
        <v>17.500000551979241</v>
      </c>
      <c r="W15" s="32">
        <f t="shared" ca="1" si="75"/>
        <v>4.1583550589731049</v>
      </c>
      <c r="X15" s="32">
        <f t="shared" ca="1" si="76"/>
        <v>6.3010508374963088</v>
      </c>
      <c r="Y15" s="32">
        <f t="shared" ca="1" si="77"/>
        <v>4.1583550589731049</v>
      </c>
      <c r="Z15" s="32">
        <f t="shared" ca="1" si="78"/>
        <v>5.6336531620047214</v>
      </c>
      <c r="AA15" s="32">
        <f t="shared" ca="1" si="79"/>
        <v>10.917932484505274</v>
      </c>
      <c r="AB15" s="32">
        <f t="shared" ca="1" si="80"/>
        <v>2.8168265810023607</v>
      </c>
      <c r="AC15" s="32">
        <f t="shared" ca="1" si="81"/>
        <v>3.5504679313122551</v>
      </c>
      <c r="AD15" s="32">
        <f t="shared" ca="1" si="82"/>
        <v>4.1269784791429931</v>
      </c>
      <c r="AE15" s="32">
        <f t="shared" ca="1" si="83"/>
        <v>7.8936651862973122</v>
      </c>
      <c r="AF15" s="32">
        <f t="shared" ca="1" si="84"/>
        <v>2.0634892395714965</v>
      </c>
      <c r="AG15" s="32">
        <f t="shared" ca="1" si="85"/>
        <v>5.7434040065345302</v>
      </c>
      <c r="AH15" s="32">
        <f t="shared" ca="1" si="86"/>
        <v>10.044497885744851</v>
      </c>
      <c r="AI15" s="32">
        <f t="shared" ca="1" si="87"/>
        <v>4.5200240485851833</v>
      </c>
      <c r="AJ15" s="32">
        <f t="shared" ca="1" si="88"/>
        <v>2.4912947249123807</v>
      </c>
      <c r="AK15" s="32">
        <f t="shared" ca="1" si="89"/>
        <v>4.6557443008891006</v>
      </c>
      <c r="AL15" s="32">
        <f t="shared" ca="1" si="90"/>
        <v>8.2321210933169766</v>
      </c>
      <c r="AM15" s="32">
        <f t="shared" ca="1" si="91"/>
        <v>7.7298961990297332</v>
      </c>
      <c r="AN15" s="32">
        <f t="shared" ca="1" si="92"/>
        <v>3.1592947249123813</v>
      </c>
      <c r="AO15" s="32">
        <f t="shared" ca="1" si="93"/>
        <v>1.4883645555375187</v>
      </c>
      <c r="AP15" s="32">
        <f t="shared" ca="1" si="94"/>
        <v>2.947841770816424</v>
      </c>
      <c r="AQ15" s="32">
        <f t="shared" ca="1" si="95"/>
        <v>6.4852518957961323</v>
      </c>
      <c r="AR15" s="32">
        <f t="shared" ca="1" si="96"/>
        <v>1.473920885408212</v>
      </c>
      <c r="AS15" s="32">
        <f t="shared" ca="1" si="97"/>
        <v>14.082528265372977</v>
      </c>
      <c r="AT15" s="32">
        <f t="shared" ca="1" si="98"/>
        <v>1.1593312229856856</v>
      </c>
      <c r="AU15" s="32">
        <f t="shared" ca="1" si="99"/>
        <v>2.6129542179600449</v>
      </c>
      <c r="AV15" s="32">
        <f t="shared" ca="1" si="100"/>
        <v>0.57966561149284279</v>
      </c>
      <c r="AW15" s="32">
        <f t="shared" ca="1" si="101"/>
        <v>2.0634892395714965</v>
      </c>
      <c r="AX15" s="32">
        <f t="shared" ca="1" si="102"/>
        <v>4.36717299380211</v>
      </c>
      <c r="AY15" s="32">
        <f t="shared" ca="1" si="103"/>
        <v>1.0317446197857483</v>
      </c>
      <c r="AZ15" s="32">
        <f t="shared" ca="1" si="104"/>
        <v>14.917932484505274</v>
      </c>
      <c r="BA15" s="32">
        <f t="shared" ca="1" si="105"/>
        <v>2.2562369185798343</v>
      </c>
      <c r="BB15" s="32">
        <f t="shared" ca="1" si="106"/>
        <v>4.9137807989624065</v>
      </c>
      <c r="BC15" s="32">
        <f t="shared" ca="1" si="107"/>
        <v>1.1281184592899172</v>
      </c>
      <c r="BD15" s="32">
        <f t="shared" ca="1" si="108"/>
        <v>3.1771183529910343</v>
      </c>
      <c r="BE15" s="32">
        <f t="shared" ca="1" si="109"/>
        <v>3.7994405046078348</v>
      </c>
      <c r="BF15" s="32">
        <f t="shared" ca="1" si="110"/>
        <v>13.142698518849146</v>
      </c>
      <c r="BG15" s="32">
        <f t="shared" ca="1" si="111"/>
        <v>7.3540419787251876</v>
      </c>
      <c r="BH15" s="32">
        <f t="shared" ca="1" si="112"/>
        <v>2.1492217287657707</v>
      </c>
      <c r="BI15" s="32">
        <f t="shared" ca="1" si="113"/>
        <v>5.2951972549850579</v>
      </c>
      <c r="BJ15" s="32">
        <f t="shared" ca="1" si="114"/>
        <v>2.8823341759093926</v>
      </c>
      <c r="BK15" s="32">
        <f t="shared" ca="1" si="115"/>
        <v>5.6837322765965093</v>
      </c>
      <c r="BL15" s="32">
        <f t="shared" ca="1" si="116"/>
        <v>7.1212729914576096</v>
      </c>
      <c r="BM15" s="32">
        <f t="shared" ca="1" si="117"/>
        <v>0.46373248919427423</v>
      </c>
      <c r="BN15" s="32">
        <f t="shared" ca="1" si="118"/>
        <v>1.9652278472109492</v>
      </c>
      <c r="BO15" s="32">
        <f t="shared" ca="1" si="119"/>
        <v>0.74241940894635872</v>
      </c>
      <c r="BP15" s="32">
        <f t="shared" ca="1" si="120"/>
        <v>4.5499694077741086</v>
      </c>
      <c r="BQ15" s="32">
        <f t="shared" ca="1" si="121"/>
        <v>10.468461175073781</v>
      </c>
      <c r="BR15" s="32">
        <f t="shared" ca="1" si="122"/>
        <v>1.203920885408212</v>
      </c>
      <c r="BS15" s="32">
        <f t="shared" ca="1" si="123"/>
        <v>3.1006928255994977</v>
      </c>
      <c r="BT15" s="32">
        <f t="shared" ca="1" si="124"/>
        <v>2.6639755262192866</v>
      </c>
      <c r="BU15" s="32">
        <f t="shared" ca="1" si="125"/>
        <v>9.4132153977228281</v>
      </c>
      <c r="BV15" s="32">
        <f t="shared" ca="1" si="126"/>
        <v>7.2795495736322202</v>
      </c>
      <c r="BW15" s="32">
        <f t="shared" ca="1" si="127"/>
        <v>1.3198540077067804</v>
      </c>
      <c r="BX15" s="32">
        <f t="shared" ca="1" si="128"/>
        <v>6.0566805887091419</v>
      </c>
      <c r="BY15" s="32">
        <f t="shared" ca="1" si="129"/>
        <v>4.5022428244272472</v>
      </c>
      <c r="BZ15" s="32">
        <f t="shared" ca="1" si="130"/>
        <v>10.041591977552937</v>
      </c>
      <c r="CA15" s="32">
        <f t="shared" ca="1" si="131"/>
        <v>4.5022428244272472</v>
      </c>
      <c r="CB15" s="32">
        <f t="shared" ca="1" si="132"/>
        <v>5.3348719378467848</v>
      </c>
      <c r="CC15" s="32">
        <f t="shared" ca="1" si="133"/>
        <v>12.208649571287719</v>
      </c>
      <c r="CD15" s="32">
        <f t="shared" ca="1" si="134"/>
        <v>5.3348719378467848</v>
      </c>
      <c r="CE15" s="32">
        <f t="shared" ca="1" si="135"/>
        <v>3.7294831211263184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16</v>
      </c>
      <c r="D16" s="134" t="str">
        <f>PLANTILLA!G17</f>
        <v>IMP</v>
      </c>
      <c r="E16" s="28">
        <f>PLANTILLA!M17</f>
        <v>43415</v>
      </c>
      <c r="F16" s="42">
        <f>PLANTILLA!Q17</f>
        <v>5</v>
      </c>
      <c r="G16" s="43">
        <f t="shared" si="68"/>
        <v>0.84515425472851657</v>
      </c>
      <c r="H16" s="43">
        <f t="shared" si="69"/>
        <v>0.92504826128926143</v>
      </c>
      <c r="I16" s="140">
        <f ca="1">PLANTILLA!N17</f>
        <v>0.77803549598249677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</v>
      </c>
      <c r="P16" s="41">
        <f>PLANTILLA!AC17</f>
        <v>5</v>
      </c>
      <c r="Q16" s="41">
        <f>PLANTILLA!AD17</f>
        <v>12</v>
      </c>
      <c r="R16" s="41">
        <f t="shared" si="70"/>
        <v>2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11.567082973520947</v>
      </c>
      <c r="V16" s="41">
        <f t="shared" ca="1" si="74"/>
        <v>12.660540881121516</v>
      </c>
      <c r="W16" s="32">
        <f t="shared" ca="1" si="75"/>
        <v>2.8521897882979035</v>
      </c>
      <c r="X16" s="32">
        <f t="shared" ca="1" si="76"/>
        <v>4.3020870752492471</v>
      </c>
      <c r="Y16" s="32">
        <f t="shared" ca="1" si="77"/>
        <v>2.8521897882979035</v>
      </c>
      <c r="Z16" s="32">
        <f t="shared" ca="1" si="78"/>
        <v>3.4501602872413724</v>
      </c>
      <c r="AA16" s="32">
        <f t="shared" ca="1" si="79"/>
        <v>6.6863571458166131</v>
      </c>
      <c r="AB16" s="32">
        <f t="shared" ca="1" si="80"/>
        <v>1.7250801436206862</v>
      </c>
      <c r="AC16" s="32">
        <f t="shared" ca="1" si="81"/>
        <v>3.0193530007043536</v>
      </c>
      <c r="AD16" s="32">
        <f t="shared" ca="1" si="82"/>
        <v>2.5274430011186797</v>
      </c>
      <c r="AE16" s="32">
        <f t="shared" ca="1" si="83"/>
        <v>4.8342362164254107</v>
      </c>
      <c r="AF16" s="32">
        <f t="shared" ca="1" si="84"/>
        <v>1.2637215005593398</v>
      </c>
      <c r="AG16" s="32">
        <f t="shared" ca="1" si="85"/>
        <v>4.884247501139396</v>
      </c>
      <c r="AH16" s="32">
        <f t="shared" ca="1" si="86"/>
        <v>6.1514485741512841</v>
      </c>
      <c r="AI16" s="32">
        <f t="shared" ca="1" si="87"/>
        <v>2.7681518583680775</v>
      </c>
      <c r="AJ16" s="32">
        <f t="shared" ca="1" si="88"/>
        <v>2.1186216433513745</v>
      </c>
      <c r="AK16" s="32">
        <f t="shared" ca="1" si="89"/>
        <v>2.1675780017401682</v>
      </c>
      <c r="AL16" s="32">
        <f t="shared" ca="1" si="90"/>
        <v>5.0415132879457261</v>
      </c>
      <c r="AM16" s="32">
        <f t="shared" ca="1" si="91"/>
        <v>4.733940859238162</v>
      </c>
      <c r="AN16" s="32">
        <f t="shared" ca="1" si="92"/>
        <v>2.2856216433513743</v>
      </c>
      <c r="AO16" s="32">
        <f t="shared" ca="1" si="93"/>
        <v>1.0616708579951846</v>
      </c>
      <c r="AP16" s="32">
        <f t="shared" ca="1" si="94"/>
        <v>1.8053164293704858</v>
      </c>
      <c r="AQ16" s="32">
        <f t="shared" ca="1" si="95"/>
        <v>3.971696144615068</v>
      </c>
      <c r="AR16" s="32">
        <f t="shared" ca="1" si="96"/>
        <v>0.90265821468524288</v>
      </c>
      <c r="AS16" s="32">
        <f t="shared" ca="1" si="97"/>
        <v>11.975921145650883</v>
      </c>
      <c r="AT16" s="32">
        <f t="shared" ca="1" si="98"/>
        <v>0.73922642895615975</v>
      </c>
      <c r="AU16" s="32">
        <f t="shared" ca="1" si="99"/>
        <v>1.8391026437242677</v>
      </c>
      <c r="AV16" s="32">
        <f t="shared" ca="1" si="100"/>
        <v>0.36961321447807988</v>
      </c>
      <c r="AW16" s="32">
        <f t="shared" ca="1" si="101"/>
        <v>1.2637215005593398</v>
      </c>
      <c r="AX16" s="32">
        <f t="shared" ca="1" si="102"/>
        <v>2.6745428583266455</v>
      </c>
      <c r="AY16" s="32">
        <f t="shared" ca="1" si="103"/>
        <v>0.63186075027966992</v>
      </c>
      <c r="AZ16" s="32">
        <f t="shared" ca="1" si="104"/>
        <v>12.686357145816613</v>
      </c>
      <c r="BA16" s="32">
        <f t="shared" ca="1" si="105"/>
        <v>1.4386483578916032</v>
      </c>
      <c r="BB16" s="32">
        <f t="shared" ca="1" si="106"/>
        <v>3.3431827873449542</v>
      </c>
      <c r="BC16" s="32">
        <f t="shared" ca="1" si="107"/>
        <v>0.71932417894580158</v>
      </c>
      <c r="BD16" s="32">
        <f t="shared" ca="1" si="108"/>
        <v>1.9457299294326342</v>
      </c>
      <c r="BE16" s="32">
        <f t="shared" ca="1" si="109"/>
        <v>2.326852286744181</v>
      </c>
      <c r="BF16" s="32">
        <f t="shared" ca="1" si="110"/>
        <v>11.176680645464437</v>
      </c>
      <c r="BG16" s="32">
        <f t="shared" ca="1" si="111"/>
        <v>3.9071715026309688</v>
      </c>
      <c r="BH16" s="32">
        <f t="shared" ca="1" si="112"/>
        <v>1.3704120721418036</v>
      </c>
      <c r="BI16" s="32">
        <f t="shared" ca="1" si="113"/>
        <v>3.2428832157210574</v>
      </c>
      <c r="BJ16" s="32">
        <f t="shared" ca="1" si="114"/>
        <v>1.765198286495586</v>
      </c>
      <c r="BK16" s="32">
        <f t="shared" ca="1" si="115"/>
        <v>4.8335020725561293</v>
      </c>
      <c r="BL16" s="32">
        <f t="shared" ca="1" si="116"/>
        <v>3.6238761454437203</v>
      </c>
      <c r="BM16" s="32">
        <f t="shared" ca="1" si="117"/>
        <v>0.29569057158246387</v>
      </c>
      <c r="BN16" s="32">
        <f t="shared" ca="1" si="118"/>
        <v>1.2035442862469903</v>
      </c>
      <c r="BO16" s="32">
        <f t="shared" ca="1" si="119"/>
        <v>0.45467228591552972</v>
      </c>
      <c r="BP16" s="32">
        <f t="shared" ca="1" si="120"/>
        <v>3.869338929474067</v>
      </c>
      <c r="BQ16" s="32">
        <f t="shared" ca="1" si="121"/>
        <v>5.3126552895201646</v>
      </c>
      <c r="BR16" s="32">
        <f t="shared" ca="1" si="122"/>
        <v>0.76765821468524287</v>
      </c>
      <c r="BS16" s="32">
        <f t="shared" ca="1" si="123"/>
        <v>1.898925429411918</v>
      </c>
      <c r="BT16" s="32">
        <f t="shared" ca="1" si="124"/>
        <v>1.6314711435792535</v>
      </c>
      <c r="BU16" s="32">
        <f t="shared" ca="1" si="125"/>
        <v>8.005091359010283</v>
      </c>
      <c r="BV16" s="32">
        <f t="shared" ca="1" si="126"/>
        <v>3.6852896455058684</v>
      </c>
      <c r="BW16" s="32">
        <f t="shared" ca="1" si="127"/>
        <v>0.84158085758085865</v>
      </c>
      <c r="BX16" s="32">
        <f t="shared" ca="1" si="128"/>
        <v>5.150661001201545</v>
      </c>
      <c r="BY16" s="32">
        <f t="shared" ca="1" si="129"/>
        <v>2.8015920729704553</v>
      </c>
      <c r="BZ16" s="32">
        <f t="shared" ca="1" si="130"/>
        <v>6.985838146189506</v>
      </c>
      <c r="CA16" s="32">
        <f t="shared" ca="1" si="131"/>
        <v>2.8015920729704553</v>
      </c>
      <c r="CB16" s="32">
        <f t="shared" ca="1" si="132"/>
        <v>3.3606005018437499</v>
      </c>
      <c r="CC16" s="32">
        <f t="shared" ca="1" si="133"/>
        <v>8.784622932622943</v>
      </c>
      <c r="CD16" s="32">
        <f t="shared" ca="1" si="134"/>
        <v>3.3606005018437499</v>
      </c>
      <c r="CE16" s="32">
        <f t="shared" ca="1" si="135"/>
        <v>3.1715892864541533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83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4.25</v>
      </c>
      <c r="P17" s="41">
        <f>PLANTILLA!AC18</f>
        <v>5.6190261437908475</v>
      </c>
      <c r="Q17" s="41">
        <f>PLANTILLA!AD18</f>
        <v>3</v>
      </c>
      <c r="R17" s="41">
        <f t="shared" si="70"/>
        <v>1.9375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0.9988089633300623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0.75147626816981983</v>
      </c>
      <c r="AU17" s="32">
        <f t="shared" ca="1" si="99"/>
        <v>1.9305534195970258</v>
      </c>
      <c r="AV17" s="32">
        <f t="shared" ca="1" si="100"/>
        <v>0.37573813408490991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1.462488429592034</v>
      </c>
      <c r="BB17" s="32">
        <f t="shared" ca="1" si="106"/>
        <v>3.4725987499004685</v>
      </c>
      <c r="BC17" s="32">
        <f t="shared" ca="1" si="107"/>
        <v>0.73124421479601698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6.1434415569459215</v>
      </c>
      <c r="BH17" s="32">
        <f t="shared" ca="1" si="112"/>
        <v>1.3931213894532812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6.2299827567724808</v>
      </c>
      <c r="BM17" s="32">
        <f t="shared" ca="1" si="117"/>
        <v>0.30059050726792791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9.1838344682029867</v>
      </c>
      <c r="BR17" s="32">
        <f t="shared" ca="1" si="122"/>
        <v>0.78037920156096685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6.402125077015298</v>
      </c>
      <c r="BW17" s="32">
        <f t="shared" ca="1" si="127"/>
        <v>0.85552682837794869</v>
      </c>
      <c r="BX17" s="32">
        <f t="shared" ca="1" si="128"/>
        <v>3.0574181913611298</v>
      </c>
      <c r="BY17" s="32">
        <f t="shared" ca="1" si="129"/>
        <v>3.4375519796189464</v>
      </c>
      <c r="BZ17" s="32">
        <f t="shared" ca="1" si="130"/>
        <v>7.3070828415163502</v>
      </c>
      <c r="CA17" s="32">
        <f t="shared" ca="1" si="131"/>
        <v>3.4375519796189464</v>
      </c>
      <c r="CB17" s="32">
        <f t="shared" ca="1" si="132"/>
        <v>4.3440022979225263</v>
      </c>
      <c r="CC17" s="32">
        <f t="shared" ca="1" si="133"/>
        <v>9.2826493062868742</v>
      </c>
      <c r="CD17" s="32">
        <f t="shared" ca="1" si="134"/>
        <v>4.3440022979225263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8</v>
      </c>
      <c r="D18" s="134" t="str">
        <f>PLANTILLA!G19</f>
        <v>RAP</v>
      </c>
      <c r="E18" s="28">
        <f>PLANTILLA!M19</f>
        <v>43420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40">
        <f ca="1">PLANTILLA!N19</f>
        <v>0.76702366970655766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</v>
      </c>
      <c r="P18" s="41">
        <f>PLANTILLA!AC19</f>
        <v>10</v>
      </c>
      <c r="Q18" s="41">
        <f>PLANTILLA!AD19</f>
        <v>14</v>
      </c>
      <c r="R18" s="41">
        <f t="shared" si="70"/>
        <v>2.75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11.988843283017488</v>
      </c>
      <c r="V18" s="41">
        <f t="shared" ca="1" si="74"/>
        <v>13.390523633255723</v>
      </c>
      <c r="W18" s="32">
        <f t="shared" ca="1" si="75"/>
        <v>3.0035608046245601</v>
      </c>
      <c r="X18" s="32">
        <f t="shared" ca="1" si="76"/>
        <v>4.5259358519705692</v>
      </c>
      <c r="Y18" s="32">
        <f t="shared" ca="1" si="77"/>
        <v>3.0035608046245601</v>
      </c>
      <c r="Z18" s="32">
        <f t="shared" ca="1" si="78"/>
        <v>3.5396304412213899</v>
      </c>
      <c r="AA18" s="32">
        <f t="shared" ca="1" si="79"/>
        <v>6.8597489170957164</v>
      </c>
      <c r="AB18" s="32">
        <f t="shared" ca="1" si="80"/>
        <v>1.769815220610695</v>
      </c>
      <c r="AC18" s="32">
        <f t="shared" ca="1" si="81"/>
        <v>0.91862024226878036</v>
      </c>
      <c r="AD18" s="32">
        <f t="shared" ca="1" si="82"/>
        <v>2.592985090662181</v>
      </c>
      <c r="AE18" s="32">
        <f t="shared" ca="1" si="83"/>
        <v>4.9595984670602027</v>
      </c>
      <c r="AF18" s="32">
        <f t="shared" ca="1" si="84"/>
        <v>1.2964925453310905</v>
      </c>
      <c r="AG18" s="32">
        <f t="shared" ca="1" si="85"/>
        <v>1.4860033330818507</v>
      </c>
      <c r="AH18" s="32">
        <f t="shared" ca="1" si="86"/>
        <v>6.3109690037280597</v>
      </c>
      <c r="AI18" s="32">
        <f t="shared" ca="1" si="87"/>
        <v>2.8399360516776264</v>
      </c>
      <c r="AJ18" s="32">
        <f t="shared" ca="1" si="88"/>
        <v>0.64457806915498461</v>
      </c>
      <c r="AK18" s="32">
        <f t="shared" ca="1" si="89"/>
        <v>3.4455323632522812</v>
      </c>
      <c r="AL18" s="32">
        <f t="shared" ca="1" si="90"/>
        <v>5.1722506834901703</v>
      </c>
      <c r="AM18" s="32">
        <f t="shared" ca="1" si="91"/>
        <v>4.8567022333037668</v>
      </c>
      <c r="AN18" s="32">
        <f t="shared" ca="1" si="92"/>
        <v>2.6485780691549845</v>
      </c>
      <c r="AO18" s="32">
        <f t="shared" ca="1" si="93"/>
        <v>1.3276076881235663</v>
      </c>
      <c r="AP18" s="32">
        <f t="shared" ca="1" si="94"/>
        <v>1.8521322076158435</v>
      </c>
      <c r="AQ18" s="32">
        <f t="shared" ca="1" si="95"/>
        <v>4.074690856754855</v>
      </c>
      <c r="AR18" s="32">
        <f t="shared" ca="1" si="96"/>
        <v>0.92606610380792176</v>
      </c>
      <c r="AS18" s="32">
        <f t="shared" ca="1" si="97"/>
        <v>3.6436029777383556</v>
      </c>
      <c r="AT18" s="32">
        <f t="shared" ca="1" si="98"/>
        <v>1.1517673592224431</v>
      </c>
      <c r="AU18" s="32">
        <f t="shared" ca="1" si="99"/>
        <v>3.1149064327090441</v>
      </c>
      <c r="AV18" s="32">
        <f t="shared" ca="1" si="100"/>
        <v>0.57588367961122156</v>
      </c>
      <c r="AW18" s="32">
        <f t="shared" ca="1" si="101"/>
        <v>1.2964925453310905</v>
      </c>
      <c r="AX18" s="32">
        <f t="shared" ca="1" si="102"/>
        <v>2.7438995668382868</v>
      </c>
      <c r="AY18" s="32">
        <f t="shared" ca="1" si="103"/>
        <v>0.64824627266554524</v>
      </c>
      <c r="AZ18" s="32">
        <f t="shared" ca="1" si="104"/>
        <v>3.859748917095716</v>
      </c>
      <c r="BA18" s="32">
        <f t="shared" ca="1" si="105"/>
        <v>2.2415164760252164</v>
      </c>
      <c r="BB18" s="32">
        <f t="shared" ca="1" si="106"/>
        <v>5.5117216533197393</v>
      </c>
      <c r="BC18" s="32">
        <f t="shared" ca="1" si="107"/>
        <v>1.1207582380126082</v>
      </c>
      <c r="BD18" s="32">
        <f t="shared" ca="1" si="108"/>
        <v>1.9961869348748533</v>
      </c>
      <c r="BE18" s="32">
        <f t="shared" ca="1" si="109"/>
        <v>2.3871926231493092</v>
      </c>
      <c r="BF18" s="32">
        <f t="shared" ca="1" si="110"/>
        <v>3.4004387959613256</v>
      </c>
      <c r="BG18" s="32">
        <f t="shared" ca="1" si="111"/>
        <v>6.1543167872980913</v>
      </c>
      <c r="BH18" s="32">
        <f t="shared" ca="1" si="112"/>
        <v>2.1351994890200676</v>
      </c>
      <c r="BI18" s="32">
        <f t="shared" ca="1" si="113"/>
        <v>3.3269782247914224</v>
      </c>
      <c r="BJ18" s="32">
        <f t="shared" ca="1" si="114"/>
        <v>1.8109737141132691</v>
      </c>
      <c r="BK18" s="32">
        <f t="shared" ca="1" si="115"/>
        <v>1.4705643374134678</v>
      </c>
      <c r="BL18" s="32">
        <f t="shared" ca="1" si="116"/>
        <v>5.7244205535416572</v>
      </c>
      <c r="BM18" s="32">
        <f t="shared" ca="1" si="117"/>
        <v>0.46070694368897724</v>
      </c>
      <c r="BN18" s="32">
        <f t="shared" ca="1" si="118"/>
        <v>1.234754805077229</v>
      </c>
      <c r="BO18" s="32">
        <f t="shared" ca="1" si="119"/>
        <v>0.46646292636250875</v>
      </c>
      <c r="BP18" s="32">
        <f t="shared" ca="1" si="120"/>
        <v>1.1772234197141933</v>
      </c>
      <c r="BQ18" s="32">
        <f t="shared" ca="1" si="121"/>
        <v>8.3936371073850911</v>
      </c>
      <c r="BR18" s="32">
        <f t="shared" ca="1" si="122"/>
        <v>1.1960661038079219</v>
      </c>
      <c r="BS18" s="32">
        <f t="shared" ca="1" si="123"/>
        <v>1.9481686924551833</v>
      </c>
      <c r="BT18" s="32">
        <f t="shared" ca="1" si="124"/>
        <v>1.6737787357713547</v>
      </c>
      <c r="BU18" s="32">
        <f t="shared" ca="1" si="125"/>
        <v>2.4355015666873969</v>
      </c>
      <c r="BV18" s="32">
        <f t="shared" ca="1" si="126"/>
        <v>5.8234752808006665</v>
      </c>
      <c r="BW18" s="32">
        <f t="shared" ca="1" si="127"/>
        <v>1.3112428397301659</v>
      </c>
      <c r="BX18" s="32">
        <f t="shared" ca="1" si="128"/>
        <v>1.5670580603408608</v>
      </c>
      <c r="BY18" s="32">
        <f t="shared" ca="1" si="129"/>
        <v>4.5649291858068679</v>
      </c>
      <c r="BZ18" s="32">
        <f t="shared" ca="1" si="130"/>
        <v>11.725077280649776</v>
      </c>
      <c r="CA18" s="32">
        <f t="shared" ca="1" si="131"/>
        <v>4.5649291858068679</v>
      </c>
      <c r="CB18" s="32">
        <f t="shared" ca="1" si="132"/>
        <v>5.6366235753506313</v>
      </c>
      <c r="CC18" s="32">
        <f t="shared" ca="1" si="133"/>
        <v>15.128996267504034</v>
      </c>
      <c r="CD18" s="32">
        <f t="shared" ca="1" si="134"/>
        <v>5.6366235753506313</v>
      </c>
      <c r="CE18" s="32">
        <f t="shared" ca="1" si="135"/>
        <v>0.964937229273929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46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0.77364134993024503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</v>
      </c>
      <c r="P19" s="41">
        <f>PLANTILLA!AC20</f>
        <v>8.9499999999999993</v>
      </c>
      <c r="Q19" s="41">
        <f>PLANTILLA!AD20</f>
        <v>13</v>
      </c>
      <c r="R19" s="41">
        <f t="shared" si="70"/>
        <v>3.375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14.839428749201687</v>
      </c>
      <c r="V19" s="41">
        <f t="shared" ca="1" si="74"/>
        <v>14.839428749201687</v>
      </c>
      <c r="W19" s="32">
        <f t="shared" ca="1" si="75"/>
        <v>3.2618212980530732</v>
      </c>
      <c r="X19" s="32">
        <f t="shared" ca="1" si="76"/>
        <v>4.9247025152193782</v>
      </c>
      <c r="Y19" s="32">
        <f t="shared" ca="1" si="77"/>
        <v>3.2618212980530732</v>
      </c>
      <c r="Z19" s="32">
        <f t="shared" ca="1" si="78"/>
        <v>4.0451452345880705</v>
      </c>
      <c r="AA19" s="32">
        <f t="shared" ca="1" si="79"/>
        <v>7.8394287492016872</v>
      </c>
      <c r="AB19" s="32">
        <f t="shared" ca="1" si="80"/>
        <v>2.0225726172940353</v>
      </c>
      <c r="AC19" s="32">
        <f t="shared" ca="1" si="81"/>
        <v>0.91378404231000154</v>
      </c>
      <c r="AD19" s="32">
        <f t="shared" ca="1" si="82"/>
        <v>2.9633040671982376</v>
      </c>
      <c r="AE19" s="32">
        <f t="shared" ca="1" si="83"/>
        <v>5.6679069856728193</v>
      </c>
      <c r="AF19" s="32">
        <f t="shared" ca="1" si="84"/>
        <v>1.4816520335991188</v>
      </c>
      <c r="AG19" s="32">
        <f t="shared" ca="1" si="85"/>
        <v>1.4781800684426496</v>
      </c>
      <c r="AH19" s="32">
        <f t="shared" ca="1" si="86"/>
        <v>7.2122744492655526</v>
      </c>
      <c r="AI19" s="32">
        <f t="shared" ca="1" si="87"/>
        <v>3.2455235021694984</v>
      </c>
      <c r="AJ19" s="32">
        <f t="shared" ca="1" si="88"/>
        <v>0.64118460111668185</v>
      </c>
      <c r="AK19" s="32">
        <f t="shared" ca="1" si="89"/>
        <v>4.6095841045305921</v>
      </c>
      <c r="AL19" s="32">
        <f t="shared" ca="1" si="90"/>
        <v>5.9109292768980719</v>
      </c>
      <c r="AM19" s="32">
        <f t="shared" ca="1" si="91"/>
        <v>5.5503155544347944</v>
      </c>
      <c r="AN19" s="32">
        <f t="shared" ca="1" si="92"/>
        <v>2.4781846011166819</v>
      </c>
      <c r="AO19" s="32">
        <f t="shared" ca="1" si="93"/>
        <v>1.5017554797700858</v>
      </c>
      <c r="AP19" s="32">
        <f t="shared" ca="1" si="94"/>
        <v>2.1166457622844557</v>
      </c>
      <c r="AQ19" s="32">
        <f t="shared" ca="1" si="95"/>
        <v>4.6566206770258018</v>
      </c>
      <c r="AR19" s="32">
        <f t="shared" ca="1" si="96"/>
        <v>1.0583228811422278</v>
      </c>
      <c r="AS19" s="32">
        <f t="shared" ca="1" si="97"/>
        <v>3.6244207392463927</v>
      </c>
      <c r="AT19" s="32">
        <f t="shared" ca="1" si="98"/>
        <v>1.4091257373962194</v>
      </c>
      <c r="AU19" s="32">
        <f t="shared" ca="1" si="99"/>
        <v>3.1673026235160942</v>
      </c>
      <c r="AV19" s="32">
        <f t="shared" ca="1" si="100"/>
        <v>0.70456286869810969</v>
      </c>
      <c r="AW19" s="32">
        <f t="shared" ca="1" si="101"/>
        <v>1.4816520335991188</v>
      </c>
      <c r="AX19" s="32">
        <f t="shared" ca="1" si="102"/>
        <v>3.1357714996806751</v>
      </c>
      <c r="AY19" s="32">
        <f t="shared" ca="1" si="103"/>
        <v>0.74082601679955939</v>
      </c>
      <c r="AZ19" s="32">
        <f t="shared" ca="1" si="104"/>
        <v>3.8394287492016872</v>
      </c>
      <c r="BA19" s="32">
        <f t="shared" ca="1" si="105"/>
        <v>2.742375473548027</v>
      </c>
      <c r="BB19" s="32">
        <f t="shared" ca="1" si="106"/>
        <v>5.9620252408101297</v>
      </c>
      <c r="BC19" s="32">
        <f t="shared" ca="1" si="107"/>
        <v>1.3711877367740135</v>
      </c>
      <c r="BD19" s="32">
        <f t="shared" ca="1" si="108"/>
        <v>2.2812737660176907</v>
      </c>
      <c r="BE19" s="32">
        <f t="shared" ca="1" si="109"/>
        <v>2.728121204722187</v>
      </c>
      <c r="BF19" s="32">
        <f t="shared" ca="1" si="110"/>
        <v>3.3825367280466865</v>
      </c>
      <c r="BG19" s="32">
        <f t="shared" ca="1" si="111"/>
        <v>7.9142521580403002</v>
      </c>
      <c r="BH19" s="32">
        <f t="shared" ca="1" si="112"/>
        <v>2.6123023285576066</v>
      </c>
      <c r="BI19" s="32">
        <f t="shared" ca="1" si="113"/>
        <v>3.8021229433628183</v>
      </c>
      <c r="BJ19" s="32">
        <f t="shared" ca="1" si="114"/>
        <v>2.0696091897892455</v>
      </c>
      <c r="BK19" s="32">
        <f t="shared" ca="1" si="115"/>
        <v>1.4628223534458429</v>
      </c>
      <c r="BL19" s="32">
        <f t="shared" ca="1" si="116"/>
        <v>7.4546607268022758</v>
      </c>
      <c r="BM19" s="32">
        <f t="shared" ca="1" si="117"/>
        <v>0.56365029495848773</v>
      </c>
      <c r="BN19" s="32">
        <f t="shared" ca="1" si="118"/>
        <v>1.4110971748563037</v>
      </c>
      <c r="BO19" s="32">
        <f t="shared" ca="1" si="119"/>
        <v>0.53308115494571473</v>
      </c>
      <c r="BP19" s="32">
        <f t="shared" ca="1" si="120"/>
        <v>1.1710257685065146</v>
      </c>
      <c r="BQ19" s="32">
        <f t="shared" ca="1" si="121"/>
        <v>10.93950537147337</v>
      </c>
      <c r="BR19" s="32">
        <f t="shared" ca="1" si="122"/>
        <v>1.4633228811422279</v>
      </c>
      <c r="BS19" s="32">
        <f t="shared" ca="1" si="123"/>
        <v>2.2263977647732789</v>
      </c>
      <c r="BT19" s="32">
        <f t="shared" ca="1" si="124"/>
        <v>1.9128206148052116</v>
      </c>
      <c r="BU19" s="32">
        <f t="shared" ca="1" si="125"/>
        <v>2.4226795407462647</v>
      </c>
      <c r="BV19" s="32">
        <f t="shared" ca="1" si="126"/>
        <v>7.5952887305355095</v>
      </c>
      <c r="BW19" s="32">
        <f t="shared" ca="1" si="127"/>
        <v>1.6042354548818496</v>
      </c>
      <c r="BX19" s="32">
        <f t="shared" ca="1" si="128"/>
        <v>1.558808072175885</v>
      </c>
      <c r="BY19" s="32">
        <f t="shared" ca="1" si="129"/>
        <v>5.208992378334079</v>
      </c>
      <c r="BZ19" s="32">
        <f t="shared" ca="1" si="130"/>
        <v>12.176046771601099</v>
      </c>
      <c r="CA19" s="32">
        <f t="shared" ca="1" si="131"/>
        <v>5.208992378334079</v>
      </c>
      <c r="CB19" s="32">
        <f t="shared" ca="1" si="132"/>
        <v>6.07696411075265</v>
      </c>
      <c r="CC19" s="32">
        <f t="shared" ca="1" si="133"/>
        <v>14.78917795765711</v>
      </c>
      <c r="CD19" s="32">
        <f t="shared" ca="1" si="134"/>
        <v>6.07696411075265</v>
      </c>
      <c r="CE19" s="32">
        <f t="shared" ca="1" si="135"/>
        <v>0.9598571873004218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21</v>
      </c>
      <c r="D20" s="134" t="str">
        <f>PLANTILLA!G21</f>
        <v>CAB</v>
      </c>
      <c r="E20" s="28">
        <f>PLANTILLA!M21</f>
        <v>43417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40">
        <f ca="1">PLANTILLA!N21</f>
        <v>0.77364134993024503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</v>
      </c>
      <c r="P20" s="41">
        <f>PLANTILLA!AC21</f>
        <v>12</v>
      </c>
      <c r="Q20" s="41">
        <f>PLANTILLA!AD21</f>
        <v>0</v>
      </c>
      <c r="R20" s="41">
        <f t="shared" si="70"/>
        <v>3.25</v>
      </c>
      <c r="S20" s="41">
        <f t="shared" si="71"/>
        <v>0.6</v>
      </c>
      <c r="T20" s="41">
        <f t="shared" si="72"/>
        <v>0.2</v>
      </c>
      <c r="U20" s="41">
        <f t="shared" ca="1" si="73"/>
        <v>1.6678130935517934</v>
      </c>
      <c r="V20" s="41">
        <f t="shared" ca="1" si="74"/>
        <v>1.8001568265019483</v>
      </c>
      <c r="W20" s="32">
        <f t="shared" ca="1" si="75"/>
        <v>2.9526606400405599</v>
      </c>
      <c r="X20" s="32">
        <f t="shared" ca="1" si="76"/>
        <v>4.4506642454666236</v>
      </c>
      <c r="Y20" s="32">
        <f t="shared" ca="1" si="77"/>
        <v>2.9526606400405599</v>
      </c>
      <c r="Z20" s="32">
        <f t="shared" ca="1" si="78"/>
        <v>3.5095451205738017</v>
      </c>
      <c r="AA20" s="32">
        <f t="shared" ca="1" si="79"/>
        <v>6.8014440321197709</v>
      </c>
      <c r="AB20" s="32">
        <f t="shared" ca="1" si="80"/>
        <v>1.7547725602869009</v>
      </c>
      <c r="AC20" s="32">
        <f t="shared" ca="1" si="81"/>
        <v>1.8567436796445054</v>
      </c>
      <c r="AD20" s="32">
        <f t="shared" ca="1" si="82"/>
        <v>2.5709458441412734</v>
      </c>
      <c r="AE20" s="32">
        <f t="shared" ca="1" si="83"/>
        <v>4.9174440352225943</v>
      </c>
      <c r="AF20" s="32">
        <f t="shared" ca="1" si="84"/>
        <v>1.2854729220706367</v>
      </c>
      <c r="AG20" s="32">
        <f t="shared" ca="1" si="85"/>
        <v>3.0035559523661117</v>
      </c>
      <c r="AH20" s="32">
        <f t="shared" ca="1" si="86"/>
        <v>6.2573285095501898</v>
      </c>
      <c r="AI20" s="32">
        <f t="shared" ca="1" si="87"/>
        <v>2.8157978292975852</v>
      </c>
      <c r="AJ20" s="32">
        <f t="shared" ca="1" si="88"/>
        <v>1.3028411533640019</v>
      </c>
      <c r="AK20" s="32">
        <f t="shared" ca="1" si="89"/>
        <v>3.9992490908864249</v>
      </c>
      <c r="AL20" s="32">
        <f t="shared" ca="1" si="90"/>
        <v>5.1282888002183071</v>
      </c>
      <c r="AM20" s="32">
        <f t="shared" ca="1" si="91"/>
        <v>4.8154223747407974</v>
      </c>
      <c r="AN20" s="32">
        <f t="shared" ca="1" si="92"/>
        <v>0.30084115336400175</v>
      </c>
      <c r="AO20" s="32">
        <f t="shared" ca="1" si="93"/>
        <v>1.4548158812504939</v>
      </c>
      <c r="AP20" s="32">
        <f t="shared" ca="1" si="94"/>
        <v>1.8363898886723382</v>
      </c>
      <c r="AQ20" s="32">
        <f t="shared" ca="1" si="95"/>
        <v>4.0400577550791441</v>
      </c>
      <c r="AR20" s="32">
        <f t="shared" ca="1" si="96"/>
        <v>0.91819494433616911</v>
      </c>
      <c r="AS20" s="32">
        <f t="shared" ca="1" si="97"/>
        <v>7.3645631663210631</v>
      </c>
      <c r="AT20" s="32">
        <f t="shared" ca="1" si="98"/>
        <v>1.4041877241755703</v>
      </c>
      <c r="AU20" s="32">
        <f t="shared" ca="1" si="99"/>
        <v>3.6838231014110923</v>
      </c>
      <c r="AV20" s="32">
        <f t="shared" ca="1" si="100"/>
        <v>0.70209386208778513</v>
      </c>
      <c r="AW20" s="32">
        <f t="shared" ca="1" si="101"/>
        <v>1.2854729220706367</v>
      </c>
      <c r="AX20" s="32">
        <f t="shared" ca="1" si="102"/>
        <v>2.7205776128479084</v>
      </c>
      <c r="AY20" s="32">
        <f t="shared" ca="1" si="103"/>
        <v>0.64273646103531834</v>
      </c>
      <c r="AZ20" s="32">
        <f t="shared" ca="1" si="104"/>
        <v>7.8014440321197709</v>
      </c>
      <c r="BA20" s="32">
        <f t="shared" ca="1" si="105"/>
        <v>2.7327653401263019</v>
      </c>
      <c r="BB20" s="32">
        <f t="shared" ca="1" si="106"/>
        <v>6.5815956616979934</v>
      </c>
      <c r="BC20" s="32">
        <f t="shared" ca="1" si="107"/>
        <v>1.366382670063151</v>
      </c>
      <c r="BD20" s="32">
        <f t="shared" ca="1" si="108"/>
        <v>1.9792202133468533</v>
      </c>
      <c r="BE20" s="32">
        <f t="shared" ca="1" si="109"/>
        <v>2.3669025231776799</v>
      </c>
      <c r="BF20" s="32">
        <f t="shared" ca="1" si="110"/>
        <v>6.873072192297518</v>
      </c>
      <c r="BG20" s="32">
        <f t="shared" ca="1" si="111"/>
        <v>7.3064837445544759</v>
      </c>
      <c r="BH20" s="32">
        <f t="shared" ca="1" si="112"/>
        <v>2.6031480117408643</v>
      </c>
      <c r="BI20" s="32">
        <f t="shared" ca="1" si="113"/>
        <v>3.2987003555780889</v>
      </c>
      <c r="BJ20" s="32">
        <f t="shared" ca="1" si="114"/>
        <v>1.7955812244796197</v>
      </c>
      <c r="BK20" s="32">
        <f t="shared" ca="1" si="115"/>
        <v>2.9723501762376325</v>
      </c>
      <c r="BL20" s="32">
        <f t="shared" ca="1" si="116"/>
        <v>6.7484620840726803</v>
      </c>
      <c r="BM20" s="32">
        <f t="shared" ca="1" si="117"/>
        <v>0.56167508967022806</v>
      </c>
      <c r="BN20" s="32">
        <f t="shared" ca="1" si="118"/>
        <v>1.2242599257815587</v>
      </c>
      <c r="BO20" s="32">
        <f t="shared" ca="1" si="119"/>
        <v>0.46249819418414445</v>
      </c>
      <c r="BP20" s="32">
        <f t="shared" ca="1" si="120"/>
        <v>2.3794404297965301</v>
      </c>
      <c r="BQ20" s="32">
        <f t="shared" ca="1" si="121"/>
        <v>9.8906570253060249</v>
      </c>
      <c r="BR20" s="32">
        <f t="shared" ca="1" si="122"/>
        <v>1.458194944336169</v>
      </c>
      <c r="BS20" s="32">
        <f t="shared" ca="1" si="123"/>
        <v>1.9316101051220147</v>
      </c>
      <c r="BT20" s="32">
        <f t="shared" ca="1" si="124"/>
        <v>1.6595523438372242</v>
      </c>
      <c r="BU20" s="32">
        <f t="shared" ca="1" si="125"/>
        <v>4.922711184267575</v>
      </c>
      <c r="BV20" s="32">
        <f t="shared" ca="1" si="126"/>
        <v>6.8592924087471943</v>
      </c>
      <c r="BW20" s="32">
        <f t="shared" ca="1" si="127"/>
        <v>1.598613716753726</v>
      </c>
      <c r="BX20" s="32">
        <f t="shared" ca="1" si="128"/>
        <v>3.1673862770406274</v>
      </c>
      <c r="BY20" s="32">
        <f t="shared" ca="1" si="129"/>
        <v>5.4325523407344001</v>
      </c>
      <c r="BZ20" s="32">
        <f t="shared" ca="1" si="130"/>
        <v>13.911425980166861</v>
      </c>
      <c r="CA20" s="32">
        <f t="shared" ca="1" si="131"/>
        <v>5.4325523407344001</v>
      </c>
      <c r="CB20" s="32">
        <f t="shared" ca="1" si="132"/>
        <v>6.6252996320106163</v>
      </c>
      <c r="CC20" s="32">
        <f t="shared" ca="1" si="133"/>
        <v>17.787176879971966</v>
      </c>
      <c r="CD20" s="32">
        <f t="shared" ca="1" si="134"/>
        <v>6.6252996320106163</v>
      </c>
      <c r="CE20" s="32">
        <f t="shared" ca="1" si="135"/>
        <v>1.9503610080299427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53</v>
      </c>
      <c r="E4" s="41">
        <f>PLANTILLA!X4</f>
        <v>15</v>
      </c>
      <c r="F4" s="41">
        <f>PLANTILLA!Y4</f>
        <v>10.428571428571429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78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50</v>
      </c>
      <c r="E6" s="41">
        <f>PLANTILLA!X6</f>
        <v>0</v>
      </c>
      <c r="F6" s="41">
        <f>PLANTILLA!Y6</f>
        <v>14.5625</v>
      </c>
      <c r="G6" s="41">
        <f>PLANTILLA!Z6</f>
        <v>5</v>
      </c>
      <c r="H6" s="41">
        <f>PLANTILLA!AA6</f>
        <v>5.4</v>
      </c>
      <c r="I6" s="41">
        <f>PLANTILLA!AB6</f>
        <v>5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31</v>
      </c>
      <c r="E7" s="41">
        <f>PLANTILLA!X7</f>
        <v>0</v>
      </c>
      <c r="F7" s="41">
        <f>PLANTILLA!Y7</f>
        <v>14.5</v>
      </c>
      <c r="G7" s="41">
        <f>PLANTILLA!Z7</f>
        <v>5</v>
      </c>
      <c r="H7" s="41">
        <f>PLANTILLA!AA7</f>
        <v>7</v>
      </c>
      <c r="I7" s="41">
        <f>PLANTILLA!AB7</f>
        <v>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81</v>
      </c>
      <c r="E8" s="41">
        <f>PLANTILLA!X8</f>
        <v>0</v>
      </c>
      <c r="F8" s="41">
        <f>PLANTILLA!Y8</f>
        <v>12.454545454545455</v>
      </c>
      <c r="G8" s="41">
        <f>PLANTILLA!Z8</f>
        <v>3</v>
      </c>
      <c r="H8" s="41">
        <f>PLANTILLA!AA8</f>
        <v>7.1999999999999993</v>
      </c>
      <c r="I8" s="41">
        <f>PLANTILLA!AB8</f>
        <v>10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66</v>
      </c>
      <c r="E9" s="41">
        <f>PLANTILLA!X9</f>
        <v>0</v>
      </c>
      <c r="F9" s="41">
        <f>PLANTILLA!Y9</f>
        <v>10.333333333333334</v>
      </c>
      <c r="G9" s="41">
        <f>PLANTILLA!Z9</f>
        <v>11</v>
      </c>
      <c r="H9" s="41">
        <f>PLANTILLA!AA9</f>
        <v>4</v>
      </c>
      <c r="I9" s="41">
        <f>PLANTILLA!AB9</f>
        <v>9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42</v>
      </c>
      <c r="E10" s="41">
        <f>PLANTILLA!X10</f>
        <v>0</v>
      </c>
      <c r="F10" s="41">
        <f>PLANTILLA!Y10</f>
        <v>6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46</v>
      </c>
      <c r="E11" s="41">
        <f>PLANTILLA!X11</f>
        <v>0</v>
      </c>
      <c r="F11" s="41">
        <f>PLANTILLA!Y11</f>
        <v>11.666666666666666</v>
      </c>
      <c r="G11" s="41">
        <f>PLANTILLA!Z11</f>
        <v>4</v>
      </c>
      <c r="H11" s="41">
        <f>PLANTILLA!AA11</f>
        <v>12.666666666666666</v>
      </c>
      <c r="I11" s="41">
        <f>PLANTILLA!AB11</f>
        <v>4.25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7</v>
      </c>
      <c r="E12" s="41">
        <f>PLANTILLA!X12</f>
        <v>0</v>
      </c>
      <c r="F12" s="41">
        <f>PLANTILLA!Y12</f>
        <v>10.714285714285714</v>
      </c>
      <c r="G12" s="41">
        <f>PLANTILLA!Z12</f>
        <v>3</v>
      </c>
      <c r="H12" s="41">
        <f>PLANTILLA!AA12</f>
        <v>13</v>
      </c>
      <c r="I12" s="41">
        <f>PLANTILLA!AB12</f>
        <v>7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46</v>
      </c>
      <c r="E13" s="41">
        <f>PLANTILLA!X13</f>
        <v>0</v>
      </c>
      <c r="F13" s="41">
        <f>PLANTILLA!Y13</f>
        <v>10.285714285714286</v>
      </c>
      <c r="G13" s="41">
        <f>PLANTILLA!Z13</f>
        <v>3</v>
      </c>
      <c r="H13" s="41">
        <f>PLANTILLA!AA13</f>
        <v>12</v>
      </c>
      <c r="I13" s="41">
        <f>PLANTILLA!AB13</f>
        <v>6.0000000000000009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42</v>
      </c>
      <c r="E14" s="41">
        <f>PLANTILLA!X14</f>
        <v>0</v>
      </c>
      <c r="F14" s="41">
        <f>PLANTILLA!Y14</f>
        <v>8.8000000000000007</v>
      </c>
      <c r="G14" s="41">
        <f>PLANTILLA!Z14</f>
        <v>5.7</v>
      </c>
      <c r="H14" s="41">
        <f>PLANTILLA!AA14</f>
        <v>14.124999999999996</v>
      </c>
      <c r="I14" s="41">
        <f>PLANTILLA!AB14</f>
        <v>6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42</v>
      </c>
      <c r="E15" s="41">
        <f>PLANTILLA!X15</f>
        <v>0</v>
      </c>
      <c r="F15" s="41">
        <f>PLANTILLA!Y15</f>
        <v>9.2857142857142865</v>
      </c>
      <c r="G15" s="41">
        <f>PLANTILLA!Z15</f>
        <v>5</v>
      </c>
      <c r="H15" s="41">
        <f>PLANTILLA!AA15</f>
        <v>13.19</v>
      </c>
      <c r="I15" s="41">
        <f>PLANTILLA!AB15</f>
        <v>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11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16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83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8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46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21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CambioENTRENADOR</vt:lpstr>
      <vt:lpstr>Hall_of_Fame</vt:lpstr>
      <vt:lpstr>CA_Calcutator</vt:lpstr>
      <vt:lpstr>EstudioConversion</vt:lpstr>
      <vt:lpstr>PLANNING</vt:lpstr>
      <vt:lpstr>PLANTILLA</vt:lpstr>
      <vt:lpstr>CAPITAN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2019-06-26T16:15:35Z</dcterms:modified>
</cp:coreProperties>
</file>