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35" activeTab="41"/>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Z20" i="32" l="1"/>
  <c r="Z21" i="32"/>
  <c r="Z23" i="32"/>
  <c r="Z24" i="32"/>
  <c r="Z22" i="32"/>
  <c r="Z19" i="32"/>
  <c r="Z15" i="32"/>
  <c r="Z18" i="32"/>
  <c r="Z16" i="32"/>
  <c r="Z13" i="32"/>
  <c r="Z14" i="32"/>
  <c r="Z12" i="32"/>
  <c r="Z11" i="32"/>
  <c r="Z17" i="32"/>
  <c r="Z8" i="32"/>
  <c r="Z7" i="32"/>
  <c r="Z10" i="32"/>
  <c r="Z9" i="32"/>
  <c r="Z6" i="32"/>
  <c r="Z5" i="32"/>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11" i="32"/>
  <c r="AL15" i="32"/>
  <c r="AL16" i="32"/>
  <c r="AL19" i="32"/>
  <c r="AL20" i="32"/>
  <c r="AL22" i="32"/>
  <c r="AL24" i="32"/>
  <c r="AK6" i="32"/>
  <c r="AK8" i="32"/>
  <c r="AK11" i="32"/>
  <c r="AK15" i="32"/>
  <c r="AK16" i="32"/>
  <c r="AK19" i="32"/>
  <c r="AK20" i="32"/>
  <c r="AK22" i="32"/>
  <c r="AK24" i="32"/>
  <c r="AJ6" i="32"/>
  <c r="AJ8" i="32"/>
  <c r="AJ11" i="32"/>
  <c r="AJ15" i="32"/>
  <c r="AJ16" i="32"/>
  <c r="AJ19" i="32"/>
  <c r="AJ20" i="32"/>
  <c r="AJ22" i="32"/>
  <c r="AJ24" i="32"/>
  <c r="AH6" i="32"/>
  <c r="AI6" i="32"/>
  <c r="AH8" i="32"/>
  <c r="AI8" i="32"/>
  <c r="AH11" i="32"/>
  <c r="AI11" i="32"/>
  <c r="AH15" i="32"/>
  <c r="AI15" i="32"/>
  <c r="AH16" i="32"/>
  <c r="AI16" i="32"/>
  <c r="AH19" i="32"/>
  <c r="AI19" i="32"/>
  <c r="AH20" i="32"/>
  <c r="AI20" i="32"/>
  <c r="AH22" i="32"/>
  <c r="AI22" i="32"/>
  <c r="AH24" i="32"/>
  <c r="AI24" i="32"/>
  <c r="AF6" i="32"/>
  <c r="AG6" i="32"/>
  <c r="AF8" i="32"/>
  <c r="AG8" i="32"/>
  <c r="AF11" i="32"/>
  <c r="AG11" i="32"/>
  <c r="AF15" i="32"/>
  <c r="AG15" i="32"/>
  <c r="AF16" i="32"/>
  <c r="AG16" i="32"/>
  <c r="AF19" i="32"/>
  <c r="AG19" i="32"/>
  <c r="AF20" i="32"/>
  <c r="AG20" i="32"/>
  <c r="AF22" i="32"/>
  <c r="AG22" i="32"/>
  <c r="AF24" i="32"/>
  <c r="AG24" i="32"/>
  <c r="P23" i="32"/>
  <c r="P21" i="32"/>
  <c r="AF21" i="32" s="1"/>
  <c r="P7" i="32"/>
  <c r="P5" i="32"/>
  <c r="AN23" i="32" l="1"/>
  <c r="AN7" i="32"/>
  <c r="AM23" i="32"/>
  <c r="AM21" i="32"/>
  <c r="AM7" i="32"/>
  <c r="AN21" i="32"/>
  <c r="AN5" i="32"/>
  <c r="AL21" i="32"/>
  <c r="AM5" i="32"/>
  <c r="AK21" i="32"/>
  <c r="AJ21" i="32"/>
  <c r="AI21" i="32"/>
  <c r="AH21" i="32"/>
  <c r="AG21" i="32"/>
  <c r="R32" i="49" l="1"/>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Y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5" i="32"/>
  <c r="Y14" i="111"/>
  <c r="L14" i="111"/>
  <c r="L5" i="110"/>
  <c r="L5" i="107"/>
  <c r="Z12" i="108"/>
  <c r="L12" i="108"/>
  <c r="L10" i="111"/>
  <c r="L8" i="110"/>
  <c r="L9" i="107"/>
  <c r="L16" i="108"/>
  <c r="L5" i="111"/>
  <c r="Z19" i="110"/>
  <c r="L19" i="110"/>
  <c r="L13" i="107"/>
  <c r="L7" i="111"/>
  <c r="Z17" i="110"/>
  <c r="Y17" i="110"/>
  <c r="L17" i="110"/>
  <c r="L14" i="107"/>
  <c r="L11" i="108"/>
  <c r="Y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Y14" i="32"/>
  <c r="Y13" i="32"/>
  <c r="Y9" i="32"/>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8" i="49"/>
  <c r="V13" i="49"/>
  <c r="V16" i="49"/>
  <c r="V22" i="49"/>
  <c r="V11" i="49"/>
  <c r="V20" i="49"/>
  <c r="V15" i="49"/>
  <c r="V5" i="49"/>
  <c r="V9" i="49"/>
  <c r="V12" i="49"/>
  <c r="V19" i="49"/>
  <c r="V3" i="49"/>
  <c r="V6" i="49"/>
  <c r="V14" i="49"/>
  <c r="V7" i="49"/>
  <c r="V10" i="49"/>
  <c r="V21" i="49"/>
  <c r="AB11" i="32" l="1"/>
  <c r="AB6" i="32"/>
  <c r="I20" i="107" l="1"/>
  <c r="I20" i="110"/>
  <c r="I20" i="111"/>
  <c r="I21" i="111"/>
  <c r="I21" i="110"/>
  <c r="I21" i="107"/>
  <c r="Y20" i="32"/>
  <c r="Y22" i="32"/>
  <c r="Y19" i="32"/>
  <c r="Y18" i="32"/>
  <c r="Y16" i="32"/>
  <c r="Y11" i="32"/>
  <c r="Y7" i="32"/>
  <c r="Y10" i="32"/>
  <c r="Y6" i="32"/>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F9" i="102"/>
  <c r="C9" i="102"/>
  <c r="M9" i="102" s="1"/>
  <c r="J9" i="111"/>
  <c r="J9" i="110"/>
  <c r="J8" i="107"/>
  <c r="C8" i="102"/>
  <c r="M8" i="102" s="1"/>
  <c r="J16" i="111"/>
  <c r="J4" i="110"/>
  <c r="J6" i="107"/>
  <c r="F2" i="102"/>
  <c r="C2" i="102"/>
  <c r="M2" i="102" s="1"/>
  <c r="J18" i="111"/>
  <c r="J14" i="110"/>
  <c r="J19" i="107"/>
  <c r="J5" i="107"/>
  <c r="J5" i="110"/>
  <c r="J14" i="111"/>
  <c r="C5" i="102"/>
  <c r="M5" i="102" s="1"/>
  <c r="J6" i="111"/>
  <c r="J10" i="107"/>
  <c r="J10" i="110"/>
  <c r="C7" i="102"/>
  <c r="M7" i="102" s="1"/>
  <c r="J15" i="110"/>
  <c r="J17" i="107"/>
  <c r="J15" i="111"/>
  <c r="C20" i="102"/>
  <c r="J4" i="111"/>
  <c r="J16" i="110"/>
  <c r="J12" i="107"/>
  <c r="F14" i="102"/>
  <c r="C14" i="102"/>
  <c r="J10" i="111"/>
  <c r="J9" i="107"/>
  <c r="J8" i="110"/>
  <c r="F10" i="102"/>
  <c r="C10" i="102"/>
  <c r="M10" i="102" s="1"/>
  <c r="J13" i="110"/>
  <c r="J18" i="107"/>
  <c r="J17" i="111"/>
  <c r="F6" i="102"/>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0" i="32"/>
  <c r="J22" i="32"/>
  <c r="J23" i="32"/>
  <c r="J24" i="32"/>
  <c r="J5" i="32"/>
  <c r="AF23" i="32" l="1"/>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19" i="83" l="1"/>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1"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0" i="32"/>
  <c r="AQ22" i="32"/>
  <c r="AQ23" i="32"/>
  <c r="AQ24"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0"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5" i="32" l="1"/>
  <c r="F24" i="32"/>
  <c r="F9" i="32"/>
  <c r="F6" i="32"/>
  <c r="F21" i="32"/>
  <c r="D12" i="111" s="1"/>
  <c r="F7" i="32"/>
  <c r="D15" i="111" s="1"/>
  <c r="F13" i="32"/>
  <c r="F11" i="32"/>
  <c r="F23" i="32"/>
  <c r="F15" i="32"/>
  <c r="F14" i="32"/>
  <c r="F18" i="32"/>
  <c r="F17" i="32"/>
  <c r="F8" i="32"/>
  <c r="F22" i="32"/>
  <c r="F16" i="32"/>
  <c r="F12" i="32"/>
  <c r="F19" i="32"/>
  <c r="F10"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<sst xmlns="http://schemas.openxmlformats.org/spreadsheetml/2006/main" count="4186" uniqueCount="881">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</sst>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3">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431979488"/>
        <c:axId val="431978704"/>
      </c:barChart>
      <c:catAx>
        <c:axId val="431979488"/>
        <c:scaling>
          <c:orientation val="minMax"/>
        </c:scaling>
        <c:delete val="0"/>
        <c:axPos val="b"/>
        <c:numFmt formatCode="General" sourceLinked="1"/>
        <c:majorTickMark val="out"/>
        <c:minorTickMark val="none"/>
        <c:tickLblPos val="nextTo"/>
        <c:crossAx val="431978704"/>
        <c:crosses val="autoZero"/>
        <c:auto val="1"/>
        <c:lblAlgn val="ctr"/>
        <c:lblOffset val="100"/>
        <c:noMultiLvlLbl val="0"/>
      </c:catAx>
      <c:valAx>
        <c:axId val="431978704"/>
        <c:scaling>
          <c:orientation val="minMax"/>
        </c:scaling>
        <c:delete val="0"/>
        <c:axPos val="l"/>
        <c:majorGridlines/>
        <c:numFmt formatCode="_-* #,##0\ [$€-C0A]_-;\-* #,##0\ [$€-C0A]_-;_-* &quot;-&quot;??\ [$€-C0A]_-;_-@_-" sourceLinked="1"/>
        <c:majorTickMark val="out"/>
        <c:minorTickMark val="none"/>
        <c:tickLblPos val="nextTo"/>
        <c:crossAx val="431979488"/>
        <c:crosses val="autoZero"/>
        <c:crossBetween val="between"/>
      </c:valAx>
    </c:plotArea>
    <c:legend>
      <c:legendPos val="r"/>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0465792"/>
        <c:axId val="550469712"/>
      </c:barChart>
      <c:catAx>
        <c:axId val="550465792"/>
        <c:scaling>
          <c:orientation val="minMax"/>
        </c:scaling>
        <c:delete val="0"/>
        <c:axPos val="b"/>
        <c:numFmt formatCode="General" sourceLinked="1"/>
        <c:majorTickMark val="out"/>
        <c:minorTickMark val="none"/>
        <c:tickLblPos val="nextTo"/>
        <c:crossAx val="550469712"/>
        <c:crosses val="autoZero"/>
        <c:auto val="1"/>
        <c:lblAlgn val="ctr"/>
        <c:lblOffset val="100"/>
        <c:noMultiLvlLbl val="0"/>
      </c:catAx>
      <c:valAx>
        <c:axId val="550469712"/>
        <c:scaling>
          <c:orientation val="minMax"/>
        </c:scaling>
        <c:delete val="0"/>
        <c:axPos val="l"/>
        <c:majorGridlines/>
        <c:numFmt formatCode="_-* #,##0\ [$€-C0A]_-;\-* #,##0\ [$€-C0A]_-;_-* &quot;-&quot;??\ [$€-C0A]_-;_-@_-" sourceLinked="1"/>
        <c:majorTickMark val="out"/>
        <c:minorTickMark val="none"/>
        <c:tickLblPos val="nextTo"/>
        <c:crossAx val="550465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550466576"/>
        <c:axId val="550466968"/>
      </c:barChart>
      <c:catAx>
        <c:axId val="550466576"/>
        <c:scaling>
          <c:orientation val="minMax"/>
        </c:scaling>
        <c:delete val="0"/>
        <c:axPos val="b"/>
        <c:numFmt formatCode="General" sourceLinked="1"/>
        <c:majorTickMark val="out"/>
        <c:minorTickMark val="none"/>
        <c:tickLblPos val="nextTo"/>
        <c:crossAx val="550466968"/>
        <c:crosses val="autoZero"/>
        <c:auto val="1"/>
        <c:lblAlgn val="ctr"/>
        <c:lblOffset val="100"/>
        <c:noMultiLvlLbl val="0"/>
      </c:catAx>
      <c:valAx>
        <c:axId val="550466968"/>
        <c:scaling>
          <c:orientation val="minMax"/>
        </c:scaling>
        <c:delete val="0"/>
        <c:axPos val="l"/>
        <c:majorGridlines/>
        <c:numFmt formatCode="_-* #,##0\ [$€-C0A]_-;\-* #,##0\ [$€-C0A]_-;_-* &quot;-&quot;??\ [$€-C0A]_-;_-@_-" sourceLinked="1"/>
        <c:majorTickMark val="out"/>
        <c:minorTickMark val="none"/>
        <c:tickLblPos val="nextTo"/>
        <c:crossAx val="5504665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0467752"/>
        <c:axId val="550469320"/>
      </c:barChart>
      <c:catAx>
        <c:axId val="550467752"/>
        <c:scaling>
          <c:orientation val="minMax"/>
        </c:scaling>
        <c:delete val="0"/>
        <c:axPos val="b"/>
        <c:numFmt formatCode="General" sourceLinked="1"/>
        <c:majorTickMark val="out"/>
        <c:minorTickMark val="none"/>
        <c:tickLblPos val="nextTo"/>
        <c:crossAx val="550469320"/>
        <c:crosses val="autoZero"/>
        <c:auto val="1"/>
        <c:lblAlgn val="ctr"/>
        <c:lblOffset val="100"/>
        <c:noMultiLvlLbl val="0"/>
      </c:catAx>
      <c:valAx>
        <c:axId val="550469320"/>
        <c:scaling>
          <c:orientation val="minMax"/>
        </c:scaling>
        <c:delete val="0"/>
        <c:axPos val="l"/>
        <c:majorGridlines/>
        <c:numFmt formatCode="_-* #,##0\ [$€-C0A]_-;\-* #,##0\ [$€-C0A]_-;_-* &quot;-&quot;??\ [$€-C0A]_-;_-@_-" sourceLinked="1"/>
        <c:majorTickMark val="out"/>
        <c:minorTickMark val="none"/>
        <c:tickLblPos val="nextTo"/>
        <c:crossAx val="550467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550474808"/>
        <c:axId val="550475592"/>
      </c:barChart>
      <c:catAx>
        <c:axId val="550474808"/>
        <c:scaling>
          <c:orientation val="minMax"/>
        </c:scaling>
        <c:delete val="0"/>
        <c:axPos val="b"/>
        <c:numFmt formatCode="General" sourceLinked="1"/>
        <c:majorTickMark val="out"/>
        <c:minorTickMark val="none"/>
        <c:tickLblPos val="nextTo"/>
        <c:crossAx val="550475592"/>
        <c:crosses val="autoZero"/>
        <c:auto val="1"/>
        <c:lblAlgn val="ctr"/>
        <c:lblOffset val="100"/>
        <c:noMultiLvlLbl val="0"/>
      </c:catAx>
      <c:valAx>
        <c:axId val="550475592"/>
        <c:scaling>
          <c:orientation val="minMax"/>
        </c:scaling>
        <c:delete val="0"/>
        <c:axPos val="l"/>
        <c:majorGridlines/>
        <c:numFmt formatCode="_-* #,##0\ [$€-C0A]_-;\-* #,##0\ [$€-C0A]_-;_-* &quot;-&quot;??\ [$€-C0A]_-;_-@_-" sourceLinked="1"/>
        <c:majorTickMark val="out"/>
        <c:minorTickMark val="none"/>
        <c:tickLblPos val="nextTo"/>
        <c:crossAx val="5504748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550475200"/>
        <c:axId val="550475984"/>
      </c:barChart>
      <c:catAx>
        <c:axId val="550475200"/>
        <c:scaling>
          <c:orientation val="minMax"/>
        </c:scaling>
        <c:delete val="0"/>
        <c:axPos val="b"/>
        <c:numFmt formatCode="General" sourceLinked="1"/>
        <c:majorTickMark val="out"/>
        <c:minorTickMark val="none"/>
        <c:tickLblPos val="nextTo"/>
        <c:crossAx val="550475984"/>
        <c:crosses val="autoZero"/>
        <c:auto val="1"/>
        <c:lblAlgn val="ctr"/>
        <c:lblOffset val="100"/>
        <c:noMultiLvlLbl val="0"/>
      </c:catAx>
      <c:valAx>
        <c:axId val="550475984"/>
        <c:scaling>
          <c:orientation val="minMax"/>
        </c:scaling>
        <c:delete val="0"/>
        <c:axPos val="l"/>
        <c:majorGridlines/>
        <c:numFmt formatCode="_-* #,##0\ [$€-C0A]_-;\-* #,##0\ [$€-C0A]_-;_-* &quot;-&quot;??\ [$€-C0A]_-;_-@_-" sourceLinked="1"/>
        <c:majorTickMark val="out"/>
        <c:minorTickMark val="none"/>
        <c:tickLblPos val="nextTo"/>
        <c:crossAx val="5504752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550476376"/>
        <c:axId val="550476768"/>
      </c:barChart>
      <c:catAx>
        <c:axId val="550476376"/>
        <c:scaling>
          <c:orientation val="minMax"/>
        </c:scaling>
        <c:delete val="0"/>
        <c:axPos val="b"/>
        <c:numFmt formatCode="General" sourceLinked="1"/>
        <c:majorTickMark val="out"/>
        <c:minorTickMark val="none"/>
        <c:tickLblPos val="nextTo"/>
        <c:crossAx val="550476768"/>
        <c:crosses val="autoZero"/>
        <c:auto val="1"/>
        <c:lblAlgn val="ctr"/>
        <c:lblOffset val="100"/>
        <c:noMultiLvlLbl val="0"/>
      </c:catAx>
      <c:valAx>
        <c:axId val="550476768"/>
        <c:scaling>
          <c:orientation val="minMax"/>
        </c:scaling>
        <c:delete val="0"/>
        <c:axPos val="l"/>
        <c:majorGridlines/>
        <c:numFmt formatCode="_-* #,##0\ [$€-C0A]_-;\-* #,##0\ [$€-C0A]_-;_-* &quot;-&quot;??\ [$€-C0A]_-;_-@_-" sourceLinked="1"/>
        <c:majorTickMark val="out"/>
        <c:minorTickMark val="none"/>
        <c:tickLblPos val="nextTo"/>
        <c:crossAx val="5504763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3650848"/>
        <c:axId val="553649280"/>
      </c:barChart>
      <c:catAx>
        <c:axId val="553650848"/>
        <c:scaling>
          <c:orientation val="minMax"/>
        </c:scaling>
        <c:delete val="0"/>
        <c:axPos val="b"/>
        <c:numFmt formatCode="General" sourceLinked="1"/>
        <c:majorTickMark val="out"/>
        <c:minorTickMark val="none"/>
        <c:tickLblPos val="nextTo"/>
        <c:crossAx val="553649280"/>
        <c:crosses val="autoZero"/>
        <c:auto val="1"/>
        <c:lblAlgn val="ctr"/>
        <c:lblOffset val="100"/>
        <c:noMultiLvlLbl val="0"/>
      </c:catAx>
      <c:valAx>
        <c:axId val="553649280"/>
        <c:scaling>
          <c:orientation val="minMax"/>
        </c:scaling>
        <c:delete val="0"/>
        <c:axPos val="l"/>
        <c:majorGridlines/>
        <c:numFmt formatCode="_-* #,##0\ [$€-C0A]_-;\-* #,##0\ [$€-C0A]_-;_-* &quot;-&quot;??\ [$€-C0A]_-;_-@_-" sourceLinked="1"/>
        <c:majorTickMark val="out"/>
        <c:minorTickMark val="none"/>
        <c:tickLblPos val="nextTo"/>
        <c:crossAx val="5536508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3645360"/>
        <c:axId val="553643792"/>
      </c:barChart>
      <c:catAx>
        <c:axId val="553645360"/>
        <c:scaling>
          <c:orientation val="minMax"/>
        </c:scaling>
        <c:delete val="0"/>
        <c:axPos val="b"/>
        <c:numFmt formatCode="General" sourceLinked="1"/>
        <c:majorTickMark val="out"/>
        <c:minorTickMark val="none"/>
        <c:tickLblPos val="nextTo"/>
        <c:crossAx val="553643792"/>
        <c:crosses val="autoZero"/>
        <c:auto val="1"/>
        <c:lblAlgn val="ctr"/>
        <c:lblOffset val="100"/>
        <c:noMultiLvlLbl val="0"/>
      </c:catAx>
      <c:valAx>
        <c:axId val="553643792"/>
        <c:scaling>
          <c:orientation val="minMax"/>
        </c:scaling>
        <c:delete val="0"/>
        <c:axPos val="l"/>
        <c:majorGridlines/>
        <c:numFmt formatCode="_-* #,##0\ [$€-C0A]_-;\-* #,##0\ [$€-C0A]_-;_-* &quot;-&quot;??\ [$€-C0A]_-;_-@_-" sourceLinked="1"/>
        <c:majorTickMark val="out"/>
        <c:minorTickMark val="none"/>
        <c:tickLblPos val="nextTo"/>
        <c:crossAx val="553645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3645752"/>
        <c:axId val="553643008"/>
      </c:barChart>
      <c:catAx>
        <c:axId val="553645752"/>
        <c:scaling>
          <c:orientation val="minMax"/>
        </c:scaling>
        <c:delete val="0"/>
        <c:axPos val="b"/>
        <c:numFmt formatCode="General" sourceLinked="1"/>
        <c:majorTickMark val="out"/>
        <c:minorTickMark val="none"/>
        <c:tickLblPos val="nextTo"/>
        <c:crossAx val="553643008"/>
        <c:crosses val="autoZero"/>
        <c:auto val="1"/>
        <c:lblAlgn val="ctr"/>
        <c:lblOffset val="100"/>
        <c:noMultiLvlLbl val="0"/>
      </c:catAx>
      <c:valAx>
        <c:axId val="553643008"/>
        <c:scaling>
          <c:orientation val="minMax"/>
        </c:scaling>
        <c:delete val="0"/>
        <c:axPos val="l"/>
        <c:majorGridlines/>
        <c:numFmt formatCode="_-* #,##0\ [$€-C0A]_-;\-* #,##0\ [$€-C0A]_-;_-* &quot;-&quot;??\ [$€-C0A]_-;_-@_-" sourceLinked="1"/>
        <c:majorTickMark val="out"/>
        <c:minorTickMark val="none"/>
        <c:tickLblPos val="nextTo"/>
        <c:crossAx val="553645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553648888"/>
        <c:axId val="553641048"/>
      </c:barChart>
      <c:catAx>
        <c:axId val="553648888"/>
        <c:scaling>
          <c:orientation val="minMax"/>
        </c:scaling>
        <c:delete val="0"/>
        <c:axPos val="b"/>
        <c:numFmt formatCode="General" sourceLinked="1"/>
        <c:majorTickMark val="out"/>
        <c:minorTickMark val="none"/>
        <c:tickLblPos val="nextTo"/>
        <c:crossAx val="553641048"/>
        <c:crosses val="autoZero"/>
        <c:auto val="1"/>
        <c:lblAlgn val="ctr"/>
        <c:lblOffset val="100"/>
        <c:noMultiLvlLbl val="0"/>
      </c:catAx>
      <c:valAx>
        <c:axId val="553641048"/>
        <c:scaling>
          <c:orientation val="minMax"/>
        </c:scaling>
        <c:delete val="0"/>
        <c:axPos val="l"/>
        <c:majorGridlines/>
        <c:numFmt formatCode="_-* #,##0\ [$€-C0A]_-;\-* #,##0\ [$€-C0A]_-;_-* &quot;-&quot;??\ [$€-C0A]_-;_-@_-" sourceLinked="1"/>
        <c:majorTickMark val="out"/>
        <c:minorTickMark val="none"/>
        <c:tickLblPos val="nextTo"/>
        <c:crossAx val="553648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31977920"/>
        <c:axId val="550473632"/>
      </c:barChart>
      <c:catAx>
        <c:axId val="431977920"/>
        <c:scaling>
          <c:orientation val="minMax"/>
        </c:scaling>
        <c:delete val="0"/>
        <c:axPos val="b"/>
        <c:numFmt formatCode="General" sourceLinked="1"/>
        <c:majorTickMark val="out"/>
        <c:minorTickMark val="none"/>
        <c:tickLblPos val="nextTo"/>
        <c:crossAx val="550473632"/>
        <c:crosses val="autoZero"/>
        <c:auto val="1"/>
        <c:lblAlgn val="ctr"/>
        <c:lblOffset val="100"/>
        <c:noMultiLvlLbl val="0"/>
      </c:catAx>
      <c:valAx>
        <c:axId val="550473632"/>
        <c:scaling>
          <c:orientation val="minMax"/>
        </c:scaling>
        <c:delete val="0"/>
        <c:axPos val="l"/>
        <c:majorGridlines/>
        <c:numFmt formatCode="_-* #,##0\ [$€-C0A]_-;\-* #,##0\ [$€-C0A]_-;_-* &quot;-&quot;??\ [$€-C0A]_-;_-@_-" sourceLinked="1"/>
        <c:majorTickMark val="out"/>
        <c:minorTickMark val="none"/>
        <c:tickLblPos val="nextTo"/>
        <c:crossAx val="431977920"/>
        <c:crosses val="autoZero"/>
        <c:crossBetween val="between"/>
      </c:valAx>
    </c:plotArea>
    <c:legend>
      <c:legendPos val="r"/>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3651240"/>
        <c:axId val="553640264"/>
      </c:barChart>
      <c:catAx>
        <c:axId val="553651240"/>
        <c:scaling>
          <c:orientation val="minMax"/>
        </c:scaling>
        <c:delete val="0"/>
        <c:axPos val="b"/>
        <c:numFmt formatCode="General" sourceLinked="1"/>
        <c:majorTickMark val="out"/>
        <c:minorTickMark val="none"/>
        <c:tickLblPos val="nextTo"/>
        <c:crossAx val="553640264"/>
        <c:crosses val="autoZero"/>
        <c:auto val="1"/>
        <c:lblAlgn val="ctr"/>
        <c:lblOffset val="100"/>
        <c:noMultiLvlLbl val="0"/>
      </c:catAx>
      <c:valAx>
        <c:axId val="553640264"/>
        <c:scaling>
          <c:orientation val="minMax"/>
        </c:scaling>
        <c:delete val="0"/>
        <c:axPos val="l"/>
        <c:majorGridlines/>
        <c:numFmt formatCode="_-* #,##0\ [$€-C0A]_-;\-* #,##0\ [$€-C0A]_-;_-* &quot;-&quot;??\ [$€-C0A]_-;_-@_-" sourceLinked="1"/>
        <c:majorTickMark val="out"/>
        <c:minorTickMark val="none"/>
        <c:tickLblPos val="nextTo"/>
        <c:crossAx val="553651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553649672"/>
        <c:axId val="553652024"/>
      </c:barChart>
      <c:catAx>
        <c:axId val="553649672"/>
        <c:scaling>
          <c:orientation val="minMax"/>
        </c:scaling>
        <c:delete val="0"/>
        <c:axPos val="b"/>
        <c:numFmt formatCode="General" sourceLinked="1"/>
        <c:majorTickMark val="out"/>
        <c:minorTickMark val="none"/>
        <c:tickLblPos val="nextTo"/>
        <c:crossAx val="553652024"/>
        <c:crosses val="autoZero"/>
        <c:auto val="1"/>
        <c:lblAlgn val="ctr"/>
        <c:lblOffset val="100"/>
        <c:noMultiLvlLbl val="0"/>
      </c:catAx>
      <c:valAx>
        <c:axId val="553652024"/>
        <c:scaling>
          <c:orientation val="minMax"/>
        </c:scaling>
        <c:delete val="0"/>
        <c:axPos val="l"/>
        <c:majorGridlines/>
        <c:numFmt formatCode="_-* #,##0\ [$€-C0A]_-;\-* #,##0\ [$€-C0A]_-;_-* &quot;-&quot;??\ [$€-C0A]_-;_-@_-" sourceLinked="1"/>
        <c:majorTickMark val="out"/>
        <c:minorTickMark val="none"/>
        <c:tickLblPos val="nextTo"/>
        <c:crossAx val="553649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3650064"/>
        <c:axId val="553641832"/>
      </c:barChart>
      <c:catAx>
        <c:axId val="553650064"/>
        <c:scaling>
          <c:orientation val="minMax"/>
        </c:scaling>
        <c:delete val="0"/>
        <c:axPos val="b"/>
        <c:numFmt formatCode="General" sourceLinked="1"/>
        <c:majorTickMark val="out"/>
        <c:minorTickMark val="none"/>
        <c:tickLblPos val="nextTo"/>
        <c:crossAx val="553641832"/>
        <c:crosses val="autoZero"/>
        <c:auto val="1"/>
        <c:lblAlgn val="ctr"/>
        <c:lblOffset val="100"/>
        <c:noMultiLvlLbl val="0"/>
      </c:catAx>
      <c:valAx>
        <c:axId val="553641832"/>
        <c:scaling>
          <c:orientation val="minMax"/>
        </c:scaling>
        <c:delete val="0"/>
        <c:axPos val="l"/>
        <c:majorGridlines/>
        <c:numFmt formatCode="_-* #,##0\ [$€-C0A]_-;\-* #,##0\ [$€-C0A]_-;_-* &quot;-&quot;??\ [$€-C0A]_-;_-@_-" sourceLinked="1"/>
        <c:majorTickMark val="out"/>
        <c:minorTickMark val="none"/>
        <c:tickLblPos val="nextTo"/>
        <c:crossAx val="5536500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553646536"/>
        <c:axId val="553644184"/>
      </c:lineChart>
      <c:catAx>
        <c:axId val="553646536"/>
        <c:scaling>
          <c:orientation val="minMax"/>
        </c:scaling>
        <c:delete val="0"/>
        <c:axPos val="b"/>
        <c:numFmt formatCode="General" sourceLinked="0"/>
        <c:majorTickMark val="out"/>
        <c:minorTickMark val="none"/>
        <c:tickLblPos val="nextTo"/>
        <c:crossAx val="553644184"/>
        <c:crosses val="autoZero"/>
        <c:auto val="1"/>
        <c:lblAlgn val="ctr"/>
        <c:lblOffset val="100"/>
        <c:noMultiLvlLbl val="0"/>
      </c:catAx>
      <c:valAx>
        <c:axId val="553644184"/>
        <c:scaling>
          <c:orientation val="minMax"/>
          <c:min val="0"/>
        </c:scaling>
        <c:delete val="0"/>
        <c:axPos val="l"/>
        <c:majorGridlines/>
        <c:numFmt formatCode="General" sourceLinked="1"/>
        <c:majorTickMark val="out"/>
        <c:minorTickMark val="none"/>
        <c:tickLblPos val="nextTo"/>
        <c:crossAx val="553646536"/>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0463440"/>
        <c:axId val="550474024"/>
      </c:barChart>
      <c:catAx>
        <c:axId val="550463440"/>
        <c:scaling>
          <c:orientation val="minMax"/>
        </c:scaling>
        <c:delete val="0"/>
        <c:axPos val="b"/>
        <c:numFmt formatCode="General" sourceLinked="1"/>
        <c:majorTickMark val="out"/>
        <c:minorTickMark val="none"/>
        <c:tickLblPos val="nextTo"/>
        <c:crossAx val="550474024"/>
        <c:crosses val="autoZero"/>
        <c:auto val="1"/>
        <c:lblAlgn val="ctr"/>
        <c:lblOffset val="100"/>
        <c:noMultiLvlLbl val="0"/>
      </c:catAx>
      <c:valAx>
        <c:axId val="550474024"/>
        <c:scaling>
          <c:orientation val="minMax"/>
        </c:scaling>
        <c:delete val="0"/>
        <c:axPos val="l"/>
        <c:majorGridlines/>
        <c:numFmt formatCode="_-* #,##0\ [$€-C0A]_-;\-* #,##0\ [$€-C0A]_-;_-* &quot;-&quot;??\ [$€-C0A]_-;_-@_-" sourceLinked="1"/>
        <c:majorTickMark val="out"/>
        <c:minorTickMark val="none"/>
        <c:tickLblPos val="nextTo"/>
        <c:crossAx val="550463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0471672"/>
        <c:axId val="550464224"/>
      </c:barChart>
      <c:catAx>
        <c:axId val="550471672"/>
        <c:scaling>
          <c:orientation val="minMax"/>
        </c:scaling>
        <c:delete val="0"/>
        <c:axPos val="b"/>
        <c:numFmt formatCode="General" sourceLinked="1"/>
        <c:majorTickMark val="out"/>
        <c:minorTickMark val="none"/>
        <c:tickLblPos val="nextTo"/>
        <c:crossAx val="550464224"/>
        <c:crosses val="autoZero"/>
        <c:auto val="1"/>
        <c:lblAlgn val="ctr"/>
        <c:lblOffset val="100"/>
        <c:noMultiLvlLbl val="0"/>
      </c:catAx>
      <c:valAx>
        <c:axId val="550464224"/>
        <c:scaling>
          <c:orientation val="minMax"/>
        </c:scaling>
        <c:delete val="0"/>
        <c:axPos val="l"/>
        <c:majorGridlines/>
        <c:numFmt formatCode="_-* #,##0\ [$€-C0A]_-;\-* #,##0\ [$€-C0A]_-;_-* &quot;-&quot;??\ [$€-C0A]_-;_-@_-" sourceLinked="1"/>
        <c:majorTickMark val="out"/>
        <c:minorTickMark val="none"/>
        <c:tickLblPos val="nextTo"/>
        <c:crossAx val="550471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550470888"/>
        <c:axId val="550468144"/>
      </c:barChart>
      <c:catAx>
        <c:axId val="550470888"/>
        <c:scaling>
          <c:orientation val="minMax"/>
        </c:scaling>
        <c:delete val="0"/>
        <c:axPos val="b"/>
        <c:numFmt formatCode="General" sourceLinked="1"/>
        <c:majorTickMark val="out"/>
        <c:minorTickMark val="none"/>
        <c:tickLblPos val="nextTo"/>
        <c:crossAx val="550468144"/>
        <c:crosses val="autoZero"/>
        <c:auto val="1"/>
        <c:lblAlgn val="ctr"/>
        <c:lblOffset val="100"/>
        <c:noMultiLvlLbl val="0"/>
      </c:catAx>
      <c:valAx>
        <c:axId val="550468144"/>
        <c:scaling>
          <c:orientation val="minMax"/>
        </c:scaling>
        <c:delete val="0"/>
        <c:axPos val="l"/>
        <c:majorGridlines/>
        <c:numFmt formatCode="_-* #,##0\ [$€-C0A]_-;\-* #,##0\ [$€-C0A]_-;_-* &quot;-&quot;??\ [$€-C0A]_-;_-@_-" sourceLinked="1"/>
        <c:majorTickMark val="out"/>
        <c:minorTickMark val="none"/>
        <c:tickLblPos val="nextTo"/>
        <c:crossAx val="550470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0464616"/>
        <c:axId val="550472456"/>
      </c:barChart>
      <c:catAx>
        <c:axId val="550464616"/>
        <c:scaling>
          <c:orientation val="minMax"/>
        </c:scaling>
        <c:delete val="0"/>
        <c:axPos val="b"/>
        <c:numFmt formatCode="General" sourceLinked="1"/>
        <c:majorTickMark val="out"/>
        <c:minorTickMark val="none"/>
        <c:tickLblPos val="nextTo"/>
        <c:crossAx val="550472456"/>
        <c:crosses val="autoZero"/>
        <c:auto val="1"/>
        <c:lblAlgn val="ctr"/>
        <c:lblOffset val="100"/>
        <c:noMultiLvlLbl val="0"/>
      </c:catAx>
      <c:valAx>
        <c:axId val="550472456"/>
        <c:scaling>
          <c:orientation val="minMax"/>
        </c:scaling>
        <c:delete val="0"/>
        <c:axPos val="l"/>
        <c:majorGridlines/>
        <c:numFmt formatCode="_-* #,##0\ [$€-C0A]_-;\-* #,##0\ [$€-C0A]_-;_-* &quot;-&quot;??\ [$€-C0A]_-;_-@_-" sourceLinked="1"/>
        <c:majorTickMark val="out"/>
        <c:minorTickMark val="none"/>
        <c:tickLblPos val="nextTo"/>
        <c:crossAx val="550464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50473240"/>
        <c:axId val="550468536"/>
      </c:barChart>
      <c:catAx>
        <c:axId val="550473240"/>
        <c:scaling>
          <c:orientation val="minMax"/>
        </c:scaling>
        <c:delete val="0"/>
        <c:axPos val="b"/>
        <c:numFmt formatCode="General" sourceLinked="1"/>
        <c:majorTickMark val="out"/>
        <c:minorTickMark val="none"/>
        <c:tickLblPos val="nextTo"/>
        <c:crossAx val="550468536"/>
        <c:crosses val="autoZero"/>
        <c:auto val="1"/>
        <c:lblAlgn val="ctr"/>
        <c:lblOffset val="100"/>
        <c:noMultiLvlLbl val="0"/>
      </c:catAx>
      <c:valAx>
        <c:axId val="550468536"/>
        <c:scaling>
          <c:orientation val="minMax"/>
        </c:scaling>
        <c:delete val="0"/>
        <c:axPos val="l"/>
        <c:majorGridlines/>
        <c:numFmt formatCode="_-* #,##0\ [$€-C0A]_-;\-* #,##0\ [$€-C0A]_-;_-* &quot;-&quot;??\ [$€-C0A]_-;_-@_-" sourceLinked="1"/>
        <c:majorTickMark val="out"/>
        <c:minorTickMark val="none"/>
        <c:tickLblPos val="nextTo"/>
        <c:crossAx val="550473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550462656"/>
        <c:axId val="550468928"/>
      </c:barChart>
      <c:catAx>
        <c:axId val="550462656"/>
        <c:scaling>
          <c:orientation val="minMax"/>
        </c:scaling>
        <c:delete val="0"/>
        <c:axPos val="b"/>
        <c:numFmt formatCode="General" sourceLinked="1"/>
        <c:majorTickMark val="out"/>
        <c:minorTickMark val="none"/>
        <c:tickLblPos val="nextTo"/>
        <c:crossAx val="550468928"/>
        <c:crosses val="autoZero"/>
        <c:auto val="1"/>
        <c:lblAlgn val="ctr"/>
        <c:lblOffset val="100"/>
        <c:noMultiLvlLbl val="0"/>
      </c:catAx>
      <c:valAx>
        <c:axId val="550468928"/>
        <c:scaling>
          <c:orientation val="minMax"/>
        </c:scaling>
        <c:delete val="0"/>
        <c:axPos val="l"/>
        <c:majorGridlines/>
        <c:numFmt formatCode="_-* #,##0\ [$€-C0A]_-;\-* #,##0\ [$€-C0A]_-;_-* &quot;-&quot;??\ [$€-C0A]_-;_-@_-" sourceLinked="1"/>
        <c:majorTickMark val="out"/>
        <c:minorTickMark val="none"/>
        <c:tickLblPos val="nextTo"/>
        <c:crossAx val="550462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550463832"/>
        <c:axId val="550470104"/>
      </c:barChart>
      <c:catAx>
        <c:axId val="550463832"/>
        <c:scaling>
          <c:orientation val="minMax"/>
        </c:scaling>
        <c:delete val="0"/>
        <c:axPos val="b"/>
        <c:numFmt formatCode="General" sourceLinked="1"/>
        <c:majorTickMark val="out"/>
        <c:minorTickMark val="none"/>
        <c:tickLblPos val="nextTo"/>
        <c:crossAx val="550470104"/>
        <c:crosses val="autoZero"/>
        <c:auto val="1"/>
        <c:lblAlgn val="ctr"/>
        <c:lblOffset val="100"/>
        <c:noMultiLvlLbl val="0"/>
      </c:catAx>
      <c:valAx>
        <c:axId val="550470104"/>
        <c:scaling>
          <c:orientation val="minMax"/>
        </c:scaling>
        <c:delete val="0"/>
        <c:axPos val="l"/>
        <c:majorGridlines/>
        <c:numFmt formatCode="_-* #,##0\ [$€-C0A]_-;\-* #,##0\ [$€-C0A]_-;_-* &quot;-&quot;??\ [$€-C0A]_-;_-@_-" sourceLinked="1"/>
        <c:majorTickMark val="out"/>
        <c:minorTickMark val="none"/>
        <c:tickLblPos val="nextTo"/>
        <c:crossAx val="550463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43082</v>
      </c>
      <c r="D1" s="681">
        <v>41471</v>
      </c>
      <c r="E1" s="681"/>
      <c r="F1" s="681"/>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1682</v>
      </c>
      <c r="G5" s="593">
        <f ca="1">F5/112</f>
        <v>15.017857142857142</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1682</v>
      </c>
      <c r="G6" s="593">
        <f t="shared" ref="G6:G20" ca="1" si="1">F6/112</f>
        <v>15.017857142857142</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1563</v>
      </c>
      <c r="G7" s="593">
        <f t="shared" ca="1" si="1"/>
        <v>13.955357142857142</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1555</v>
      </c>
      <c r="G8" s="593">
        <f t="shared" ca="1" si="1"/>
        <v>13.883928571428571</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1543</v>
      </c>
      <c r="G9" s="593">
        <f t="shared" ca="1" si="1"/>
        <v>13.776785714285714</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1530</v>
      </c>
      <c r="G10" s="593">
        <f t="shared" ca="1" si="1"/>
        <v>13.660714285714286</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1499</v>
      </c>
      <c r="G11" s="593">
        <f t="shared" ca="1" si="1"/>
        <v>13.383928571428571</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1429</v>
      </c>
      <c r="G12" s="593">
        <f t="shared" ca="1" si="1"/>
        <v>12.758928571428571</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1418</v>
      </c>
      <c r="G13" s="593">
        <f t="shared" ca="1" si="1"/>
        <v>12.660714285714286</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1396</v>
      </c>
      <c r="G14" s="593">
        <f t="shared" ca="1" si="1"/>
        <v>12.464285714285714</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1360</v>
      </c>
      <c r="G15" s="593">
        <f t="shared" ca="1" si="1"/>
        <v>12.142857142857142</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1345</v>
      </c>
      <c r="G16" s="593">
        <f t="shared" ca="1" si="1"/>
        <v>12.008928571428571</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1335</v>
      </c>
      <c r="G17" s="593">
        <f t="shared" ca="1" si="1"/>
        <v>11.919642857142858</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1171</v>
      </c>
      <c r="G18" s="593">
        <f t="shared" ca="1" si="1"/>
        <v>10.455357142857142</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1109</v>
      </c>
      <c r="G19" s="593">
        <f t="shared" ca="1" si="1"/>
        <v>9.9017857142857135</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976</v>
      </c>
      <c r="G20" s="593">
        <f t="shared" ca="1" si="1"/>
        <v>8.7142857142857135</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1"/>
      <c r="T1" s="691"/>
      <c r="U1" s="691"/>
      <c r="V1" s="178"/>
      <c r="W1" s="691" t="s">
        <v>530</v>
      </c>
      <c r="X1" s="691"/>
      <c r="Z1" s="414">
        <f>S2+T2+U2+V2+W2+X2+Z2</f>
        <v>1</v>
      </c>
      <c r="AQ1" s="691" t="s">
        <v>603</v>
      </c>
      <c r="AR1" s="691"/>
      <c r="AS1" s="691"/>
      <c r="AT1" s="691"/>
      <c r="AU1" s="691"/>
      <c r="AV1" s="691"/>
      <c r="AW1" s="691"/>
      <c r="AX1" s="691"/>
      <c r="AY1" s="691"/>
      <c r="AZ1" s="691"/>
      <c r="BA1" s="691"/>
      <c r="BB1" s="691"/>
      <c r="BC1" s="691"/>
      <c r="BS1" s="439" t="s">
        <v>605</v>
      </c>
      <c r="BT1" s="439" t="s">
        <v>176</v>
      </c>
      <c r="BU1" s="439" t="s">
        <v>606</v>
      </c>
      <c r="BV1" s="440" t="s">
        <v>607</v>
      </c>
      <c r="BW1" s="438" t="s">
        <v>608</v>
      </c>
      <c r="BX1" s="438" t="s">
        <v>609</v>
      </c>
    </row>
    <row r="2" spans="1:76" s="249" customFormat="1" ht="18.75" x14ac:dyDescent="0.3">
      <c r="C2" s="250"/>
      <c r="D2" s="421">
        <f ca="1">TODAY()</f>
        <v>43082</v>
      </c>
      <c r="E2" s="681">
        <v>41471</v>
      </c>
      <c r="F2" s="681"/>
      <c r="G2" s="681"/>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12.766250000000001</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17.064444444444444</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2" t="s">
        <v>719</v>
      </c>
      <c r="AR3" s="693"/>
      <c r="AS3" s="331" t="s">
        <v>467</v>
      </c>
      <c r="AT3" s="331" t="s">
        <v>468</v>
      </c>
      <c r="AU3" s="331" t="s">
        <v>489</v>
      </c>
      <c r="AV3" s="331" t="s">
        <v>469</v>
      </c>
      <c r="AW3" s="331" t="s">
        <v>470</v>
      </c>
      <c r="AX3" s="331" t="s">
        <v>471</v>
      </c>
      <c r="AY3" s="331" t="s">
        <v>472</v>
      </c>
      <c r="AZ3" s="331" t="s">
        <v>734</v>
      </c>
      <c r="BA3" s="331" t="s">
        <v>735</v>
      </c>
      <c r="BB3" s="331" t="s">
        <v>565</v>
      </c>
      <c r="BC3" s="331" t="s">
        <v>604</v>
      </c>
      <c r="BE3" s="692" t="s">
        <v>721</v>
      </c>
      <c r="BF3" s="693"/>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2.9642857142857144</v>
      </c>
      <c r="D4" s="294" t="str">
        <f>PLANTILLA!D5</f>
        <v>D. Gehmacher</v>
      </c>
      <c r="E4" s="387">
        <f>PLANTILLA!E5</f>
        <v>30</v>
      </c>
      <c r="F4" s="395">
        <f ca="1">PLANTILLA!F5</f>
        <v>4</v>
      </c>
      <c r="G4" s="388"/>
      <c r="H4" s="403">
        <v>7</v>
      </c>
      <c r="I4" s="308">
        <f>PLANTILLA!I5</f>
        <v>18.100000000000001</v>
      </c>
      <c r="J4" s="486">
        <f>PLANTILLA!X5</f>
        <v>16.666666666666668</v>
      </c>
      <c r="K4" s="486">
        <f>PLANTILLA!Y5</f>
        <v>11.832727272727276</v>
      </c>
      <c r="L4" s="486">
        <f>PLANTILLA!Z5</f>
        <v>2.0399999999999991</v>
      </c>
      <c r="M4" s="486">
        <f>PLANTILLA!AA5</f>
        <v>2.1399999999999992</v>
      </c>
      <c r="N4" s="486">
        <f>PLANTILLA!AB5</f>
        <v>1.0400000000000003</v>
      </c>
      <c r="O4" s="486">
        <f>PLANTILLA!AC5</f>
        <v>0.14055555555555557</v>
      </c>
      <c r="P4" s="486">
        <f>PLANTILLA!AD5</f>
        <v>17.849999999999998</v>
      </c>
      <c r="Q4" s="411">
        <f t="shared" ref="Q4:Q23" si="4">E4</f>
        <v>30</v>
      </c>
      <c r="R4" s="412">
        <f t="shared" ref="R4:R23" ca="1" si="5">F4+7</f>
        <v>11</v>
      </c>
      <c r="S4" s="180"/>
      <c r="T4" s="180"/>
      <c r="U4" s="180"/>
      <c r="V4" s="180"/>
      <c r="W4" s="180"/>
      <c r="X4" s="180"/>
      <c r="Y4" s="180"/>
      <c r="Z4" s="180"/>
      <c r="AA4" s="296">
        <f t="shared" ref="AA4:AA23" si="6">I4+$AA$2</f>
        <v>18.100000000000001</v>
      </c>
      <c r="AB4" s="506">
        <f>J4+(S4*S$2/15)</f>
        <v>16.666666666666668</v>
      </c>
      <c r="AC4" s="506">
        <f>K4+(T$2/11)</f>
        <v>11.832727272727276</v>
      </c>
      <c r="AD4" s="506">
        <f>L4+(U$2/18)</f>
        <v>2.0399999999999991</v>
      </c>
      <c r="AE4" s="506">
        <f>M4+(V$2/12)</f>
        <v>2.1399999999999992</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-1.1160714285714286</v>
      </c>
      <c r="D5" s="386" t="s">
        <v>267</v>
      </c>
      <c r="E5" s="387">
        <f>PLANTILLA!E6</f>
        <v>34</v>
      </c>
      <c r="F5" s="387">
        <f ca="1">PLANTILLA!F6</f>
        <v>13</v>
      </c>
      <c r="G5" s="388" t="s">
        <v>502</v>
      </c>
      <c r="H5" s="371">
        <v>4</v>
      </c>
      <c r="I5" s="308">
        <f>PLANTILLA!I6</f>
        <v>7.8</v>
      </c>
      <c r="J5" s="486">
        <f>PLANTILLA!X6</f>
        <v>10.3</v>
      </c>
      <c r="K5" s="486">
        <f>PLANTILLA!Y6</f>
        <v>10.794999999999998</v>
      </c>
      <c r="L5" s="486">
        <f>PLANTILLA!Z6</f>
        <v>4.6300000000000008</v>
      </c>
      <c r="M5" s="486">
        <f>PLANTILLA!AA6</f>
        <v>4.95</v>
      </c>
      <c r="N5" s="486">
        <f>PLANTILLA!AB6</f>
        <v>6.5444444444444434</v>
      </c>
      <c r="O5" s="486">
        <f>PLANTILLA!AC6</f>
        <v>3.99</v>
      </c>
      <c r="P5" s="486">
        <f>PLANTILLA!AD6</f>
        <v>15.778888888888888</v>
      </c>
      <c r="Q5" s="411">
        <f t="shared" si="4"/>
        <v>34</v>
      </c>
      <c r="R5" s="412">
        <f t="shared" ca="1" si="5"/>
        <v>20</v>
      </c>
      <c r="S5" s="180"/>
      <c r="T5" s="180"/>
      <c r="U5" s="180"/>
      <c r="V5" s="180"/>
      <c r="W5" s="180"/>
      <c r="X5" s="180"/>
      <c r="Y5" s="180"/>
      <c r="Z5" s="180"/>
      <c r="AA5" s="296">
        <f t="shared" si="6"/>
        <v>7.8</v>
      </c>
      <c r="AB5" s="506">
        <f>J5+(S5*S$2/6)</f>
        <v>10.3</v>
      </c>
      <c r="AC5" s="506">
        <f>K5+(T$2/45)</f>
        <v>10.794999999999998</v>
      </c>
      <c r="AD5" s="506">
        <f>L5+(U$2/34)</f>
        <v>4.6300000000000008</v>
      </c>
      <c r="AE5" s="506">
        <f>M5+(V$2/22)</f>
        <v>4.95</v>
      </c>
      <c r="AF5" s="506">
        <f>N5+(W$2/28)</f>
        <v>6.5444444444444434</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4.5049999999999999</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4.5049999999999999</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3.9787499999999998</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3.6806944444444447</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1.4553571428571428</v>
      </c>
      <c r="D7" s="294" t="s">
        <v>275</v>
      </c>
      <c r="E7" s="387">
        <f>PLANTILLA!E8</f>
        <v>31</v>
      </c>
      <c r="F7" s="387">
        <f ca="1">PLANTILLA!F8</f>
        <v>61</v>
      </c>
      <c r="G7" s="388" t="s">
        <v>502</v>
      </c>
      <c r="H7" s="394">
        <v>5</v>
      </c>
      <c r="I7" s="308">
        <f>PLANTILLA!I8</f>
        <v>7.5</v>
      </c>
      <c r="J7" s="486">
        <f>PLANTILLA!X8</f>
        <v>0</v>
      </c>
      <c r="K7" s="486">
        <f>PLANTILLA!Y8</f>
        <v>11</v>
      </c>
      <c r="L7" s="486">
        <f>PLANTILLA!Z8</f>
        <v>6.1894444444444412</v>
      </c>
      <c r="M7" s="486">
        <f>PLANTILLA!AA8</f>
        <v>6.04</v>
      </c>
      <c r="N7" s="486">
        <f>PLANTILLA!AB8</f>
        <v>7.7227777777777789</v>
      </c>
      <c r="O7" s="486">
        <f>PLANTILLA!AC8</f>
        <v>4.383333333333332</v>
      </c>
      <c r="P7" s="486">
        <f>PLANTILLA!AD8</f>
        <v>15.349999999999998</v>
      </c>
      <c r="Q7" s="411">
        <f t="shared" si="4"/>
        <v>31</v>
      </c>
      <c r="R7" s="412">
        <f t="shared" ca="1" si="5"/>
        <v>68</v>
      </c>
      <c r="S7" s="180"/>
      <c r="T7" s="180"/>
      <c r="U7" s="180"/>
      <c r="V7" s="180"/>
      <c r="W7" s="180"/>
      <c r="X7" s="180"/>
      <c r="Y7" s="180"/>
      <c r="Z7" s="180"/>
      <c r="AA7" s="296">
        <f t="shared" si="6"/>
        <v>7.5</v>
      </c>
      <c r="AB7" s="506">
        <f t="shared" si="20"/>
        <v>0</v>
      </c>
      <c r="AC7" s="506">
        <f>K7+(T$2/11)</f>
        <v>11</v>
      </c>
      <c r="AD7" s="506">
        <f>L7+(U$2/6.5)</f>
        <v>6.1894444444444412</v>
      </c>
      <c r="AE7" s="506">
        <f>M7+(V$2/62)</f>
        <v>6.04</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4.2825000000000006</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4.5962499999999995</v>
      </c>
      <c r="BQ7" s="435">
        <f t="shared" si="23"/>
        <v>0</v>
      </c>
    </row>
    <row r="8" spans="1:76" s="264" customFormat="1" x14ac:dyDescent="0.25">
      <c r="A8" s="384" t="s">
        <v>407</v>
      </c>
      <c r="B8" s="384" t="s">
        <v>2</v>
      </c>
      <c r="C8" s="385">
        <f t="shared" ca="1" si="11"/>
        <v>1.8660714285714286</v>
      </c>
      <c r="D8" s="386" t="s">
        <v>269</v>
      </c>
      <c r="E8" s="387">
        <f>PLANTILLA!E9</f>
        <v>31</v>
      </c>
      <c r="F8" s="387">
        <f ca="1">PLANTILLA!F9</f>
        <v>15</v>
      </c>
      <c r="G8" s="388"/>
      <c r="H8" s="394">
        <v>5</v>
      </c>
      <c r="I8" s="308">
        <f>PLANTILLA!I9</f>
        <v>12.2</v>
      </c>
      <c r="J8" s="486">
        <f>PLANTILLA!X9</f>
        <v>0</v>
      </c>
      <c r="K8" s="486">
        <f>PLANTILLA!Y9</f>
        <v>12.060000000000004</v>
      </c>
      <c r="L8" s="486">
        <f>PLANTILLA!Z9</f>
        <v>13.116555555555554</v>
      </c>
      <c r="M8" s="486">
        <f>PLANTILLA!AA9</f>
        <v>9.8200000000000056</v>
      </c>
      <c r="N8" s="486">
        <f>PLANTILLA!AB9</f>
        <v>9.6</v>
      </c>
      <c r="O8" s="486">
        <f>PLANTILLA!AC9</f>
        <v>3.6816666666666658</v>
      </c>
      <c r="P8" s="486">
        <f>PLANTILLA!AD9</f>
        <v>16.627777777777773</v>
      </c>
      <c r="Q8" s="411">
        <f t="shared" si="4"/>
        <v>31</v>
      </c>
      <c r="R8" s="412">
        <f t="shared" ca="1" si="5"/>
        <v>22</v>
      </c>
      <c r="S8" s="180"/>
      <c r="T8" s="180"/>
      <c r="U8" s="180"/>
      <c r="V8" s="180"/>
      <c r="W8" s="180"/>
      <c r="X8" s="180"/>
      <c r="Y8" s="180"/>
      <c r="Z8" s="180"/>
      <c r="AA8" s="296">
        <f t="shared" si="6"/>
        <v>12.2</v>
      </c>
      <c r="AB8" s="506">
        <f t="shared" si="20"/>
        <v>0</v>
      </c>
      <c r="AC8" s="506">
        <f>K8+(T$2/11)</f>
        <v>12.060000000000004</v>
      </c>
      <c r="AD8" s="506">
        <f>L8+(U$2/29)</f>
        <v>13.116555555555554</v>
      </c>
      <c r="AE8" s="506">
        <f>M8+(V$2/13)</f>
        <v>9.8200000000000056</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2</v>
      </c>
      <c r="D9" s="294" t="s">
        <v>273</v>
      </c>
      <c r="E9" s="387">
        <f>PLANTILLA!E10</f>
        <v>30</v>
      </c>
      <c r="F9" s="387">
        <f ca="1">PLANTILLA!F10</f>
        <v>112</v>
      </c>
      <c r="G9" s="388"/>
      <c r="H9" s="371">
        <v>4</v>
      </c>
      <c r="I9" s="308">
        <f>PLANTILLA!I10</f>
        <v>9.3000000000000007</v>
      </c>
      <c r="J9" s="486">
        <f>PLANTILLA!X10</f>
        <v>0</v>
      </c>
      <c r="K9" s="486">
        <f>PLANTILLA!Y10</f>
        <v>11.649999999999997</v>
      </c>
      <c r="L9" s="486">
        <f>PLANTILLA!Z10</f>
        <v>6.700000000000002</v>
      </c>
      <c r="M9" s="486">
        <f>PLANTILLA!AA10</f>
        <v>7.4300000000000015</v>
      </c>
      <c r="N9" s="486">
        <f>PLANTILLA!AB10</f>
        <v>9.0199999999999978</v>
      </c>
      <c r="O9" s="486">
        <f>PLANTILLA!AC10</f>
        <v>4.6199999999999966</v>
      </c>
      <c r="P9" s="486">
        <f>PLANTILLA!AD10</f>
        <v>15.6</v>
      </c>
      <c r="Q9" s="411">
        <f t="shared" si="4"/>
        <v>30</v>
      </c>
      <c r="R9" s="412">
        <f t="shared" ca="1" si="5"/>
        <v>119</v>
      </c>
      <c r="S9" s="180"/>
      <c r="T9" s="180"/>
      <c r="U9" s="180"/>
      <c r="V9" s="180"/>
      <c r="W9" s="180"/>
      <c r="X9" s="180"/>
      <c r="Y9" s="180"/>
      <c r="Z9" s="180"/>
      <c r="AA9" s="296">
        <f t="shared" si="6"/>
        <v>9.3000000000000007</v>
      </c>
      <c r="AB9" s="506">
        <f t="shared" si="20"/>
        <v>0</v>
      </c>
      <c r="AC9" s="506">
        <f>K9+(T$2/10)</f>
        <v>11.649999999999997</v>
      </c>
      <c r="AD9" s="506">
        <f>L9+(U$2/31)</f>
        <v>6.700000000000002</v>
      </c>
      <c r="AE9" s="506">
        <f>M9+(V$2/6)</f>
        <v>7.4300000000000015</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5.7946428571428568</v>
      </c>
      <c r="D10" s="294" t="s">
        <v>567</v>
      </c>
      <c r="E10" s="387">
        <f>PLANTILLA!E11</f>
        <v>27</v>
      </c>
      <c r="F10" s="387">
        <f ca="1">PLANTILLA!F11</f>
        <v>23</v>
      </c>
      <c r="G10" s="388"/>
      <c r="H10" s="394">
        <v>5</v>
      </c>
      <c r="I10" s="308">
        <f>PLANTILLA!I11</f>
        <v>4.9000000000000004</v>
      </c>
      <c r="J10" s="486">
        <f>PLANTILLA!X11</f>
        <v>0</v>
      </c>
      <c r="K10" s="486">
        <f>PLANTILLA!Y11</f>
        <v>9.5796666666666663</v>
      </c>
      <c r="L10" s="486">
        <f>PLANTILLA!Z11</f>
        <v>7.7407222222222227</v>
      </c>
      <c r="M10" s="486">
        <f>PLANTILLA!AA11</f>
        <v>6.1499999999999986</v>
      </c>
      <c r="N10" s="486">
        <f>PLANTILLA!AB11</f>
        <v>8.8633333333333315</v>
      </c>
      <c r="O10" s="486">
        <f>PLANTILLA!AC11</f>
        <v>3.2566666666666673</v>
      </c>
      <c r="P10" s="486">
        <f>PLANTILLA!AD11</f>
        <v>13.238888888888889</v>
      </c>
      <c r="Q10" s="411">
        <f t="shared" si="4"/>
        <v>27</v>
      </c>
      <c r="R10" s="412">
        <f t="shared" ca="1" si="5"/>
        <v>30</v>
      </c>
      <c r="S10" s="180"/>
      <c r="T10" s="180"/>
      <c r="U10" s="180"/>
      <c r="V10" s="180"/>
      <c r="W10" s="180"/>
      <c r="X10" s="180"/>
      <c r="Y10" s="180"/>
      <c r="Z10" s="180"/>
      <c r="AA10" s="296">
        <f t="shared" si="6"/>
        <v>4.9000000000000004</v>
      </c>
      <c r="AB10" s="506">
        <f t="shared" si="20"/>
        <v>0</v>
      </c>
      <c r="AC10" s="506">
        <f>K10+(T$2/25)</f>
        <v>9.5796666666666663</v>
      </c>
      <c r="AD10" s="506">
        <f>L10+(U$2/37)</f>
        <v>7.7407222222222227</v>
      </c>
      <c r="AE10" s="506">
        <f>M10+(V$2/20)</f>
        <v>6.1499999999999986</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4.2825000000000006</v>
      </c>
      <c r="BQ10" s="435">
        <f t="shared" si="28"/>
        <v>0</v>
      </c>
    </row>
    <row r="11" spans="1:76" x14ac:dyDescent="0.25">
      <c r="A11" s="384" t="s">
        <v>405</v>
      </c>
      <c r="B11" s="384" t="s">
        <v>65</v>
      </c>
      <c r="C11" s="385">
        <f t="shared" ca="1" si="11"/>
        <v>2.2053571428571428</v>
      </c>
      <c r="D11" s="386" t="s">
        <v>270</v>
      </c>
      <c r="E11" s="387">
        <f>PLANTILLA!E12</f>
        <v>30</v>
      </c>
      <c r="F11" s="387">
        <f ca="1">PLANTILLA!F12</f>
        <v>89</v>
      </c>
      <c r="G11" s="388" t="s">
        <v>271</v>
      </c>
      <c r="H11" s="371">
        <v>1</v>
      </c>
      <c r="I11" s="308">
        <f>PLANTILLA!I12</f>
        <v>12.3</v>
      </c>
      <c r="J11" s="486">
        <f>PLANTILLA!X12</f>
        <v>0</v>
      </c>
      <c r="K11" s="486">
        <f>PLANTILLA!Y12</f>
        <v>11.95</v>
      </c>
      <c r="L11" s="486">
        <f>PLANTILLA!Z12</f>
        <v>12.489111111111114</v>
      </c>
      <c r="M11" s="486">
        <f>PLANTILLA!AA12</f>
        <v>13.133333333333335</v>
      </c>
      <c r="N11" s="486">
        <f>PLANTILLA!AB12</f>
        <v>10.91</v>
      </c>
      <c r="O11" s="486">
        <f>PLANTILLA!AC12</f>
        <v>7.7700000000000005</v>
      </c>
      <c r="P11" s="486">
        <f>PLANTILLA!AD12</f>
        <v>17.13</v>
      </c>
      <c r="Q11" s="411">
        <f t="shared" si="4"/>
        <v>30</v>
      </c>
      <c r="R11" s="412">
        <f t="shared" ca="1" si="5"/>
        <v>96</v>
      </c>
      <c r="S11" s="180"/>
      <c r="T11" s="180"/>
      <c r="U11" s="180"/>
      <c r="V11" s="180"/>
      <c r="W11" s="180"/>
      <c r="X11" s="180"/>
      <c r="Y11" s="180"/>
      <c r="Z11" s="180"/>
      <c r="AA11" s="296">
        <f t="shared" si="6"/>
        <v>12.3</v>
      </c>
      <c r="AB11" s="506">
        <f t="shared" si="20"/>
        <v>0</v>
      </c>
      <c r="AC11" s="506">
        <f>K11+(T$2/10)</f>
        <v>11.95</v>
      </c>
      <c r="AD11" s="506">
        <f>L11+(U$2/18)</f>
        <v>12.489111111111114</v>
      </c>
      <c r="AE11" s="506">
        <f>M11+(V$2/15)</f>
        <v>13.133333333333335</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2.6785714285714284</v>
      </c>
      <c r="D12" s="386" t="s">
        <v>298</v>
      </c>
      <c r="E12" s="387">
        <f>PLANTILLA!E13</f>
        <v>30</v>
      </c>
      <c r="F12" s="387">
        <f ca="1">PLANTILLA!F13</f>
        <v>36</v>
      </c>
      <c r="G12" s="388" t="s">
        <v>268</v>
      </c>
      <c r="H12" s="371">
        <v>3</v>
      </c>
      <c r="I12" s="308">
        <f>PLANTILLA!I13</f>
        <v>10.3</v>
      </c>
      <c r="J12" s="486">
        <f>PLANTILLA!X13</f>
        <v>0</v>
      </c>
      <c r="K12" s="486">
        <f>PLANTILLA!Y13</f>
        <v>7.11</v>
      </c>
      <c r="L12" s="486">
        <f>PLANTILLA!Z13</f>
        <v>10.450000000000003</v>
      </c>
      <c r="M12" s="486">
        <f>PLANTILLA!AA13</f>
        <v>13.388333333333334</v>
      </c>
      <c r="N12" s="486">
        <f>PLANTILLA!AB13</f>
        <v>10.359999999999998</v>
      </c>
      <c r="O12" s="486">
        <f>PLANTILLA!AC13</f>
        <v>5.4050000000000002</v>
      </c>
      <c r="P12" s="486">
        <f>PLANTILLA!AD13</f>
        <v>17.300000000000004</v>
      </c>
      <c r="Q12" s="411">
        <f t="shared" si="4"/>
        <v>30</v>
      </c>
      <c r="R12" s="412">
        <f t="shared" ca="1" si="5"/>
        <v>43</v>
      </c>
      <c r="S12" s="180"/>
      <c r="T12" s="180"/>
      <c r="U12" s="180"/>
      <c r="V12" s="180"/>
      <c r="W12" s="180"/>
      <c r="X12" s="180"/>
      <c r="Y12" s="180"/>
      <c r="Z12" s="180"/>
      <c r="AA12" s="296">
        <f t="shared" si="6"/>
        <v>10.3</v>
      </c>
      <c r="AB12" s="506">
        <f t="shared" si="20"/>
        <v>0</v>
      </c>
      <c r="AC12" s="506">
        <f>K12+(T$2/7)</f>
        <v>7.11</v>
      </c>
      <c r="AD12" s="506">
        <f>L12+(U$2/7)</f>
        <v>10.450000000000003</v>
      </c>
      <c r="AE12" s="506">
        <f>M12+(V$2/8)</f>
        <v>13.388333333333334</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5.5446428571428568</v>
      </c>
      <c r="D13" s="386" t="s">
        <v>507</v>
      </c>
      <c r="E13" s="387">
        <f>PLANTILLA!E14</f>
        <v>27</v>
      </c>
      <c r="F13" s="387">
        <f ca="1">PLANTILLA!F14</f>
        <v>51</v>
      </c>
      <c r="G13" s="388" t="s">
        <v>502</v>
      </c>
      <c r="H13" s="371">
        <v>3</v>
      </c>
      <c r="I13" s="308">
        <f>PLANTILLA!I14</f>
        <v>8.6999999999999993</v>
      </c>
      <c r="J13" s="486">
        <f>PLANTILLA!X14</f>
        <v>0</v>
      </c>
      <c r="K13" s="486">
        <f>PLANTILLA!Y14</f>
        <v>8.1199999999999992</v>
      </c>
      <c r="L13" s="486">
        <f>PLANTILLA!Z14</f>
        <v>12.058412698412699</v>
      </c>
      <c r="M13" s="486">
        <f>PLANTILLA!AA14</f>
        <v>12.25</v>
      </c>
      <c r="N13" s="486">
        <f>PLANTILLA!AB14</f>
        <v>10.24</v>
      </c>
      <c r="O13" s="486">
        <f>PLANTILLA!AC14</f>
        <v>7.4766666666666666</v>
      </c>
      <c r="P13" s="486">
        <f>PLANTILLA!AD14</f>
        <v>15.270000000000001</v>
      </c>
      <c r="Q13" s="411">
        <f t="shared" si="4"/>
        <v>27</v>
      </c>
      <c r="R13" s="412">
        <f t="shared" ca="1" si="5"/>
        <v>58</v>
      </c>
      <c r="S13" s="180"/>
      <c r="T13" s="180"/>
      <c r="U13" s="180"/>
      <c r="V13" s="180"/>
      <c r="W13" s="180"/>
      <c r="X13" s="180"/>
      <c r="Y13" s="180"/>
      <c r="Z13" s="180"/>
      <c r="AA13" s="296">
        <f t="shared" si="6"/>
        <v>8.6999999999999993</v>
      </c>
      <c r="AB13" s="506">
        <f t="shared" si="20"/>
        <v>0</v>
      </c>
      <c r="AC13" s="506">
        <f>K13+(T$2/6.5)</f>
        <v>8.1199999999999992</v>
      </c>
      <c r="AD13" s="506">
        <f>L13+(U$2/8)</f>
        <v>12.058412698412699</v>
      </c>
      <c r="AE13" s="506">
        <f>M13+(V$2/6)</f>
        <v>12.25</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3.5714285714285716</v>
      </c>
      <c r="D14" s="294" t="s">
        <v>415</v>
      </c>
      <c r="E14" s="387">
        <f>PLANTILLA!E15</f>
        <v>29</v>
      </c>
      <c r="F14" s="387">
        <f ca="1">PLANTILLA!F15</f>
        <v>48</v>
      </c>
      <c r="G14" s="388" t="s">
        <v>268</v>
      </c>
      <c r="H14" s="371">
        <v>4</v>
      </c>
      <c r="I14" s="308">
        <f>PLANTILLA!I15</f>
        <v>10.4</v>
      </c>
      <c r="J14" s="486">
        <f>PLANTILLA!X15</f>
        <v>0</v>
      </c>
      <c r="K14" s="486">
        <f>PLANTILLA!Y15</f>
        <v>9.1936666666666653</v>
      </c>
      <c r="L14" s="486">
        <f>PLANTILLA!Z15</f>
        <v>13.679999999999998</v>
      </c>
      <c r="M14" s="486">
        <f>PLANTILLA!AA15</f>
        <v>12.835000000000001</v>
      </c>
      <c r="N14" s="486">
        <f>PLANTILLA!AB15</f>
        <v>9.6733333333333356</v>
      </c>
      <c r="O14" s="486">
        <f>PLANTILLA!AC15</f>
        <v>5.0296666666666656</v>
      </c>
      <c r="P14" s="486">
        <f>PLANTILLA!AD15</f>
        <v>15.2</v>
      </c>
      <c r="Q14" s="411">
        <f t="shared" si="4"/>
        <v>29</v>
      </c>
      <c r="R14" s="412">
        <f t="shared" ca="1" si="5"/>
        <v>55</v>
      </c>
      <c r="S14" s="180"/>
      <c r="T14" s="180"/>
      <c r="U14" s="180"/>
      <c r="V14" s="180"/>
      <c r="W14" s="180"/>
      <c r="X14" s="180"/>
      <c r="Y14" s="180"/>
      <c r="Z14" s="180"/>
      <c r="AA14" s="296">
        <f t="shared" si="6"/>
        <v>10.4</v>
      </c>
      <c r="AB14" s="506">
        <f t="shared" si="20"/>
        <v>0</v>
      </c>
      <c r="AC14" s="506">
        <f>K14+(T$2/50)</f>
        <v>9.1936666666666653</v>
      </c>
      <c r="AD14" s="506">
        <f>L14+(U$2/10)</f>
        <v>13.679999999999998</v>
      </c>
      <c r="AE14" s="506">
        <f>M14+(V$2/15)</f>
        <v>12.835000000000001</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1.2678571428571428</v>
      </c>
      <c r="D15" s="386" t="s">
        <v>285</v>
      </c>
      <c r="E15" s="387">
        <f>PLANTILLA!E16</f>
        <v>31</v>
      </c>
      <c r="F15" s="387">
        <f ca="1">PLANTILLA!F16</f>
        <v>82</v>
      </c>
      <c r="G15" s="388" t="s">
        <v>268</v>
      </c>
      <c r="H15" s="394">
        <v>5</v>
      </c>
      <c r="I15" s="308">
        <f>PLANTILLA!I16</f>
        <v>11</v>
      </c>
      <c r="J15" s="486">
        <f>PLANTILLA!X16</f>
        <v>0</v>
      </c>
      <c r="K15" s="486">
        <f>PLANTILLA!Y16</f>
        <v>8.6075555555555585</v>
      </c>
      <c r="L15" s="486">
        <f>PLANTILLA!Z16</f>
        <v>14.190398412698405</v>
      </c>
      <c r="M15" s="486">
        <f>PLANTILLA!AA16</f>
        <v>9.99</v>
      </c>
      <c r="N15" s="486">
        <f>PLANTILLA!AB16</f>
        <v>10.09</v>
      </c>
      <c r="O15" s="486">
        <f>PLANTILLA!AC16</f>
        <v>4.3999999999999995</v>
      </c>
      <c r="P15" s="486">
        <f>PLANTILLA!AD16</f>
        <v>16.544444444444441</v>
      </c>
      <c r="Q15" s="411">
        <f t="shared" si="4"/>
        <v>31</v>
      </c>
      <c r="R15" s="412">
        <f t="shared" ca="1" si="5"/>
        <v>89</v>
      </c>
      <c r="S15" s="180"/>
      <c r="T15" s="180"/>
      <c r="U15" s="180"/>
      <c r="V15" s="180"/>
      <c r="W15" s="180"/>
      <c r="X15" s="180"/>
      <c r="Y15" s="180"/>
      <c r="Z15" s="180"/>
      <c r="AA15" s="296">
        <f t="shared" si="6"/>
        <v>11</v>
      </c>
      <c r="AB15" s="506">
        <f t="shared" si="20"/>
        <v>0</v>
      </c>
      <c r="AC15" s="506">
        <f>K15+(T$2/50)</f>
        <v>8.6075555555555585</v>
      </c>
      <c r="AD15" s="506">
        <f>L15+(U$2/11)</f>
        <v>14.190398412698405</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2.3214285714285716</v>
      </c>
      <c r="D16" s="386" t="s">
        <v>272</v>
      </c>
      <c r="E16" s="387">
        <f>PLANTILLA!E17</f>
        <v>30</v>
      </c>
      <c r="F16" s="387">
        <f ca="1">PLANTILLA!F17</f>
        <v>76</v>
      </c>
      <c r="G16" s="388"/>
      <c r="H16" s="371">
        <v>4</v>
      </c>
      <c r="I16" s="308">
        <f>PLANTILLA!I17</f>
        <v>9.1</v>
      </c>
      <c r="J16" s="486">
        <f>PLANTILLA!X17</f>
        <v>0</v>
      </c>
      <c r="K16" s="486">
        <f>PLANTILLA!Y17</f>
        <v>10.349999999999996</v>
      </c>
      <c r="L16" s="486">
        <f>PLANTILLA!Z17</f>
        <v>12.859777777777778</v>
      </c>
      <c r="M16" s="486">
        <f>PLANTILLA!AA17</f>
        <v>5.1299999999999981</v>
      </c>
      <c r="N16" s="486">
        <f>PLANTILLA!AB17</f>
        <v>9.24</v>
      </c>
      <c r="O16" s="486">
        <f>PLANTILLA!AC17</f>
        <v>2.98</v>
      </c>
      <c r="P16" s="486">
        <f>PLANTILLA!AD17</f>
        <v>16.959999999999997</v>
      </c>
      <c r="Q16" s="411">
        <f t="shared" si="4"/>
        <v>30</v>
      </c>
      <c r="R16" s="412">
        <f t="shared" ca="1" si="5"/>
        <v>83</v>
      </c>
      <c r="S16" s="180"/>
      <c r="T16" s="180"/>
      <c r="U16" s="180"/>
      <c r="V16" s="180"/>
      <c r="W16" s="180"/>
      <c r="X16" s="180"/>
      <c r="Y16" s="180"/>
      <c r="Z16" s="180"/>
      <c r="AA16" s="296">
        <f t="shared" si="6"/>
        <v>9.1</v>
      </c>
      <c r="AB16" s="506">
        <f t="shared" si="20"/>
        <v>0</v>
      </c>
      <c r="AC16" s="506">
        <f>K16+(T$2/7)</f>
        <v>10.349999999999996</v>
      </c>
      <c r="AD16" s="506">
        <f>L16+(U$2/11)</f>
        <v>12.859777777777778</v>
      </c>
      <c r="AE16" s="506">
        <f>M16+(V$2/19)</f>
        <v>5.1299999999999981</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12.585000000000001</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21.043194444444445</v>
      </c>
      <c r="BQ16" s="437">
        <f t="shared" si="34"/>
        <v>0</v>
      </c>
    </row>
    <row r="17" spans="1:69" s="254" customFormat="1" x14ac:dyDescent="0.25">
      <c r="A17" s="305" t="s">
        <v>410</v>
      </c>
      <c r="B17" s="260" t="s">
        <v>64</v>
      </c>
      <c r="C17" s="261">
        <f t="shared" ca="1" si="11"/>
        <v>2.5446428571428572</v>
      </c>
      <c r="D17" s="294" t="s">
        <v>400</v>
      </c>
      <c r="E17" s="387">
        <f>PLANTILLA!E18</f>
        <v>30</v>
      </c>
      <c r="F17" s="387">
        <f ca="1">PLANTILLA!F18</f>
        <v>51</v>
      </c>
      <c r="G17" s="388"/>
      <c r="H17" s="371">
        <v>1</v>
      </c>
      <c r="I17" s="308">
        <f>PLANTILLA!I18</f>
        <v>8.1</v>
      </c>
      <c r="J17" s="486">
        <f>PLANTILLA!X18</f>
        <v>0</v>
      </c>
      <c r="K17" s="486">
        <f>PLANTILLA!Y18</f>
        <v>5.2811111111111115</v>
      </c>
      <c r="L17" s="486">
        <f>PLANTILLA!Z18</f>
        <v>14.283789947089938</v>
      </c>
      <c r="M17" s="486">
        <f>PLANTILLA!AA18</f>
        <v>3.5124999999999993</v>
      </c>
      <c r="N17" s="486">
        <f>PLANTILLA!AB18</f>
        <v>9.1400000000000041</v>
      </c>
      <c r="O17" s="486">
        <f>PLANTILLA!AC18</f>
        <v>7.4318888888888894</v>
      </c>
      <c r="P17" s="486">
        <f>PLANTILLA!AD18</f>
        <v>16.07</v>
      </c>
      <c r="Q17" s="411">
        <f t="shared" si="4"/>
        <v>30</v>
      </c>
      <c r="R17" s="412">
        <f t="shared" ca="1" si="5"/>
        <v>58</v>
      </c>
      <c r="S17" s="180"/>
      <c r="T17" s="180"/>
      <c r="U17" s="180"/>
      <c r="V17" s="180"/>
      <c r="W17" s="180"/>
      <c r="X17" s="180"/>
      <c r="Y17" s="180"/>
      <c r="Z17" s="180"/>
      <c r="AA17" s="296">
        <f t="shared" si="6"/>
        <v>8.1</v>
      </c>
      <c r="AB17" s="506">
        <f t="shared" si="20"/>
        <v>0</v>
      </c>
      <c r="AC17" s="506">
        <f>K17+(T$2/6.5)</f>
        <v>5.2811111111111115</v>
      </c>
      <c r="AD17" s="506">
        <f>L17+(U$2/11)</f>
        <v>14.283789947089938</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2" t="s">
        <v>720</v>
      </c>
      <c r="AR17" s="693"/>
      <c r="AS17" s="331" t="s">
        <v>467</v>
      </c>
      <c r="AT17" s="331" t="s">
        <v>468</v>
      </c>
      <c r="AU17" s="331" t="s">
        <v>489</v>
      </c>
      <c r="AV17" s="331" t="s">
        <v>469</v>
      </c>
      <c r="AW17" s="331" t="s">
        <v>470</v>
      </c>
      <c r="AX17" s="331" t="s">
        <v>471</v>
      </c>
      <c r="AY17" s="331" t="s">
        <v>472</v>
      </c>
      <c r="AZ17" s="331" t="s">
        <v>734</v>
      </c>
      <c r="BA17" s="331" t="s">
        <v>735</v>
      </c>
      <c r="BB17" s="331" t="s">
        <v>565</v>
      </c>
      <c r="BC17" s="331" t="s">
        <v>604</v>
      </c>
      <c r="BE17" s="692" t="s">
        <v>646</v>
      </c>
      <c r="BF17" s="693"/>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3.9910714285714284</v>
      </c>
      <c r="D18" s="294" t="s">
        <v>414</v>
      </c>
      <c r="E18" s="387">
        <f>PLANTILLA!E19</f>
        <v>28</v>
      </c>
      <c r="F18" s="387">
        <f ca="1">PLANTILLA!F19</f>
        <v>113</v>
      </c>
      <c r="G18" s="388"/>
      <c r="H18" s="371">
        <v>3</v>
      </c>
      <c r="I18" s="308">
        <f>PLANTILLA!I19</f>
        <v>4</v>
      </c>
      <c r="J18" s="486">
        <f>PLANTILLA!X19</f>
        <v>0</v>
      </c>
      <c r="K18" s="486">
        <f>PLANTILLA!Y19</f>
        <v>5.6315555555555523</v>
      </c>
      <c r="L18" s="486">
        <f>PLANTILLA!Z19</f>
        <v>9.8523388888888874</v>
      </c>
      <c r="M18" s="486">
        <f>PLANTILLA!AA19</f>
        <v>7.0726666666666667</v>
      </c>
      <c r="N18" s="486">
        <f>PLANTILLA!AB19</f>
        <v>9.2666666666666639</v>
      </c>
      <c r="O18" s="486">
        <f>PLANTILLA!AC19</f>
        <v>3.5417777777777766</v>
      </c>
      <c r="P18" s="486">
        <f>PLANTILLA!AD19</f>
        <v>12.450000000000001</v>
      </c>
      <c r="Q18" s="411">
        <f t="shared" si="4"/>
        <v>28</v>
      </c>
      <c r="R18" s="412">
        <f t="shared" ca="1" si="5"/>
        <v>120</v>
      </c>
      <c r="S18" s="180"/>
      <c r="T18" s="180"/>
      <c r="U18" s="180"/>
      <c r="V18" s="180"/>
      <c r="W18" s="180"/>
      <c r="X18" s="180"/>
      <c r="Y18" s="180"/>
      <c r="Z18" s="180"/>
      <c r="AA18" s="296">
        <f t="shared" si="6"/>
        <v>4</v>
      </c>
      <c r="AB18" s="506">
        <f t="shared" si="20"/>
        <v>0</v>
      </c>
      <c r="AC18" s="506">
        <f>K18+(T$2/26)</f>
        <v>5.6315555555555523</v>
      </c>
      <c r="AD18" s="506">
        <f>L18+(U$2/55)</f>
        <v>9.8523388888888874</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4.5049999999999999</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4.5049999999999999</v>
      </c>
      <c r="BQ19" s="434">
        <f>BC5</f>
        <v>0</v>
      </c>
    </row>
    <row r="20" spans="1:69" s="246" customFormat="1" x14ac:dyDescent="0.25">
      <c r="A20" s="304" t="s">
        <v>582</v>
      </c>
      <c r="B20" s="260" t="s">
        <v>2</v>
      </c>
      <c r="C20" s="261">
        <f t="shared" ca="1" si="11"/>
        <v>2.8571428571428572</v>
      </c>
      <c r="D20" s="294" t="str">
        <f>PLANTILLA!D7</f>
        <v>B. Pinczehelyi</v>
      </c>
      <c r="E20" s="387">
        <f>PLANTILLA!E7</f>
        <v>30</v>
      </c>
      <c r="F20" s="395">
        <f ca="1">PLANTILLA!F7</f>
        <v>16</v>
      </c>
      <c r="G20" s="388" t="s">
        <v>502</v>
      </c>
      <c r="H20" s="371">
        <v>2</v>
      </c>
      <c r="I20" s="308">
        <f>PLANTILLA!I7</f>
        <v>14.1</v>
      </c>
      <c r="J20" s="486">
        <f>PLANTILLA!X7</f>
        <v>0</v>
      </c>
      <c r="K20" s="486">
        <f>PLANTILLA!Y7</f>
        <v>14.200000000000003</v>
      </c>
      <c r="L20" s="486">
        <f>PLANTILLA!Z7</f>
        <v>9.3093333333333348</v>
      </c>
      <c r="M20" s="486">
        <f>PLANTILLA!AA7</f>
        <v>14.291666666666663</v>
      </c>
      <c r="N20" s="486">
        <f>PLANTILLA!AB7</f>
        <v>9.4199999999999982</v>
      </c>
      <c r="O20" s="486">
        <f>PLANTILLA!AC7</f>
        <v>1.1428571428571428</v>
      </c>
      <c r="P20" s="486">
        <f>PLANTILLA!AD7</f>
        <v>9.4</v>
      </c>
      <c r="Q20" s="411">
        <f t="shared" si="4"/>
        <v>30</v>
      </c>
      <c r="R20" s="412">
        <f t="shared" ca="1" si="5"/>
        <v>23</v>
      </c>
      <c r="S20" s="180"/>
      <c r="T20" s="180"/>
      <c r="U20" s="180"/>
      <c r="V20" s="180"/>
      <c r="W20" s="180"/>
      <c r="X20" s="180"/>
      <c r="Y20" s="180"/>
      <c r="Z20" s="180"/>
      <c r="AA20" s="296">
        <f t="shared" si="6"/>
        <v>14.1</v>
      </c>
      <c r="AB20" s="506">
        <f t="shared" si="20"/>
        <v>0</v>
      </c>
      <c r="AC20" s="506">
        <f>K20+(T$2/20)</f>
        <v>14.200000000000003</v>
      </c>
      <c r="AD20" s="506">
        <f>L20+(U$2/50)</f>
        <v>9.3093333333333348</v>
      </c>
      <c r="AE20" s="506">
        <f>M20+(V$2/35)</f>
        <v>14.291666666666663</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3.5749999999999997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3.6806944444444447</v>
      </c>
      <c r="BQ20" s="434">
        <f>((AJ7)+(AM7)*2)/8</f>
        <v>0</v>
      </c>
    </row>
    <row r="21" spans="1:69" s="259" customFormat="1" x14ac:dyDescent="0.25">
      <c r="A21" s="384" t="s">
        <v>484</v>
      </c>
      <c r="B21" s="384" t="s">
        <v>66</v>
      </c>
      <c r="C21" s="385">
        <f t="shared" ca="1" si="11"/>
        <v>3.2142857142857144</v>
      </c>
      <c r="D21" s="386" t="s">
        <v>287</v>
      </c>
      <c r="E21" s="387">
        <f>PLANTILLA!E22</f>
        <v>29</v>
      </c>
      <c r="F21" s="387">
        <f ca="1">PLANTILLA!F22</f>
        <v>88</v>
      </c>
      <c r="G21" s="388" t="s">
        <v>296</v>
      </c>
      <c r="H21" s="371">
        <v>4</v>
      </c>
      <c r="I21" s="308">
        <f>PLANTILLA!I22</f>
        <v>10</v>
      </c>
      <c r="J21" s="486">
        <f>PLANTILLA!X22</f>
        <v>0</v>
      </c>
      <c r="K21" s="486">
        <f>PLANTILLA!Y22</f>
        <v>6.8176190476190497</v>
      </c>
      <c r="L21" s="486">
        <f>PLANTILLA!Z22</f>
        <v>8.5</v>
      </c>
      <c r="M21" s="486">
        <f>PLANTILLA!AA22</f>
        <v>8.7299999999999969</v>
      </c>
      <c r="N21" s="486">
        <f>PLANTILLA!AB22</f>
        <v>9.6900000000000013</v>
      </c>
      <c r="O21" s="486">
        <f>PLANTILLA!AC22</f>
        <v>8.5625000000000018</v>
      </c>
      <c r="P21" s="486">
        <f>PLANTILLA!AD22</f>
        <v>18.639999999999993</v>
      </c>
      <c r="Q21" s="411">
        <f t="shared" si="4"/>
        <v>29</v>
      </c>
      <c r="R21" s="412">
        <f t="shared" ca="1" si="5"/>
        <v>95</v>
      </c>
      <c r="S21" s="180"/>
      <c r="T21" s="180"/>
      <c r="U21" s="180"/>
      <c r="V21" s="180"/>
      <c r="W21" s="180"/>
      <c r="X21" s="180"/>
      <c r="Y21" s="180"/>
      <c r="Z21" s="180"/>
      <c r="AA21" s="296">
        <f t="shared" si="6"/>
        <v>10</v>
      </c>
      <c r="AB21" s="506">
        <f t="shared" si="20"/>
        <v>0</v>
      </c>
      <c r="AC21" s="506">
        <f>K21+(T$2/32)</f>
        <v>6.8176190476190497</v>
      </c>
      <c r="AD21" s="506">
        <f>L21+(U$2/7)</f>
        <v>8.5</v>
      </c>
      <c r="AE21" s="506">
        <f>M21+(V$2/25)</f>
        <v>8.7299999999999969</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4.5049999999999999</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3.9787499999999998</v>
      </c>
      <c r="BQ21" s="434">
        <f t="shared" si="41"/>
        <v>0</v>
      </c>
    </row>
    <row r="22" spans="1:69" s="254" customFormat="1" x14ac:dyDescent="0.25">
      <c r="A22" s="384" t="s">
        <v>495</v>
      </c>
      <c r="B22" s="384" t="s">
        <v>66</v>
      </c>
      <c r="C22" s="385">
        <f t="shared" ca="1" si="11"/>
        <v>2.5982142857142856</v>
      </c>
      <c r="D22" s="386" t="str">
        <f>PLANTILLA!D23</f>
        <v>L. Calosso</v>
      </c>
      <c r="E22" s="387">
        <f>PLANTILLA!E23</f>
        <v>30</v>
      </c>
      <c r="F22" s="387">
        <f ca="1">PLANTILLA!F23</f>
        <v>45</v>
      </c>
      <c r="G22" s="388"/>
      <c r="H22" s="371">
        <v>4</v>
      </c>
      <c r="I22" s="308">
        <f>PLANTILLA!I23</f>
        <v>10.199999999999999</v>
      </c>
      <c r="J22" s="486">
        <f>PLANTILLA!X23</f>
        <v>0</v>
      </c>
      <c r="K22" s="486">
        <f>PLANTILLA!Y23</f>
        <v>2</v>
      </c>
      <c r="L22" s="486">
        <f>PLANTILLA!Z23</f>
        <v>14.127609523809523</v>
      </c>
      <c r="M22" s="486">
        <f>PLANTILLA!AA23</f>
        <v>3.02</v>
      </c>
      <c r="N22" s="486">
        <f>PLANTILLA!AB23</f>
        <v>15.02</v>
      </c>
      <c r="O22" s="486">
        <f>PLANTILLA!AC23</f>
        <v>10</v>
      </c>
      <c r="P22" s="486">
        <f>PLANTILLA!AD23</f>
        <v>9.3000000000000007</v>
      </c>
      <c r="Q22" s="411">
        <f t="shared" si="4"/>
        <v>30</v>
      </c>
      <c r="R22" s="412">
        <f t="shared" ca="1" si="5"/>
        <v>52</v>
      </c>
      <c r="S22" s="180"/>
      <c r="T22" s="180"/>
      <c r="U22" s="180"/>
      <c r="V22" s="180"/>
      <c r="W22" s="180"/>
      <c r="X22" s="180"/>
      <c r="Y22" s="180"/>
      <c r="Z22" s="180"/>
      <c r="AA22" s="296">
        <f t="shared" si="6"/>
        <v>10.199999999999999</v>
      </c>
      <c r="AB22" s="506">
        <f t="shared" si="20"/>
        <v>0</v>
      </c>
      <c r="AC22" s="506">
        <f>K22+(T$2/21)</f>
        <v>2</v>
      </c>
      <c r="AD22" s="506">
        <f>L22+(U$2/21)</f>
        <v>14.127609523809523</v>
      </c>
      <c r="AE22" s="506">
        <f>M22+(V$2/22)</f>
        <v>3.02</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4.2825000000000006</v>
      </c>
      <c r="BQ22" s="433">
        <f t="shared" si="41"/>
        <v>0</v>
      </c>
    </row>
    <row r="23" spans="1:69" s="264" customFormat="1" x14ac:dyDescent="0.25">
      <c r="A23" s="384" t="s">
        <v>540</v>
      </c>
      <c r="B23" s="384" t="s">
        <v>66</v>
      </c>
      <c r="C23" s="261">
        <f t="shared" ca="1" si="11"/>
        <v>5.9375</v>
      </c>
      <c r="D23" s="294" t="s">
        <v>541</v>
      </c>
      <c r="E23" s="387">
        <f>PLANTILLA!E24</f>
        <v>27</v>
      </c>
      <c r="F23" s="387">
        <f ca="1">PLANTILLA!F24</f>
        <v>7</v>
      </c>
      <c r="G23" s="388"/>
      <c r="H23" s="396">
        <v>6</v>
      </c>
      <c r="I23" s="308">
        <f>PLANTILLA!I24</f>
        <v>5.3</v>
      </c>
      <c r="J23" s="486">
        <f>PLANTILLA!X24</f>
        <v>0</v>
      </c>
      <c r="K23" s="486">
        <f>PLANTILLA!Y24</f>
        <v>4</v>
      </c>
      <c r="L23" s="486">
        <f>PLANTILLA!Z24</f>
        <v>5.5438722222222205</v>
      </c>
      <c r="M23" s="486">
        <f>PLANTILLA!AA24</f>
        <v>5.4899999999999993</v>
      </c>
      <c r="N23" s="486">
        <f>PLANTILLA!AB24</f>
        <v>10.799999999999999</v>
      </c>
      <c r="O23" s="486">
        <f>PLANTILLA!AC24</f>
        <v>8.384500000000001</v>
      </c>
      <c r="P23" s="486">
        <f>PLANTILLA!AD24</f>
        <v>13.566666666666668</v>
      </c>
      <c r="Q23" s="411">
        <f t="shared" si="4"/>
        <v>27</v>
      </c>
      <c r="R23" s="412">
        <f t="shared" ca="1" si="5"/>
        <v>14</v>
      </c>
      <c r="S23" s="180"/>
      <c r="T23" s="180"/>
      <c r="U23" s="180"/>
      <c r="V23" s="180"/>
      <c r="W23" s="180"/>
      <c r="X23" s="180"/>
      <c r="Y23" s="180"/>
      <c r="Z23" s="180"/>
      <c r="AA23" s="296">
        <f t="shared" si="6"/>
        <v>5.3</v>
      </c>
      <c r="AB23" s="506">
        <f t="shared" si="20"/>
        <v>0</v>
      </c>
      <c r="AC23" s="506">
        <f>K23+(T$2/20)</f>
        <v>4</v>
      </c>
      <c r="AD23" s="506">
        <f>L23+(U$2/27)</f>
        <v>5.5438722222222205</v>
      </c>
      <c r="AE23" s="506">
        <f>M23+(V$2/21)</f>
        <v>5.4899999999999993</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4.5962499999999995</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4" t="s">
        <v>727</v>
      </c>
      <c r="B4" s="540" t="s">
        <v>680</v>
      </c>
      <c r="C4" s="583">
        <v>5.9340247552447711E-2</v>
      </c>
      <c r="D4" s="557">
        <v>6.8999559240759498E-2</v>
      </c>
      <c r="E4" s="557">
        <v>7.5579372027972075E-2</v>
      </c>
      <c r="F4" s="557"/>
      <c r="G4" s="557"/>
      <c r="H4" s="557"/>
      <c r="I4" s="557"/>
      <c r="J4" s="557">
        <v>0</v>
      </c>
      <c r="K4" s="557">
        <v>3.6222627372627408E-2</v>
      </c>
      <c r="L4" s="557"/>
      <c r="M4" s="9"/>
      <c r="N4" s="696"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4"/>
      <c r="B5" s="540" t="s">
        <v>679</v>
      </c>
      <c r="C5" s="578"/>
      <c r="D5" s="544"/>
      <c r="E5" s="544"/>
      <c r="F5" s="544">
        <v>5.254696863959811E-2</v>
      </c>
      <c r="G5" s="544"/>
      <c r="H5" s="544"/>
      <c r="I5" s="544"/>
      <c r="J5" s="544"/>
      <c r="K5" s="544"/>
      <c r="L5" s="544"/>
      <c r="M5" s="9"/>
      <c r="N5" s="696"/>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4"/>
      <c r="B6" s="540" t="s">
        <v>731</v>
      </c>
      <c r="C6" s="578"/>
      <c r="D6" s="544"/>
      <c r="E6" s="544"/>
      <c r="F6" s="544"/>
      <c r="G6" s="544">
        <v>3.9584999999999822E-2</v>
      </c>
      <c r="H6" s="544">
        <v>6.3542692307692147E-2</v>
      </c>
      <c r="I6" s="544">
        <v>0</v>
      </c>
      <c r="J6" s="544"/>
      <c r="K6" s="544"/>
      <c r="L6" s="544"/>
      <c r="M6" s="9"/>
      <c r="N6" s="696"/>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4"/>
      <c r="B7" s="540" t="s">
        <v>732</v>
      </c>
      <c r="C7" s="578"/>
      <c r="D7" s="544"/>
      <c r="E7" s="544"/>
      <c r="F7" s="544"/>
      <c r="G7" s="544">
        <v>3.3714285714285648E-2</v>
      </c>
      <c r="H7" s="544">
        <v>3.433928571428569E-2</v>
      </c>
      <c r="I7" s="544">
        <v>4.9198011904761828E-2</v>
      </c>
      <c r="J7" s="544"/>
      <c r="K7" s="544"/>
      <c r="L7" s="544"/>
      <c r="M7" s="9"/>
      <c r="N7" s="696"/>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4"/>
      <c r="B8" s="540" t="s">
        <v>698</v>
      </c>
      <c r="C8" s="578"/>
      <c r="D8" s="544"/>
      <c r="E8" s="544"/>
      <c r="F8" s="544"/>
      <c r="G8" s="544"/>
      <c r="H8" s="544"/>
      <c r="I8" s="544"/>
      <c r="J8" s="544"/>
      <c r="K8" s="544"/>
      <c r="L8" s="544"/>
      <c r="M8" s="9"/>
      <c r="N8" s="696"/>
      <c r="O8" s="584" t="s">
        <v>698</v>
      </c>
      <c r="P8" s="549"/>
      <c r="Q8" s="645"/>
      <c r="R8" s="536"/>
      <c r="S8" s="645"/>
      <c r="T8" s="536"/>
      <c r="U8" s="645"/>
      <c r="V8" s="536"/>
      <c r="W8" s="645"/>
      <c r="X8" s="549"/>
      <c r="Y8" s="645"/>
      <c r="Z8" s="536"/>
      <c r="AA8" s="645"/>
      <c r="AB8" s="536"/>
      <c r="AC8" s="645"/>
      <c r="AD8" s="549"/>
      <c r="AE8" s="647"/>
      <c r="AF8" s="549"/>
      <c r="AG8" s="647"/>
    </row>
    <row r="9" spans="1:33" x14ac:dyDescent="0.25">
      <c r="A9" s="694"/>
      <c r="B9" s="552" t="s">
        <v>0</v>
      </c>
      <c r="C9" s="579"/>
      <c r="D9" s="535"/>
      <c r="E9" s="535"/>
      <c r="F9" s="535"/>
      <c r="G9" s="535"/>
      <c r="H9" s="535"/>
      <c r="I9" s="535"/>
      <c r="J9" s="535"/>
      <c r="K9" s="535"/>
      <c r="L9" s="535"/>
      <c r="M9" s="9"/>
      <c r="N9" s="696"/>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5" t="s">
        <v>728</v>
      </c>
      <c r="B10" s="541" t="s">
        <v>680</v>
      </c>
      <c r="C10" s="583">
        <v>4.0980247552447779E-2</v>
      </c>
      <c r="D10" s="557">
        <v>7.0304873926074096E-2</v>
      </c>
      <c r="E10" s="557">
        <v>4.0579372027972196E-2</v>
      </c>
      <c r="F10" s="557"/>
      <c r="G10" s="557"/>
      <c r="H10" s="557"/>
      <c r="I10" s="557"/>
      <c r="J10" s="557">
        <v>0</v>
      </c>
      <c r="K10" s="557">
        <v>3.0871978021978067E-2</v>
      </c>
      <c r="L10" s="557"/>
      <c r="M10" s="9"/>
      <c r="N10" s="697"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4"/>
      <c r="B11" s="540" t="s">
        <v>679</v>
      </c>
      <c r="C11" s="578"/>
      <c r="D11" s="544"/>
      <c r="E11" s="544"/>
      <c r="F11" s="544">
        <v>5.1022557865187314E-2</v>
      </c>
      <c r="G11" s="544"/>
      <c r="H11" s="544"/>
      <c r="I11" s="544"/>
      <c r="J11" s="544"/>
      <c r="K11" s="544"/>
      <c r="L11" s="544"/>
      <c r="M11" s="9"/>
      <c r="N11" s="696"/>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4"/>
      <c r="B12" s="540" t="s">
        <v>731</v>
      </c>
      <c r="C12" s="578"/>
      <c r="D12" s="544"/>
      <c r="E12" s="544"/>
      <c r="F12" s="544"/>
      <c r="G12" s="544">
        <v>4.2215952380952187E-2</v>
      </c>
      <c r="H12" s="544">
        <v>6.617364468864452E-2</v>
      </c>
      <c r="I12" s="544">
        <v>0</v>
      </c>
      <c r="J12" s="544"/>
      <c r="K12" s="544"/>
      <c r="L12" s="544"/>
      <c r="M12" s="9"/>
      <c r="N12" s="696"/>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4"/>
      <c r="B13" s="540" t="s">
        <v>732</v>
      </c>
      <c r="C13" s="578"/>
      <c r="D13" s="544"/>
      <c r="E13" s="544"/>
      <c r="F13" s="544"/>
      <c r="G13" s="544">
        <v>3.8151785714285652E-2</v>
      </c>
      <c r="H13" s="544">
        <v>3.8776785714285687E-2</v>
      </c>
      <c r="I13" s="544">
        <v>5.7961761904761842E-2</v>
      </c>
      <c r="J13" s="544"/>
      <c r="K13" s="544"/>
      <c r="L13" s="544"/>
      <c r="M13" s="9"/>
      <c r="N13" s="696"/>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4"/>
      <c r="B14" s="540" t="s">
        <v>698</v>
      </c>
      <c r="C14" s="578"/>
      <c r="D14" s="544"/>
      <c r="E14" s="544"/>
      <c r="F14" s="544"/>
      <c r="G14" s="544"/>
      <c r="H14" s="544"/>
      <c r="I14" s="544"/>
      <c r="J14" s="544"/>
      <c r="K14" s="544"/>
      <c r="L14" s="544"/>
      <c r="M14" s="9"/>
      <c r="N14" s="696"/>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4"/>
      <c r="B15" s="552" t="s">
        <v>0</v>
      </c>
      <c r="C15" s="579"/>
      <c r="D15" s="535"/>
      <c r="E15" s="535"/>
      <c r="F15" s="535"/>
      <c r="G15" s="535"/>
      <c r="H15" s="535"/>
      <c r="I15" s="535"/>
      <c r="J15" s="535"/>
      <c r="K15" s="535"/>
      <c r="L15" s="535"/>
      <c r="M15" s="9"/>
      <c r="N15" s="696"/>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5"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7"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4"/>
      <c r="B17" s="540" t="s">
        <v>679</v>
      </c>
      <c r="C17" s="578"/>
      <c r="D17" s="544"/>
      <c r="E17" s="544"/>
      <c r="F17" s="544">
        <v>4.2273232055429683E-2</v>
      </c>
      <c r="G17" s="544"/>
      <c r="H17" s="544"/>
      <c r="I17" s="544"/>
      <c r="J17" s="544"/>
      <c r="K17" s="544"/>
      <c r="L17" s="544"/>
      <c r="M17" s="9"/>
      <c r="N17" s="696"/>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4"/>
      <c r="B18" s="540" t="s">
        <v>731</v>
      </c>
      <c r="C18" s="578"/>
      <c r="D18" s="544"/>
      <c r="E18" s="544"/>
      <c r="F18" s="544"/>
      <c r="G18" s="544">
        <v>5.2239892473118138E-2</v>
      </c>
      <c r="H18" s="544">
        <v>8.0176190476190248E-2</v>
      </c>
      <c r="I18" s="544">
        <v>0</v>
      </c>
      <c r="J18" s="544"/>
      <c r="K18" s="544"/>
      <c r="L18" s="544"/>
      <c r="M18" s="9"/>
      <c r="N18" s="696"/>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4"/>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6"/>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4"/>
      <c r="B20" s="540" t="s">
        <v>698</v>
      </c>
      <c r="C20" s="578"/>
      <c r="D20" s="544"/>
      <c r="E20" s="544"/>
      <c r="F20" s="544"/>
      <c r="G20" s="544"/>
      <c r="H20" s="544"/>
      <c r="I20" s="544"/>
      <c r="J20" s="544"/>
      <c r="K20" s="544"/>
      <c r="L20" s="544"/>
      <c r="M20" s="9"/>
      <c r="N20" s="696"/>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4"/>
      <c r="B21" s="552" t="s">
        <v>0</v>
      </c>
      <c r="C21" s="578"/>
      <c r="D21" s="544"/>
      <c r="E21" s="544"/>
      <c r="F21" s="544"/>
      <c r="G21" s="544"/>
      <c r="H21" s="544"/>
      <c r="I21" s="544"/>
      <c r="J21" s="544"/>
      <c r="K21" s="544"/>
      <c r="L21" s="544"/>
      <c r="M21" s="9"/>
      <c r="N21" s="696"/>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5"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7"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4"/>
      <c r="B23" s="556" t="s">
        <v>679</v>
      </c>
      <c r="C23" s="578"/>
      <c r="D23" s="544"/>
      <c r="E23" s="544"/>
      <c r="F23" s="544">
        <v>4.3797642829840472E-2</v>
      </c>
      <c r="G23" s="544"/>
      <c r="H23" s="544"/>
      <c r="I23" s="544"/>
      <c r="J23" s="544"/>
      <c r="K23" s="544"/>
      <c r="L23" s="544"/>
      <c r="M23" s="9"/>
      <c r="N23" s="696"/>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4"/>
      <c r="B24" s="556" t="s">
        <v>731</v>
      </c>
      <c r="C24" s="578"/>
      <c r="D24" s="544"/>
      <c r="E24" s="544"/>
      <c r="F24" s="544"/>
      <c r="G24" s="544">
        <v>4.8379892473118219E-2</v>
      </c>
      <c r="H24" s="544">
        <v>7.5159999999999741E-2</v>
      </c>
      <c r="I24" s="544">
        <v>0</v>
      </c>
      <c r="J24" s="544"/>
      <c r="K24" s="544"/>
      <c r="L24" s="544"/>
      <c r="M24" s="9"/>
      <c r="N24" s="696"/>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4"/>
      <c r="B25" s="556" t="s">
        <v>732</v>
      </c>
      <c r="C25" s="578"/>
      <c r="D25" s="544"/>
      <c r="E25" s="544"/>
      <c r="F25" s="544"/>
      <c r="G25" s="544">
        <v>2.3874999999999962E-2</v>
      </c>
      <c r="H25" s="544">
        <v>2.31875E-2</v>
      </c>
      <c r="I25" s="544">
        <v>2.7005333333333312E-2</v>
      </c>
      <c r="J25" s="544"/>
      <c r="K25" s="544"/>
      <c r="L25" s="544">
        <v>0.16964285714285698</v>
      </c>
      <c r="M25" s="655">
        <f>1/L25</f>
        <v>5.894736842105269</v>
      </c>
      <c r="N25" s="696"/>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4"/>
      <c r="B26" s="556" t="s">
        <v>698</v>
      </c>
      <c r="C26" s="578"/>
      <c r="D26" s="544"/>
      <c r="E26" s="544"/>
      <c r="F26" s="544"/>
      <c r="G26" s="544"/>
      <c r="H26" s="544"/>
      <c r="I26" s="544"/>
      <c r="J26" s="544"/>
      <c r="K26" s="544"/>
      <c r="L26" s="544"/>
      <c r="M26" s="9"/>
      <c r="N26" s="696"/>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4"/>
      <c r="B27" s="552" t="s">
        <v>0</v>
      </c>
      <c r="C27" s="579"/>
      <c r="D27" s="535"/>
      <c r="E27" s="535"/>
      <c r="F27" s="535"/>
      <c r="G27" s="535"/>
      <c r="H27" s="535"/>
      <c r="I27" s="535"/>
      <c r="J27" s="535"/>
      <c r="K27" s="535"/>
      <c r="L27" s="535"/>
      <c r="M27" s="9"/>
      <c r="N27" s="696"/>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11.832727272727276</v>
      </c>
      <c r="G3" s="265">
        <f>Evaluacion!M3</f>
        <v>2.0399999999999991</v>
      </c>
      <c r="H3" s="265">
        <f>Evaluacion!N3</f>
        <v>2.1399999999999992</v>
      </c>
      <c r="I3" s="265">
        <f>Evaluacion!O3</f>
        <v>1.0400000000000003</v>
      </c>
      <c r="J3" s="265">
        <f>Evaluacion!P3</f>
        <v>0.14055555555555557</v>
      </c>
      <c r="K3" s="265">
        <f>Evaluacion!Q3</f>
        <v>17.849999999999998</v>
      </c>
      <c r="M3" t="s">
        <v>1</v>
      </c>
      <c r="N3" s="596">
        <v>1</v>
      </c>
      <c r="O3" s="597">
        <f>Evaluacion!X3</f>
        <v>15.55277058842046</v>
      </c>
      <c r="P3" s="597">
        <f>Evaluacion!Y3</f>
        <v>22.918126477783918</v>
      </c>
      <c r="Q3" s="597">
        <f>Evaluacion!Z3</f>
        <v>15.55277058842046</v>
      </c>
      <c r="R3" s="597">
        <v>0</v>
      </c>
      <c r="S3" s="597">
        <v>0</v>
      </c>
      <c r="T3" s="597">
        <v>0</v>
      </c>
      <c r="U3" s="597">
        <v>0</v>
      </c>
      <c r="V3" s="597">
        <v>0</v>
      </c>
      <c r="W3" s="597">
        <f>Evaluacion!T3</f>
        <v>0.54252777777777772</v>
      </c>
      <c r="X3" s="597">
        <f>Evaluacion!U3</f>
        <v>1.008809090909091</v>
      </c>
      <c r="Y3" s="601"/>
    </row>
    <row r="4" spans="2:25" x14ac:dyDescent="0.25">
      <c r="B4" t="s">
        <v>804</v>
      </c>
      <c r="C4" t="str">
        <f>Evaluacion!A6</f>
        <v>E. Toney</v>
      </c>
      <c r="D4" s="636"/>
      <c r="E4" s="265">
        <f>Evaluacion!K6</f>
        <v>0</v>
      </c>
      <c r="F4" s="265">
        <f>Evaluacion!L6</f>
        <v>12.060000000000004</v>
      </c>
      <c r="G4" s="265">
        <f>Evaluacion!M6</f>
        <v>13.116555555555554</v>
      </c>
      <c r="H4" s="265">
        <f>Evaluacion!N6</f>
        <v>9.8200000000000056</v>
      </c>
      <c r="I4" s="265">
        <f>Evaluacion!O6</f>
        <v>9.6</v>
      </c>
      <c r="J4" s="265">
        <f>Evaluacion!P6</f>
        <v>3.6816666666666658</v>
      </c>
      <c r="K4" s="265">
        <f>Evaluacion!Q6</f>
        <v>16.627777777777773</v>
      </c>
      <c r="M4" t="s">
        <v>804</v>
      </c>
      <c r="N4" s="596">
        <v>1</v>
      </c>
      <c r="O4" s="597">
        <f>Evaluacion!AI6</f>
        <v>13.807801392294364</v>
      </c>
      <c r="P4" s="597">
        <f>Evaluacion!AJ6</f>
        <v>6.2135106265324627</v>
      </c>
      <c r="Q4" s="597">
        <v>0</v>
      </c>
      <c r="R4" s="597">
        <f>Evaluacion!AK6</f>
        <v>2.6828609000746879</v>
      </c>
      <c r="S4" s="597">
        <f>Evaluacion!AL6</f>
        <v>7.507866107249006</v>
      </c>
      <c r="T4" s="597">
        <v>0</v>
      </c>
      <c r="U4" s="597">
        <v>0</v>
      </c>
      <c r="V4" s="597">
        <f>Evaluacion!R6</f>
        <v>4.2825000000000006</v>
      </c>
      <c r="W4" s="597">
        <f>Evaluacion!T6</f>
        <v>0.68291666666666639</v>
      </c>
      <c r="X4" s="597">
        <f>Evaluacion!U6</f>
        <v>0.98123333333333329</v>
      </c>
    </row>
    <row r="5" spans="2:25" x14ac:dyDescent="0.25">
      <c r="B5" t="s">
        <v>805</v>
      </c>
      <c r="C5" t="str">
        <f>Evaluacion!A15</f>
        <v>E. Gross</v>
      </c>
      <c r="D5" s="636"/>
      <c r="E5" s="265">
        <f>Evaluacion!K15</f>
        <v>0</v>
      </c>
      <c r="F5" s="265">
        <f>Evaluacion!L15</f>
        <v>10.349999999999996</v>
      </c>
      <c r="G5" s="265">
        <f>Evaluacion!M15</f>
        <v>12.859777777777778</v>
      </c>
      <c r="H5" s="265">
        <f>Evaluacion!N15</f>
        <v>5.1299999999999981</v>
      </c>
      <c r="I5" s="265">
        <f>Evaluacion!O15</f>
        <v>9.24</v>
      </c>
      <c r="J5" s="265">
        <f>Evaluacion!P15</f>
        <v>2.98</v>
      </c>
      <c r="K5" s="265">
        <f>Evaluacion!Q15</f>
        <v>16.959999999999997</v>
      </c>
      <c r="M5" t="s">
        <v>805</v>
      </c>
      <c r="N5" s="596">
        <v>1</v>
      </c>
      <c r="O5" s="597">
        <f>(Evaluacion!AA15+Evaluacion!AC15)/2</f>
        <v>5.0808153584376825</v>
      </c>
      <c r="P5" s="597">
        <f>Evaluacion!AB15</f>
        <v>13.12872185642812</v>
      </c>
      <c r="Q5" s="597">
        <f>O5</f>
        <v>5.0808153584376825</v>
      </c>
      <c r="R5" s="597">
        <f>Evaluacion!AD15</f>
        <v>3.7219629129410046</v>
      </c>
      <c r="S5" s="597">
        <v>0</v>
      </c>
      <c r="T5" s="597">
        <v>0</v>
      </c>
      <c r="U5" s="597">
        <v>0</v>
      </c>
      <c r="V5" s="597">
        <f>Evaluacion!R15</f>
        <v>3.9787499999999998</v>
      </c>
      <c r="W5" s="597">
        <f>Evaluacion!T15</f>
        <v>0.65779999999999994</v>
      </c>
      <c r="X5" s="597">
        <f>Evaluacion!U15</f>
        <v>0.92279999999999984</v>
      </c>
    </row>
    <row r="6" spans="2:25" x14ac:dyDescent="0.25">
      <c r="B6" t="s">
        <v>804</v>
      </c>
      <c r="C6" t="str">
        <f>Evaluacion!A9</f>
        <v>B. Pinczehelyi</v>
      </c>
      <c r="D6" s="636" t="str">
        <f>Evaluacion!D9</f>
        <v>CAB</v>
      </c>
      <c r="E6" s="265">
        <f>Evaluacion!K9</f>
        <v>0</v>
      </c>
      <c r="F6" s="265">
        <f>Evaluacion!L9</f>
        <v>14.200000000000003</v>
      </c>
      <c r="G6" s="265">
        <f>Evaluacion!M9</f>
        <v>9.3093333333333348</v>
      </c>
      <c r="H6" s="265">
        <f>Evaluacion!N9</f>
        <v>14.291666666666663</v>
      </c>
      <c r="I6" s="265">
        <f>Evaluacion!O9</f>
        <v>9.4199999999999982</v>
      </c>
      <c r="J6" s="265">
        <f>Evaluacion!P9</f>
        <v>1.1428571428571428</v>
      </c>
      <c r="K6" s="265">
        <f>Evaluacion!Q9</f>
        <v>9.4</v>
      </c>
      <c r="M6" t="s">
        <v>804</v>
      </c>
      <c r="N6" s="596">
        <v>1</v>
      </c>
      <c r="O6" s="597">
        <v>0</v>
      </c>
      <c r="P6" s="597">
        <f>Evaluacion!AJ9</f>
        <v>6.9271689501857701</v>
      </c>
      <c r="Q6" s="597">
        <f>Evaluacion!AI9</f>
        <v>15.393708778190602</v>
      </c>
      <c r="R6" s="597">
        <f>Evaluacion!AK9</f>
        <v>1.977551455751265</v>
      </c>
      <c r="S6" s="597">
        <v>0</v>
      </c>
      <c r="T6" s="597">
        <f>0</f>
        <v>0</v>
      </c>
      <c r="U6" s="597">
        <f>Evaluacion!AL9</f>
        <v>9.8924877843218155</v>
      </c>
      <c r="V6" s="597">
        <f>Evaluacion!R9</f>
        <v>4.5049999999999999</v>
      </c>
      <c r="W6" s="597">
        <f>Evaluacion!T9</f>
        <v>0.33914285714285713</v>
      </c>
      <c r="X6" s="597">
        <f>Evaluacion!U9</f>
        <v>0.8500000000000002</v>
      </c>
    </row>
    <row r="7" spans="2:25" x14ac:dyDescent="0.25">
      <c r="B7" t="s">
        <v>503</v>
      </c>
      <c r="C7" t="str">
        <f>Evaluacion!A13</f>
        <v>S. Buschelman</v>
      </c>
      <c r="D7" s="636" t="str">
        <f>Evaluacion!D13</f>
        <v>TEC</v>
      </c>
      <c r="E7" s="265">
        <f>Evaluacion!K13</f>
        <v>0</v>
      </c>
      <c r="F7" s="265">
        <f>Evaluacion!L13</f>
        <v>9.1936666666666653</v>
      </c>
      <c r="G7" s="265">
        <f>Evaluacion!M13</f>
        <v>13.679999999999998</v>
      </c>
      <c r="H7" s="265">
        <f>Evaluacion!N13</f>
        <v>12.835000000000001</v>
      </c>
      <c r="I7" s="265">
        <f>Evaluacion!O13</f>
        <v>9.6733333333333356</v>
      </c>
      <c r="J7" s="265">
        <f>Evaluacion!P13</f>
        <v>5.0296666666666656</v>
      </c>
      <c r="K7" s="265">
        <f>Evaluacion!Q13</f>
        <v>15.2</v>
      </c>
      <c r="M7" t="s">
        <v>503</v>
      </c>
      <c r="N7" s="596">
        <v>0.82499999999999996</v>
      </c>
      <c r="O7" s="597">
        <f>Evaluacion!BE13*N7</f>
        <v>2.8928343969095391</v>
      </c>
      <c r="P7" s="597">
        <f>Evaluacion!BF13*N7</f>
        <v>3.459472062283572</v>
      </c>
      <c r="Q7" s="597">
        <v>0</v>
      </c>
      <c r="R7" s="597">
        <f>Evaluacion!BG13*N7</f>
        <v>12.018810509114445</v>
      </c>
      <c r="S7" s="597">
        <f>Evaluacion!BH13*N7</f>
        <v>10.686566152500278</v>
      </c>
      <c r="T7" s="597">
        <f>Evaluacion!BI13*N7</f>
        <v>2.4911535382481067</v>
      </c>
      <c r="U7" s="597">
        <v>0</v>
      </c>
      <c r="V7" s="597">
        <v>0</v>
      </c>
      <c r="W7" s="597">
        <f>Evaluacion!T13*N7</f>
        <v>0.58367374999999988</v>
      </c>
      <c r="X7" s="597">
        <f>Evaluacion!U13*N7</f>
        <v>0.67959099999999995</v>
      </c>
    </row>
    <row r="8" spans="2:25" x14ac:dyDescent="0.25">
      <c r="B8" t="s">
        <v>806</v>
      </c>
      <c r="C8" t="str">
        <f>Evaluacion!A16</f>
        <v>L. Bauman</v>
      </c>
      <c r="D8" s="636"/>
      <c r="E8" s="265">
        <f>Evaluacion!K16</f>
        <v>0</v>
      </c>
      <c r="F8" s="265">
        <f>Evaluacion!L16</f>
        <v>5.2811111111111115</v>
      </c>
      <c r="G8" s="265">
        <f>Evaluacion!M16</f>
        <v>14.283789947089938</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0.9346640890686535</v>
      </c>
      <c r="P8" s="597">
        <f>Evaluacion!AY16*N8</f>
        <v>2.6375000749732727</v>
      </c>
      <c r="Q8" s="597">
        <f>O8</f>
        <v>0.9346640890686535</v>
      </c>
      <c r="R8" s="597">
        <f>Evaluacion!BA16*N8</f>
        <v>14.020960227115712</v>
      </c>
      <c r="S8" s="597">
        <f>((Evaluacion!BB16+Evaluacion!BD16)/2)*N8</f>
        <v>1.8552490355654465</v>
      </c>
      <c r="T8" s="597">
        <f>Evaluacion!BC16*N8</f>
        <v>5.0913805199423514</v>
      </c>
      <c r="U8" s="597">
        <f>S8</f>
        <v>1.8552490355654465</v>
      </c>
      <c r="V8" s="597">
        <v>0</v>
      </c>
      <c r="W8" s="597">
        <f>Evaluacion!T16*N8</f>
        <v>0.70429791666666663</v>
      </c>
      <c r="X8" s="597">
        <f>Evaluacion!U16*N8</f>
        <v>0.57200916666666657</v>
      </c>
    </row>
    <row r="9" spans="2:25" x14ac:dyDescent="0.25">
      <c r="B9" t="s">
        <v>503</v>
      </c>
      <c r="C9" t="str">
        <f>Evaluacion!A14</f>
        <v>C. Rojas</v>
      </c>
      <c r="D9" s="636" t="str">
        <f>Evaluacion!D14</f>
        <v>TEC</v>
      </c>
      <c r="E9" s="265">
        <f>Evaluacion!K14</f>
        <v>0</v>
      </c>
      <c r="F9" s="265">
        <f>Evaluacion!L14</f>
        <v>8.6075555555555585</v>
      </c>
      <c r="G9" s="265">
        <f>Evaluacion!M14</f>
        <v>14.190398412698405</v>
      </c>
      <c r="H9" s="265">
        <f>Evaluacion!N14</f>
        <v>9.99</v>
      </c>
      <c r="I9" s="265">
        <f>Evaluacion!O14</f>
        <v>10.09</v>
      </c>
      <c r="J9" s="265">
        <f>Evaluacion!P14</f>
        <v>4.3999999999999995</v>
      </c>
      <c r="K9" s="265">
        <f>Evaluacion!Q14</f>
        <v>16.544444444444441</v>
      </c>
      <c r="M9" t="s">
        <v>503</v>
      </c>
      <c r="N9" s="596">
        <v>0.82499999999999996</v>
      </c>
      <c r="O9" s="597">
        <v>0</v>
      </c>
      <c r="P9" s="597">
        <f>Evaluacion!BF14*N9</f>
        <v>3.3005243198785688</v>
      </c>
      <c r="Q9" s="597">
        <f>Evaluacion!BE14*N9</f>
        <v>2.7599211985191485</v>
      </c>
      <c r="R9" s="597">
        <f>Evaluacion!BG14*N9</f>
        <v>12.413387477496354</v>
      </c>
      <c r="S9" s="597">
        <v>0</v>
      </c>
      <c r="T9" s="597">
        <f>Evaluacion!BI14*N9</f>
        <v>2.5804549508354451</v>
      </c>
      <c r="U9" s="597">
        <f>Evaluacion!BH14*N9</f>
        <v>9.4714186568162262</v>
      </c>
      <c r="V9" s="597">
        <v>0</v>
      </c>
      <c r="W9" s="597">
        <f>Evaluacion!T14*N9</f>
        <v>0.59097499999999992</v>
      </c>
      <c r="X9" s="597">
        <f>Evaluacion!U14*N9</f>
        <v>0.69352433333333341</v>
      </c>
    </row>
    <row r="10" spans="2:25" x14ac:dyDescent="0.25">
      <c r="B10" t="s">
        <v>807</v>
      </c>
      <c r="C10" t="str">
        <f>Evaluacion!A10</f>
        <v>E. Romweber</v>
      </c>
      <c r="D10" s="636" t="str">
        <f>Evaluacion!D10</f>
        <v>IMP</v>
      </c>
      <c r="E10" s="265">
        <f>Evaluacion!K10</f>
        <v>0</v>
      </c>
      <c r="F10" s="265">
        <f>Evaluacion!L10</f>
        <v>11.95</v>
      </c>
      <c r="G10" s="265">
        <f>Evaluacion!M10</f>
        <v>12.489111111111114</v>
      </c>
      <c r="H10" s="265">
        <f>Evaluacion!N10</f>
        <v>13.133333333333335</v>
      </c>
      <c r="I10" s="265">
        <f>Evaluacion!O10</f>
        <v>10.91</v>
      </c>
      <c r="J10" s="265">
        <f>Evaluacion!P10</f>
        <v>7.7700000000000005</v>
      </c>
      <c r="K10" s="265">
        <f>Evaluacion!Q10</f>
        <v>17.13</v>
      </c>
      <c r="M10" t="s">
        <v>807</v>
      </c>
      <c r="N10" s="596">
        <v>1</v>
      </c>
      <c r="O10" s="597">
        <f>Evaluacion!BT10</f>
        <v>4.2325107355317177</v>
      </c>
      <c r="P10" s="597">
        <f>Evaluacion!BU10</f>
        <v>3.6363824629216173</v>
      </c>
      <c r="Q10" s="597">
        <v>0</v>
      </c>
      <c r="R10" s="597">
        <f>Evaluacion!BV10</f>
        <v>7.0262546564954587</v>
      </c>
      <c r="S10" s="597">
        <f>Evaluacion!BW10</f>
        <v>17.281393151299806</v>
      </c>
      <c r="T10" s="597">
        <f>Evaluacion!BX10</f>
        <v>1.6774480246455561</v>
      </c>
      <c r="U10" s="597">
        <v>0</v>
      </c>
      <c r="V10" s="597">
        <v>0</v>
      </c>
      <c r="W10" s="597">
        <f>Evaluacion!T10*N10</f>
        <v>0.90239999999999987</v>
      </c>
      <c r="X10" s="597">
        <f>Evaluacion!U10*N10</f>
        <v>0.9919</v>
      </c>
    </row>
    <row r="11" spans="2:25" x14ac:dyDescent="0.25">
      <c r="B11" t="s">
        <v>807</v>
      </c>
      <c r="C11" t="str">
        <f>Evaluacion!A11</f>
        <v>K. Helms</v>
      </c>
      <c r="D11" s="636" t="str">
        <f>Evaluacion!D11</f>
        <v>TEC</v>
      </c>
      <c r="E11" s="265">
        <f>Evaluacion!K11</f>
        <v>0</v>
      </c>
      <c r="F11" s="265">
        <f>Evaluacion!L11</f>
        <v>7.11</v>
      </c>
      <c r="G11" s="265">
        <f>Evaluacion!M11</f>
        <v>10.450000000000003</v>
      </c>
      <c r="H11" s="265">
        <f>Evaluacion!N11</f>
        <v>13.388333333333334</v>
      </c>
      <c r="I11" s="265">
        <f>Evaluacion!O11</f>
        <v>10.359999999999998</v>
      </c>
      <c r="J11" s="265">
        <f>Evaluacion!P11</f>
        <v>5.4050000000000002</v>
      </c>
      <c r="K11" s="265">
        <f>Evaluacion!Q11</f>
        <v>17.300000000000004</v>
      </c>
      <c r="M11" t="s">
        <v>807</v>
      </c>
      <c r="N11" s="596">
        <v>1</v>
      </c>
      <c r="O11" s="597">
        <v>0</v>
      </c>
      <c r="P11" s="597">
        <f>Evaluacion!BU11</f>
        <v>2.4303497104374157</v>
      </c>
      <c r="Q11" s="597">
        <f>Evaluacion!BT11</f>
        <v>2.8287676957550247</v>
      </c>
      <c r="R11" s="597">
        <f>Evaluacion!BV11</f>
        <v>6.0517045829878056</v>
      </c>
      <c r="S11" s="597">
        <v>0</v>
      </c>
      <c r="T11" s="597">
        <f>Evaluacion!BX11</f>
        <v>1.5984644055857675</v>
      </c>
      <c r="U11" s="597">
        <f>Evaluacion!BW11</f>
        <v>17.253658193297774</v>
      </c>
      <c r="V11" s="597">
        <v>0</v>
      </c>
      <c r="W11" s="597">
        <f>Evaluacion!T11*N11</f>
        <v>0.78925000000000023</v>
      </c>
      <c r="X11" s="597">
        <f>Evaluacion!U11*N11</f>
        <v>0.80340000000000023</v>
      </c>
    </row>
    <row r="12" spans="2:25" x14ac:dyDescent="0.25">
      <c r="B12" t="s">
        <v>66</v>
      </c>
      <c r="C12" t="str">
        <f>Evaluacion!A19</f>
        <v>J. Limon</v>
      </c>
      <c r="D12" s="636" t="str">
        <f>Evaluacion!D19</f>
        <v>RAP</v>
      </c>
      <c r="E12" s="265">
        <f>Evaluacion!K19</f>
        <v>0</v>
      </c>
      <c r="F12" s="265">
        <f>Evaluacion!L19</f>
        <v>6.8176190476190497</v>
      </c>
      <c r="G12" s="265">
        <f>Evaluacion!M19</f>
        <v>8.5</v>
      </c>
      <c r="H12" s="265">
        <f>Evaluacion!N19</f>
        <v>8.7299999999999969</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2.6775000000000002</v>
      </c>
      <c r="S12" s="597">
        <f>N12*Evaluacion!CH19</f>
        <v>6.7725566999999991</v>
      </c>
      <c r="T12" s="597">
        <f>N12*Evaluacion!CI19</f>
        <v>15.136011450000003</v>
      </c>
      <c r="U12" s="597">
        <f>S12</f>
        <v>6.7725566999999991</v>
      </c>
      <c r="V12" s="597">
        <v>0</v>
      </c>
      <c r="W12" s="597">
        <f>Evaluacion!T19*N12</f>
        <v>0.93302212499999981</v>
      </c>
      <c r="X12" s="597">
        <f>Evaluacion!U19*N12</f>
        <v>0.7861499999999999</v>
      </c>
    </row>
    <row r="13" spans="2:25" x14ac:dyDescent="0.25">
      <c r="B13" t="s">
        <v>602</v>
      </c>
      <c r="C13" t="str">
        <f>Evaluacion!A20</f>
        <v>L. Calosso</v>
      </c>
      <c r="D13" s="636" t="str">
        <f>Evaluacion!D20</f>
        <v>TEC</v>
      </c>
      <c r="E13" s="265">
        <f>Evaluacion!K20</f>
        <v>0</v>
      </c>
      <c r="F13" s="265">
        <f>Evaluacion!L20</f>
        <v>2</v>
      </c>
      <c r="G13" s="265">
        <f>Evaluacion!M20</f>
        <v>14.127609523809523</v>
      </c>
      <c r="H13" s="265">
        <f>Evaluacion!N20</f>
        <v>3.02</v>
      </c>
      <c r="I13" s="265">
        <f>Evaluacion!O20</f>
        <v>15.02</v>
      </c>
      <c r="J13" s="265">
        <f>Evaluacion!P20</f>
        <v>10</v>
      </c>
      <c r="K13" s="265">
        <f>Evaluacion!Q20</f>
        <v>9.3000000000000007</v>
      </c>
      <c r="M13" t="s">
        <v>602</v>
      </c>
      <c r="N13" s="596">
        <f>1-0.055</f>
        <v>0.94499999999999995</v>
      </c>
      <c r="O13" s="597">
        <v>0</v>
      </c>
      <c r="P13" s="597">
        <v>0</v>
      </c>
      <c r="Q13" s="597">
        <v>0</v>
      </c>
      <c r="R13" s="597">
        <f>N13*Evaluacion!CD20</f>
        <v>6.5118044498665268</v>
      </c>
      <c r="S13" s="597">
        <f>N13*Evaluacion!CE20</f>
        <v>7.8427486660684291</v>
      </c>
      <c r="T13" s="597">
        <f>N13*Evaluacion!CF20</f>
        <v>16.243704279688938</v>
      </c>
      <c r="U13" s="597">
        <f>S13</f>
        <v>7.8427486660684291</v>
      </c>
      <c r="V13" s="597">
        <v>0</v>
      </c>
      <c r="W13" s="597">
        <f>Evaluacion!T20*N13</f>
        <v>0.736155</v>
      </c>
      <c r="X13" s="597">
        <f>Evaluacion!U20*N13</f>
        <v>0.33925499999999997</v>
      </c>
    </row>
    <row r="14" spans="2:25" x14ac:dyDescent="0.25">
      <c r="M14" s="263"/>
      <c r="N14" s="444"/>
      <c r="O14" s="598">
        <f>SUM(O3:O13)</f>
        <v>42.501396560662421</v>
      </c>
      <c r="P14" s="598">
        <f t="shared" ref="P14:X14" si="0">SUM(P3:P13)</f>
        <v>64.651756541424717</v>
      </c>
      <c r="Q14" s="598">
        <f t="shared" si="0"/>
        <v>42.550647708391573</v>
      </c>
      <c r="R14" s="598">
        <f t="shared" si="0"/>
        <v>69.102797171843264</v>
      </c>
      <c r="S14" s="598">
        <f t="shared" si="0"/>
        <v>51.946379812682963</v>
      </c>
      <c r="T14" s="598">
        <f t="shared" si="0"/>
        <v>44.818617168946169</v>
      </c>
      <c r="U14" s="598">
        <f t="shared" si="0"/>
        <v>53.088119036069685</v>
      </c>
      <c r="V14" s="654">
        <f t="shared" si="0"/>
        <v>12.766249999999999</v>
      </c>
      <c r="W14" s="654">
        <f t="shared" si="0"/>
        <v>7.4621610932539681</v>
      </c>
      <c r="X14" s="654">
        <f t="shared" si="0"/>
        <v>8.6286719242424237</v>
      </c>
    </row>
    <row r="15" spans="2:25" ht="15.75" x14ac:dyDescent="0.25">
      <c r="M15" s="263"/>
      <c r="N15" s="263" t="s">
        <v>812</v>
      </c>
      <c r="O15" s="600">
        <f>O14*0.34</f>
        <v>14.450474830625224</v>
      </c>
      <c r="P15" s="600">
        <f>P14*0.245</f>
        <v>15.839680352649056</v>
      </c>
      <c r="Q15" s="600">
        <f>Q14*0.34</f>
        <v>14.467220220853136</v>
      </c>
      <c r="R15" s="600">
        <f>R14*0.125</f>
        <v>8.637849646480408</v>
      </c>
      <c r="S15" s="600">
        <f>S14*0.25</f>
        <v>12.986594953170741</v>
      </c>
      <c r="T15" s="600">
        <f>T14*0.19</f>
        <v>8.5155372620997714</v>
      </c>
      <c r="U15" s="600">
        <f>U14*0.25</f>
        <v>13.272029759017421</v>
      </c>
    </row>
    <row r="16" spans="2:25" ht="15.75" x14ac:dyDescent="0.25">
      <c r="M16" s="263"/>
      <c r="N16" s="263" t="s">
        <v>813</v>
      </c>
      <c r="O16" s="610">
        <f>O15*1.2/1.05</f>
        <v>16.514828377857395</v>
      </c>
      <c r="P16" s="610">
        <f t="shared" ref="P16:Q16" si="1">P15*1.2/1.05</f>
        <v>18.102491831598918</v>
      </c>
      <c r="Q16" s="610">
        <f t="shared" si="1"/>
        <v>16.533965966689294</v>
      </c>
      <c r="R16" s="610">
        <f>R15</f>
        <v>8.637849646480408</v>
      </c>
      <c r="S16" s="610">
        <f>S15*0.925/1.05</f>
        <v>11.440571744459939</v>
      </c>
      <c r="T16" s="610">
        <f t="shared" ref="T16:U16" si="2">T15*0.925/1.05</f>
        <v>7.5017828261355124</v>
      </c>
      <c r="U16" s="610">
        <f t="shared" si="2"/>
        <v>11.692026216277252</v>
      </c>
    </row>
    <row r="17" spans="13:21" ht="15.75" x14ac:dyDescent="0.25">
      <c r="M17" s="263"/>
      <c r="N17" s="263" t="s">
        <v>814</v>
      </c>
      <c r="O17" s="610">
        <f>O15*0.925/1.05</f>
        <v>12.730180207931745</v>
      </c>
      <c r="P17" s="610">
        <f t="shared" ref="P17:Q17" si="3">P15*0.925/1.05</f>
        <v>13.954004120190834</v>
      </c>
      <c r="Q17" s="610">
        <f t="shared" si="3"/>
        <v>12.744932099323</v>
      </c>
      <c r="R17" s="610">
        <f>R16</f>
        <v>8.637849646480408</v>
      </c>
      <c r="S17" s="610">
        <f>S15*1.135/1.05</f>
        <v>14.037890735094086</v>
      </c>
      <c r="T17" s="610">
        <f t="shared" ref="T17:U17" si="4">T15*1.135/1.05</f>
        <v>9.2048902785554656</v>
      </c>
      <c r="U17" s="610">
        <f t="shared" si="4"/>
        <v>14.346432168080737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11.832727272727276</v>
      </c>
      <c r="F2" s="265">
        <f>Evaluacion!M3</f>
        <v>2.0399999999999991</v>
      </c>
      <c r="G2" s="265">
        <f>Evaluacion!N3</f>
        <v>2.1399999999999992</v>
      </c>
      <c r="H2" s="265">
        <f>Evaluacion!O3</f>
        <v>1.0400000000000003</v>
      </c>
      <c r="I2" s="265">
        <f>Evaluacion!P3</f>
        <v>0.14055555555555557</v>
      </c>
      <c r="J2" s="265">
        <f>Evaluacion!Q3</f>
        <v>17.849999999999998</v>
      </c>
      <c r="L2" t="str">
        <f>A2</f>
        <v>POR</v>
      </c>
      <c r="M2" s="596">
        <v>1</v>
      </c>
      <c r="N2" s="597">
        <f>Evaluacion!X3</f>
        <v>15.55277058842046</v>
      </c>
      <c r="O2" s="597">
        <f>Evaluacion!Y3</f>
        <v>22.918126477783918</v>
      </c>
      <c r="P2" s="597">
        <f>Evaluacion!Z3</f>
        <v>15.55277058842046</v>
      </c>
      <c r="Q2" s="597">
        <v>0</v>
      </c>
      <c r="R2" s="597">
        <v>0</v>
      </c>
      <c r="S2" s="597">
        <v>0</v>
      </c>
      <c r="T2" s="597">
        <v>0</v>
      </c>
      <c r="U2" s="597">
        <v>0</v>
      </c>
      <c r="V2" s="597">
        <f>Evaluacion!T3</f>
        <v>0.54252777777777772</v>
      </c>
      <c r="W2" s="597">
        <f>Evaluacion!U3</f>
        <v>1.008809090909091</v>
      </c>
      <c r="AA2" s="602"/>
    </row>
    <row r="3" spans="1:27" x14ac:dyDescent="0.25">
      <c r="A3" t="s">
        <v>804</v>
      </c>
      <c r="B3" t="str">
        <f>Evaluacion!A9</f>
        <v>B. Pinczehelyi</v>
      </c>
      <c r="C3" t="str">
        <f>Evaluacion!D9</f>
        <v>CAB</v>
      </c>
      <c r="D3" s="265">
        <f>Evaluacion!K9</f>
        <v>0</v>
      </c>
      <c r="E3" s="265">
        <f>Evaluacion!L9</f>
        <v>14.200000000000003</v>
      </c>
      <c r="F3" s="265">
        <f>Evaluacion!M9</f>
        <v>9.3093333333333348</v>
      </c>
      <c r="G3" s="265">
        <f>Evaluacion!N9</f>
        <v>14.291666666666663</v>
      </c>
      <c r="H3" s="265">
        <f>Evaluacion!O9</f>
        <v>9.4199999999999982</v>
      </c>
      <c r="I3" s="265">
        <f>Evaluacion!P9</f>
        <v>1.1428571428571428</v>
      </c>
      <c r="J3" s="265">
        <f>Evaluacion!Q9</f>
        <v>9.4</v>
      </c>
      <c r="L3" t="str">
        <f t="shared" ref="L3:L12" si="0">A3</f>
        <v>LATN</v>
      </c>
      <c r="M3" s="596">
        <v>1</v>
      </c>
      <c r="N3" s="597">
        <f>Evaluacion!AI9</f>
        <v>15.393708778190602</v>
      </c>
      <c r="O3" s="597">
        <f>Evaluacion!AJ9</f>
        <v>6.9271689501857701</v>
      </c>
      <c r="P3" s="597">
        <v>0</v>
      </c>
      <c r="Q3" s="597">
        <f>Evaluacion!AK9</f>
        <v>1.977551455751265</v>
      </c>
      <c r="R3" s="597">
        <f>Evaluacion!AL9</f>
        <v>9.8924877843218155</v>
      </c>
      <c r="S3" s="597">
        <v>0</v>
      </c>
      <c r="T3" s="597">
        <v>0</v>
      </c>
      <c r="U3" s="597">
        <f>Evaluacion!R9</f>
        <v>4.5049999999999999</v>
      </c>
      <c r="V3" s="597">
        <f>Evaluacion!T9</f>
        <v>0.33914285714285713</v>
      </c>
      <c r="W3" s="597">
        <f>Evaluacion!U9</f>
        <v>0.8500000000000002</v>
      </c>
      <c r="AA3" s="603"/>
    </row>
    <row r="4" spans="1:27" x14ac:dyDescent="0.25">
      <c r="A4" t="s">
        <v>816</v>
      </c>
      <c r="B4" t="str">
        <f>Evaluacion!A7</f>
        <v>B. Bartolache</v>
      </c>
      <c r="C4">
        <f>Evaluacion!D7</f>
        <v>0</v>
      </c>
      <c r="D4" s="265">
        <f>Evaluacion!K7</f>
        <v>0</v>
      </c>
      <c r="E4" s="265">
        <f>Evaluacion!L7</f>
        <v>11.649999999999997</v>
      </c>
      <c r="F4" s="265">
        <f>Evaluacion!M7</f>
        <v>6.700000000000002</v>
      </c>
      <c r="G4" s="265">
        <f>Evaluacion!N7</f>
        <v>7.4300000000000015</v>
      </c>
      <c r="H4" s="265">
        <f>Evaluacion!O7</f>
        <v>9.0199999999999978</v>
      </c>
      <c r="I4" s="265">
        <f>Evaluacion!P7</f>
        <v>4.6199999999999966</v>
      </c>
      <c r="J4" s="265">
        <f>Evaluacion!Q7</f>
        <v>15.6</v>
      </c>
      <c r="L4" t="str">
        <f t="shared" si="0"/>
        <v>DCHL</v>
      </c>
      <c r="M4" s="596">
        <v>0.9</v>
      </c>
      <c r="N4" s="597">
        <f>M4*Evaluacion!AM7</f>
        <v>9.7998733718515982</v>
      </c>
      <c r="O4" s="597">
        <f>M4*Evaluacion!AN7</f>
        <v>9.2020031130914219</v>
      </c>
      <c r="P4" s="597">
        <v>0</v>
      </c>
      <c r="Q4" s="597">
        <f>M4*Evaluacion!AO7</f>
        <v>2.764213982890209</v>
      </c>
      <c r="R4" s="597">
        <f>M4*Evaluacion!AP7</f>
        <v>1.7826637070202398</v>
      </c>
      <c r="S4" s="597">
        <v>0</v>
      </c>
      <c r="T4" s="597">
        <v>0</v>
      </c>
      <c r="U4" s="597">
        <f>Evaluacion!R7</f>
        <v>4.0862499999999988</v>
      </c>
      <c r="V4" s="597">
        <f>Evaluacion!T7*M4</f>
        <v>0.62909999999999988</v>
      </c>
      <c r="W4" s="597">
        <f>Evaluacion!U7*M4</f>
        <v>0.84060000000000001</v>
      </c>
      <c r="AA4" s="603"/>
    </row>
    <row r="5" spans="1:27" x14ac:dyDescent="0.25">
      <c r="A5" t="s">
        <v>815</v>
      </c>
      <c r="B5" t="str">
        <f>Evaluacion!A6</f>
        <v>E. Toney</v>
      </c>
      <c r="C5">
        <f>Evaluacion!D6</f>
        <v>0</v>
      </c>
      <c r="D5" s="265">
        <f>Evaluacion!K6</f>
        <v>0</v>
      </c>
      <c r="E5" s="265">
        <f>Evaluacion!L6</f>
        <v>12.060000000000004</v>
      </c>
      <c r="F5" s="265">
        <f>Evaluacion!M6</f>
        <v>13.116555555555554</v>
      </c>
      <c r="G5" s="265">
        <f>Evaluacion!N6</f>
        <v>9.8200000000000056</v>
      </c>
      <c r="H5" s="265">
        <f>Evaluacion!O6</f>
        <v>9.6</v>
      </c>
      <c r="I5" s="265">
        <f>Evaluacion!P6</f>
        <v>3.6816666666666658</v>
      </c>
      <c r="J5" s="265">
        <f>Evaluacion!Q6</f>
        <v>16.627777777777773</v>
      </c>
      <c r="L5" t="str">
        <f t="shared" si="0"/>
        <v>DCN</v>
      </c>
      <c r="M5" s="596">
        <v>0.9</v>
      </c>
      <c r="N5" s="597">
        <f>M5*(Evaluacion!AA6+Evaluacion!AC6)/2</f>
        <v>5.2274535053653555</v>
      </c>
      <c r="O5" s="597">
        <f>M5*Evaluacion!AB6</f>
        <v>13.507631796809703</v>
      </c>
      <c r="P5" s="597">
        <f>N5</f>
        <v>5.2274535053653555</v>
      </c>
      <c r="Q5" s="597">
        <f>M5*Evaluacion!AD6</f>
        <v>3.4411305676407071</v>
      </c>
      <c r="R5" s="597">
        <v>0</v>
      </c>
      <c r="S5" s="597">
        <f>0</f>
        <v>0</v>
      </c>
      <c r="T5" s="597">
        <v>0</v>
      </c>
      <c r="U5" s="597">
        <f>Evaluacion!R6</f>
        <v>4.2825000000000006</v>
      </c>
      <c r="V5" s="597">
        <f>Evaluacion!T6*M5</f>
        <v>0.61462499999999975</v>
      </c>
      <c r="W5" s="597">
        <f>Evaluacion!U6*M5</f>
        <v>0.88310999999999995</v>
      </c>
      <c r="AA5" s="603"/>
    </row>
    <row r="6" spans="1:27" x14ac:dyDescent="0.25">
      <c r="A6" t="s">
        <v>816</v>
      </c>
      <c r="B6" t="str">
        <f>Evaluacion!A5</f>
        <v>D. Toh</v>
      </c>
      <c r="C6" t="str">
        <f>Evaluacion!D5</f>
        <v>CAB</v>
      </c>
      <c r="D6" s="265">
        <f>Evaluacion!K5</f>
        <v>0</v>
      </c>
      <c r="E6" s="265">
        <f>Evaluacion!L5</f>
        <v>11</v>
      </c>
      <c r="F6" s="265">
        <f>Evaluacion!M5</f>
        <v>6.1894444444444412</v>
      </c>
      <c r="G6" s="265">
        <f>Evaluacion!N5</f>
        <v>6.04</v>
      </c>
      <c r="H6" s="265">
        <f>Evaluacion!O5</f>
        <v>7.7227777777777789</v>
      </c>
      <c r="I6" s="265">
        <f>Evaluacion!P5</f>
        <v>4.383333333333332</v>
      </c>
      <c r="J6" s="265">
        <f>Evaluacion!Q5</f>
        <v>15.349999999999998</v>
      </c>
      <c r="L6" t="str">
        <f t="shared" si="0"/>
        <v>DCHL</v>
      </c>
      <c r="M6" s="596">
        <v>0.9</v>
      </c>
      <c r="N6" s="597">
        <v>0</v>
      </c>
      <c r="O6" s="597">
        <f>M6*Evaluacion!AN5</f>
        <v>8.7084520493775894</v>
      </c>
      <c r="P6" s="597">
        <f>M6*Evaluacion!AM5</f>
        <v>9.2742554311168117</v>
      </c>
      <c r="Q6" s="597">
        <f>M6*Evaluacion!AO5</f>
        <v>2.7079172771836966</v>
      </c>
      <c r="R6" s="597">
        <v>0</v>
      </c>
      <c r="S6" s="597">
        <v>0</v>
      </c>
      <c r="T6" s="597">
        <f>M6*Evaluacion!AP5</f>
        <v>1.6452571726281715</v>
      </c>
      <c r="U6" s="597">
        <f>Evaluacion!R5</f>
        <v>3.6806944444444447</v>
      </c>
      <c r="V6" s="597">
        <f>Evaluacion!T5*M6</f>
        <v>0.61169999999999991</v>
      </c>
      <c r="W6" s="597">
        <f>Evaluacion!U5*M6</f>
        <v>0.81044999999999989</v>
      </c>
      <c r="AA6" s="603"/>
    </row>
    <row r="7" spans="1:27" x14ac:dyDescent="0.25">
      <c r="A7" t="s">
        <v>804</v>
      </c>
      <c r="B7" t="str">
        <f>Evaluacion!A10</f>
        <v>E. Romweber</v>
      </c>
      <c r="C7" t="str">
        <f>Evaluacion!D10</f>
        <v>IMP</v>
      </c>
      <c r="D7" s="265">
        <f>Evaluacion!K10</f>
        <v>0</v>
      </c>
      <c r="E7" s="265">
        <f>Evaluacion!L10</f>
        <v>11.95</v>
      </c>
      <c r="F7" s="265">
        <f>Evaluacion!M10</f>
        <v>12.489111111111114</v>
      </c>
      <c r="G7" s="265">
        <f>Evaluacion!N10</f>
        <v>13.133333333333335</v>
      </c>
      <c r="H7" s="265">
        <f>Evaluacion!O10</f>
        <v>10.91</v>
      </c>
      <c r="I7" s="265">
        <f>Evaluacion!P10</f>
        <v>7.7700000000000005</v>
      </c>
      <c r="J7" s="265">
        <f>Evaluacion!Q10</f>
        <v>17.13</v>
      </c>
      <c r="L7" t="str">
        <f t="shared" si="0"/>
        <v>LATN</v>
      </c>
      <c r="M7" s="596">
        <v>1</v>
      </c>
      <c r="N7" s="597">
        <v>0</v>
      </c>
      <c r="O7" s="597">
        <f>Evaluacion!AJ10</f>
        <v>6.1699276215145469</v>
      </c>
      <c r="P7" s="597">
        <f>Evaluacion!AI10</f>
        <v>13.710950270032328</v>
      </c>
      <c r="Q7" s="597">
        <f>Evaluacion!AK10</f>
        <v>2.5788670937027289</v>
      </c>
      <c r="R7" s="597">
        <v>0</v>
      </c>
      <c r="S7" s="597">
        <v>0</v>
      </c>
      <c r="T7" s="597">
        <f>Evaluacion!AL10</f>
        <v>9.4588856073684884</v>
      </c>
      <c r="U7" s="597">
        <f>Evaluacion!R10</f>
        <v>4.5962499999999995</v>
      </c>
      <c r="V7" s="597">
        <f>Evaluacion!T10</f>
        <v>0.90239999999999987</v>
      </c>
      <c r="W7" s="597">
        <f>Evaluacion!U10</f>
        <v>0.9919</v>
      </c>
      <c r="AA7" s="603"/>
    </row>
    <row r="8" spans="1:27" x14ac:dyDescent="0.25">
      <c r="A8" t="s">
        <v>503</v>
      </c>
      <c r="B8" t="str">
        <f>Evaluacion!A14</f>
        <v>C. Rojas</v>
      </c>
      <c r="C8" t="str">
        <f>Evaluacion!D14</f>
        <v>TEC</v>
      </c>
      <c r="D8" s="265">
        <f>Evaluacion!K14</f>
        <v>0</v>
      </c>
      <c r="E8" s="265">
        <f>Evaluacion!L14</f>
        <v>8.6075555555555585</v>
      </c>
      <c r="F8" s="265">
        <f>Evaluacion!M14</f>
        <v>14.190398412698405</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3.127910691655035</v>
      </c>
      <c r="O8" s="597">
        <f>M8*Evaluacion!BF14</f>
        <v>3.7405942291957119</v>
      </c>
      <c r="P8" s="597">
        <v>0</v>
      </c>
      <c r="Q8" s="597">
        <f>Evaluacion!BG14*M8</f>
        <v>14.068505807829201</v>
      </c>
      <c r="R8" s="597">
        <f>Evaluacion!BH14*M8</f>
        <v>10.734274477725059</v>
      </c>
      <c r="S8" s="597">
        <f>Evaluacion!BI14*M8</f>
        <v>2.9245156109468384</v>
      </c>
      <c r="T8" s="597">
        <v>0</v>
      </c>
      <c r="U8" s="597">
        <v>0</v>
      </c>
      <c r="V8" s="597">
        <f>Evaluacion!T14*M8</f>
        <v>0.66977166666666665</v>
      </c>
      <c r="W8" s="597">
        <f>Evaluacion!U14*M8</f>
        <v>0.78599424444444466</v>
      </c>
      <c r="AA8" s="603"/>
    </row>
    <row r="9" spans="1:27" x14ac:dyDescent="0.25">
      <c r="A9" t="s">
        <v>503</v>
      </c>
      <c r="B9" t="str">
        <f>Evaluacion!A13</f>
        <v>S. Buschelman</v>
      </c>
      <c r="C9" t="str">
        <f>Evaluacion!D13</f>
        <v>TEC</v>
      </c>
      <c r="D9" s="265">
        <f>Evaluacion!K13</f>
        <v>0</v>
      </c>
      <c r="E9" s="265">
        <f>Evaluacion!L13</f>
        <v>9.1936666666666653</v>
      </c>
      <c r="F9" s="265">
        <f>Evaluacion!M13</f>
        <v>13.679999999999998</v>
      </c>
      <c r="G9" s="265">
        <f>Evaluacion!N13</f>
        <v>12.835000000000001</v>
      </c>
      <c r="H9" s="265">
        <f>Evaluacion!O13</f>
        <v>9.6733333333333356</v>
      </c>
      <c r="I9" s="265">
        <f>Evaluacion!P13</f>
        <v>5.0296666666666656</v>
      </c>
      <c r="J9" s="265">
        <f>Evaluacion!Q13</f>
        <v>15.2</v>
      </c>
      <c r="L9" t="str">
        <f t="shared" si="0"/>
        <v>IHL</v>
      </c>
      <c r="M9" s="596">
        <f>1-0.065</f>
        <v>0.93500000000000005</v>
      </c>
      <c r="N9" s="597">
        <v>0</v>
      </c>
      <c r="O9" s="597">
        <f>M9*Evaluacion!BF13</f>
        <v>3.920735003921382</v>
      </c>
      <c r="P9" s="597">
        <f>M9*Evaluacion!BE13</f>
        <v>3.2785456498308112</v>
      </c>
      <c r="Q9" s="597">
        <f>Evaluacion!BG13*M9</f>
        <v>13.621318576996373</v>
      </c>
      <c r="R9" s="597">
        <v>0</v>
      </c>
      <c r="S9" s="597">
        <f>Evaluacion!BI13*M9</f>
        <v>2.8233073433478548</v>
      </c>
      <c r="T9" s="597">
        <f>Evaluacion!BH13*M9</f>
        <v>12.111441639500317</v>
      </c>
      <c r="U9" s="597">
        <v>0</v>
      </c>
      <c r="V9" s="597">
        <f>Evaluacion!T13*M9</f>
        <v>0.66149691666666666</v>
      </c>
      <c r="W9" s="597">
        <f>Evaluacion!U13*M9</f>
        <v>0.77020313333333335</v>
      </c>
      <c r="AA9" s="603"/>
    </row>
    <row r="10" spans="1:27" x14ac:dyDescent="0.25">
      <c r="A10" t="s">
        <v>807</v>
      </c>
      <c r="B10" t="str">
        <f>Evaluacion!A11</f>
        <v>K. Helms</v>
      </c>
      <c r="C10" t="str">
        <f>Evaluacion!D11</f>
        <v>TEC</v>
      </c>
      <c r="D10" s="265">
        <f>Evaluacion!K11</f>
        <v>0</v>
      </c>
      <c r="E10" s="265">
        <f>Evaluacion!L11</f>
        <v>7.11</v>
      </c>
      <c r="F10" s="265">
        <f>Evaluacion!M11</f>
        <v>10.450000000000003</v>
      </c>
      <c r="G10" s="265">
        <f>Evaluacion!N11</f>
        <v>13.388333333333334</v>
      </c>
      <c r="H10" s="265">
        <f>Evaluacion!O11</f>
        <v>10.359999999999998</v>
      </c>
      <c r="I10" s="265">
        <f>Evaluacion!P11</f>
        <v>5.4050000000000002</v>
      </c>
      <c r="J10" s="265">
        <f>Evaluacion!Q11</f>
        <v>17.300000000000004</v>
      </c>
      <c r="L10" t="str">
        <f t="shared" si="0"/>
        <v>EXTN</v>
      </c>
      <c r="M10" s="596">
        <v>1</v>
      </c>
      <c r="N10" s="597">
        <f>Evaluacion!BT11</f>
        <v>2.8287676957550247</v>
      </c>
      <c r="O10" s="597">
        <f>Evaluacion!BU11</f>
        <v>2.4303497104374157</v>
      </c>
      <c r="P10" s="597">
        <v>0</v>
      </c>
      <c r="Q10" s="597">
        <f>Evaluacion!BV11</f>
        <v>6.0517045829878056</v>
      </c>
      <c r="R10" s="597">
        <f>Evaluacion!BW11</f>
        <v>17.253658193297774</v>
      </c>
      <c r="S10" s="597">
        <f>Evaluacion!BX11</f>
        <v>1.5984644055857675</v>
      </c>
      <c r="T10" s="597">
        <v>0</v>
      </c>
      <c r="U10" s="597">
        <v>0</v>
      </c>
      <c r="V10" s="597">
        <f>Evaluacion!T11</f>
        <v>0.78925000000000023</v>
      </c>
      <c r="W10" s="597">
        <f>Evaluacion!U11</f>
        <v>0.80340000000000023</v>
      </c>
      <c r="AA10" s="603"/>
    </row>
    <row r="11" spans="1:27" x14ac:dyDescent="0.25">
      <c r="A11" t="s">
        <v>807</v>
      </c>
      <c r="B11" t="str">
        <f>Evaluacion!A12</f>
        <v>S. Zobbe</v>
      </c>
      <c r="C11" t="str">
        <f>Evaluacion!D12</f>
        <v>CAB</v>
      </c>
      <c r="D11" s="265">
        <f>Evaluacion!K12</f>
        <v>0</v>
      </c>
      <c r="E11" s="265">
        <f>Evaluacion!L12</f>
        <v>8.1199999999999992</v>
      </c>
      <c r="F11" s="265">
        <f>Evaluacion!M12</f>
        <v>12.058412698412699</v>
      </c>
      <c r="G11" s="265">
        <f>Evaluacion!N12</f>
        <v>12.25</v>
      </c>
      <c r="H11" s="265">
        <f>Evaluacion!O12</f>
        <v>10.24</v>
      </c>
      <c r="I11" s="265">
        <f>Evaluacion!P12</f>
        <v>7.4766666666666666</v>
      </c>
      <c r="J11" s="265">
        <f>Evaluacion!Q12</f>
        <v>15.270000000000001</v>
      </c>
      <c r="L11" t="str">
        <f t="shared" si="0"/>
        <v>EXTN</v>
      </c>
      <c r="M11" s="596">
        <v>1</v>
      </c>
      <c r="N11" s="597">
        <v>0</v>
      </c>
      <c r="O11" s="597">
        <f>Evaluacion!BU12</f>
        <v>2.6529369301852568</v>
      </c>
      <c r="P11" s="597">
        <f>Evaluacion!BT12</f>
        <v>3.0878446236582495</v>
      </c>
      <c r="Q11" s="597">
        <f>Evaluacion!BV12</f>
        <v>6.7390527910330738</v>
      </c>
      <c r="R11" s="597">
        <v>0</v>
      </c>
      <c r="S11" s="597">
        <f>Evaluacion!BX12</f>
        <v>1.5721157727558037</v>
      </c>
      <c r="T11" s="597">
        <f>Evaluacion!BW12</f>
        <v>16.132543109201908</v>
      </c>
      <c r="U11" s="597">
        <v>0</v>
      </c>
      <c r="V11" s="597">
        <f>Evaluacion!T12</f>
        <v>0.8319333333333333</v>
      </c>
      <c r="W11" s="597">
        <f>Evaluacion!U12</f>
        <v>0.78290000000000004</v>
      </c>
      <c r="AA11" s="603"/>
    </row>
    <row r="12" spans="1:27" x14ac:dyDescent="0.25">
      <c r="A12" t="s">
        <v>602</v>
      </c>
      <c r="B12" t="str">
        <f>Evaluacion!A20</f>
        <v>L. Calosso</v>
      </c>
      <c r="C12" t="str">
        <f>Evaluacion!D20</f>
        <v>TEC</v>
      </c>
      <c r="D12" s="265">
        <f>Evaluacion!K20</f>
        <v>0</v>
      </c>
      <c r="E12" s="265">
        <f>Evaluacion!L20</f>
        <v>2</v>
      </c>
      <c r="F12" s="265">
        <f>Evaluacion!M20</f>
        <v>14.127609523809523</v>
      </c>
      <c r="G12" s="265">
        <f>Evaluacion!N20</f>
        <v>3.02</v>
      </c>
      <c r="H12" s="265">
        <f>Evaluacion!O20</f>
        <v>15.02</v>
      </c>
      <c r="I12" s="265">
        <f>Evaluacion!P20</f>
        <v>10</v>
      </c>
      <c r="J12" s="265">
        <f>Evaluacion!Q20</f>
        <v>9.3000000000000007</v>
      </c>
      <c r="L12" t="str">
        <f t="shared" si="0"/>
        <v>DD</v>
      </c>
      <c r="M12" s="596">
        <v>1</v>
      </c>
      <c r="N12" s="597">
        <v>0</v>
      </c>
      <c r="O12" s="597">
        <v>0</v>
      </c>
      <c r="P12" s="597">
        <v>0</v>
      </c>
      <c r="Q12" s="597">
        <f>M12*Evaluacion!CD20</f>
        <v>6.8907983596471185</v>
      </c>
      <c r="R12" s="597">
        <f>M12*Evaluacion!CE20</f>
        <v>8.2992049376385495</v>
      </c>
      <c r="S12" s="597">
        <f>M12*Evaluacion!CF20</f>
        <v>17.189105057871892</v>
      </c>
      <c r="T12" s="597">
        <f>R12</f>
        <v>8.2992049376385495</v>
      </c>
      <c r="U12" s="597">
        <v>0</v>
      </c>
      <c r="V12" s="597">
        <f>Evaluacion!T20*M12</f>
        <v>0.77900000000000003</v>
      </c>
      <c r="W12" s="597">
        <f>Evaluacion!U20*M12</f>
        <v>0.35899999999999999</v>
      </c>
      <c r="AA12" s="603"/>
    </row>
    <row r="13" spans="1:27" x14ac:dyDescent="0.25">
      <c r="L13" s="263"/>
      <c r="M13" s="444"/>
      <c r="N13" s="598">
        <f>SUM(N2:N12)</f>
        <v>51.930484631238073</v>
      </c>
      <c r="O13" s="598">
        <f t="shared" ref="O13:W13" si="1">SUM(O2:O12)</f>
        <v>80.17792588250272</v>
      </c>
      <c r="P13" s="598">
        <f t="shared" si="1"/>
        <v>50.131820068424013</v>
      </c>
      <c r="Q13" s="598">
        <f t="shared" si="1"/>
        <v>60.841060495662184</v>
      </c>
      <c r="R13" s="598">
        <f t="shared" si="1"/>
        <v>47.962289100003439</v>
      </c>
      <c r="S13" s="598">
        <f t="shared" si="1"/>
        <v>26.107508190508156</v>
      </c>
      <c r="T13" s="598">
        <f t="shared" si="1"/>
        <v>47.647332466337431</v>
      </c>
      <c r="U13" s="599">
        <f t="shared" si="1"/>
        <v>21.15069444444444</v>
      </c>
      <c r="V13" s="599">
        <f t="shared" si="1"/>
        <v>7.3709475515873013</v>
      </c>
      <c r="W13" s="599">
        <f t="shared" si="1"/>
        <v>8.8863664686868695</v>
      </c>
    </row>
    <row r="14" spans="1:27" ht="15.75" x14ac:dyDescent="0.25">
      <c r="L14" s="263"/>
      <c r="M14" s="263" t="s">
        <v>812</v>
      </c>
      <c r="N14" s="600">
        <f>N13*0.34</f>
        <v>17.656364774620947</v>
      </c>
      <c r="O14" s="600">
        <f>O13*0.245</f>
        <v>19.643591841213166</v>
      </c>
      <c r="P14" s="600">
        <f>P13*0.34</f>
        <v>17.044818823264166</v>
      </c>
      <c r="Q14" s="600">
        <f>Q13*0.125</f>
        <v>7.605132561957773</v>
      </c>
      <c r="R14" s="600">
        <f>R13*0.25</f>
        <v>11.99057227500086</v>
      </c>
      <c r="S14" s="600">
        <f>S13*0.19</f>
        <v>4.9604265561965502</v>
      </c>
      <c r="T14" s="600">
        <f>T13*0.25</f>
        <v>11.911833116584358</v>
      </c>
    </row>
    <row r="15" spans="1:27" ht="15.75" x14ac:dyDescent="0.25">
      <c r="L15" s="263"/>
      <c r="M15" s="263" t="s">
        <v>813</v>
      </c>
      <c r="N15" s="610">
        <f>N14*1.2/1.05</f>
        <v>20.178702599566794</v>
      </c>
      <c r="O15" s="610">
        <f t="shared" ref="O15:P15" si="2">O14*1.2/1.05</f>
        <v>22.449819247100759</v>
      </c>
      <c r="P15" s="610">
        <f t="shared" si="2"/>
        <v>19.479792940873331</v>
      </c>
      <c r="Q15" s="610">
        <f>Q14</f>
        <v>7.605132561957773</v>
      </c>
      <c r="R15" s="610">
        <f>R14*0.925/1.05</f>
        <v>10.563123194643616</v>
      </c>
      <c r="S15" s="610">
        <f t="shared" ref="S15:T15" si="3">S14*0.925/1.05</f>
        <v>4.3698995852207698</v>
      </c>
      <c r="T15" s="610">
        <f t="shared" si="3"/>
        <v>10.49375774556241</v>
      </c>
    </row>
    <row r="16" spans="1:27" ht="15.75" x14ac:dyDescent="0.25">
      <c r="L16" s="263"/>
      <c r="M16" s="263" t="s">
        <v>814</v>
      </c>
      <c r="N16" s="610">
        <f>N14*0.925/1.05</f>
        <v>15.55441658716607</v>
      </c>
      <c r="O16" s="610">
        <f t="shared" ref="O16:P16" si="4">O14*0.925/1.05</f>
        <v>17.305069002973504</v>
      </c>
      <c r="P16" s="610">
        <f t="shared" si="4"/>
        <v>15.015673725256528</v>
      </c>
      <c r="Q16" s="610">
        <f>Q15</f>
        <v>7.605132561957773</v>
      </c>
      <c r="R16" s="610">
        <f>R14*1.135/1.05</f>
        <v>12.961237649643785</v>
      </c>
      <c r="S16" s="610">
        <f t="shared" ref="S16:T16" si="5">S14*1.135/1.05</f>
        <v>5.3619848964600809</v>
      </c>
      <c r="T16" s="610">
        <f t="shared" si="5"/>
        <v>12.876124368879282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30</v>
      </c>
      <c r="D4" s="5">
        <f ca="1">PLANTILLA!F17</f>
        <v>76</v>
      </c>
      <c r="E4" s="163">
        <f>PLANTILLA!X17</f>
        <v>0</v>
      </c>
      <c r="F4" s="163">
        <f>PLANTILLA!Y17</f>
        <v>10.349999999999996</v>
      </c>
      <c r="G4" s="163">
        <f>PLANTILLA!Z17</f>
        <v>12.859777777777778</v>
      </c>
      <c r="H4" s="163">
        <f>PLANTILLA!AA17</f>
        <v>5.1299999999999981</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30</v>
      </c>
      <c r="D5" s="5">
        <f ca="1">PLANTILLA!F10</f>
        <v>112</v>
      </c>
      <c r="E5" s="163">
        <f>PLANTILLA!X10</f>
        <v>0</v>
      </c>
      <c r="F5" s="163">
        <f>PLANTILLA!Y10</f>
        <v>11.649999999999997</v>
      </c>
      <c r="G5" s="163">
        <f>PLANTILLA!Z10</f>
        <v>6.700000000000002</v>
      </c>
      <c r="H5" s="163">
        <f>PLANTILLA!AA10</f>
        <v>7.4300000000000015</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61</v>
      </c>
      <c r="E6" s="163">
        <f>PLANTILLA!X8</f>
        <v>0</v>
      </c>
      <c r="F6" s="163">
        <f>PLANTILLA!Y8</f>
        <v>11</v>
      </c>
      <c r="G6" s="163">
        <f>PLANTILLA!Z8</f>
        <v>6.1894444444444412</v>
      </c>
      <c r="H6" s="163">
        <f>PLANTILLA!AA8</f>
        <v>6.04</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15</v>
      </c>
      <c r="E7" s="163">
        <f>PLANTILLA!X9</f>
        <v>0</v>
      </c>
      <c r="F7" s="163">
        <f>PLANTILLA!Y9</f>
        <v>12.060000000000004</v>
      </c>
      <c r="G7" s="163">
        <f>PLANTILLA!Z9</f>
        <v>13.116555555555554</v>
      </c>
      <c r="H7" s="163">
        <f>PLANTILLA!AA9</f>
        <v>9.8200000000000056</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30</v>
      </c>
      <c r="D8" s="5">
        <f ca="1">PLANTILLA!F12</f>
        <v>89</v>
      </c>
      <c r="E8" s="163">
        <f>PLANTILLA!X12</f>
        <v>0</v>
      </c>
      <c r="F8" s="163">
        <f>PLANTILLA!Y12</f>
        <v>11.95</v>
      </c>
      <c r="G8" s="163">
        <f>PLANTILLA!Z12</f>
        <v>12.489111111111114</v>
      </c>
      <c r="H8" s="163">
        <f>PLANTILLA!AA12</f>
        <v>13.133333333333335</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PLANTILLA!A21</f>
        <v>#19</v>
      </c>
      <c r="B9" s="169" t="str">
        <f>PLANTILLA!D21</f>
        <v>G. Kerschl</v>
      </c>
      <c r="C9" s="5">
        <f>PLANTILLA!E21</f>
        <v>28</v>
      </c>
      <c r="D9" s="5">
        <f ca="1">PLANTILLA!F21</f>
        <v>78</v>
      </c>
      <c r="E9" s="163">
        <f>PLANTILLA!X21</f>
        <v>0</v>
      </c>
      <c r="F9" s="163">
        <f>PLANTILLA!Y21</f>
        <v>2</v>
      </c>
      <c r="G9" s="163">
        <f>PLANTILLA!Z21</f>
        <v>14.55</v>
      </c>
      <c r="H9" s="163">
        <f>PLANTILLA!AA21</f>
        <v>12.01</v>
      </c>
      <c r="I9" s="163">
        <f>PLANTILLA!AB21</f>
        <v>12</v>
      </c>
      <c r="J9" s="163">
        <f>PLANTILLA!AC21</f>
        <v>8</v>
      </c>
      <c r="K9" s="163">
        <f>PLANTILLA!AD21</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16</v>
      </c>
      <c r="E10" s="163">
        <f>PLANTILLA!X7</f>
        <v>0</v>
      </c>
      <c r="F10" s="163">
        <f>PLANTILLA!Y7</f>
        <v>14.200000000000003</v>
      </c>
      <c r="G10" s="163">
        <f>PLANTILLA!Z7</f>
        <v>9.3093333333333348</v>
      </c>
      <c r="H10" s="163">
        <f>PLANTILLA!AA7</f>
        <v>14.291666666666663</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4</v>
      </c>
      <c r="E11" s="163">
        <f>PLANTILLA!X5</f>
        <v>16.666666666666668</v>
      </c>
      <c r="F11" s="163">
        <f>PLANTILLA!Y5</f>
        <v>11.832727272727276</v>
      </c>
      <c r="G11" s="163">
        <f>PLANTILLA!Z5</f>
        <v>2.0399999999999991</v>
      </c>
      <c r="H11" s="163">
        <f>PLANTILLA!AA5</f>
        <v>2.1399999999999992</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51</v>
      </c>
      <c r="E12" s="163">
        <f>PLANTILLA!X18</f>
        <v>0</v>
      </c>
      <c r="F12" s="163">
        <f>PLANTILLA!Y18</f>
        <v>5.2811111111111115</v>
      </c>
      <c r="G12" s="163">
        <f>PLANTILLA!Z18</f>
        <v>14.283789947089938</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219" t="str">
        <f>PLANTILLA!D13</f>
        <v>K. Helms</v>
      </c>
      <c r="C13" s="5">
        <f>PLANTILLA!E13</f>
        <v>30</v>
      </c>
      <c r="D13" s="5">
        <f ca="1">PLANTILLA!F13</f>
        <v>36</v>
      </c>
      <c r="E13" s="163">
        <f>PLANTILLA!X13</f>
        <v>0</v>
      </c>
      <c r="F13" s="163">
        <f>PLANTILLA!Y13</f>
        <v>7.11</v>
      </c>
      <c r="G13" s="163">
        <f>PLANTILLA!Z13</f>
        <v>10.450000000000003</v>
      </c>
      <c r="H13" s="163">
        <f>PLANTILLA!AA13</f>
        <v>13.388333333333334</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51</v>
      </c>
      <c r="E14" s="163">
        <f>PLANTILLA!X14</f>
        <v>0</v>
      </c>
      <c r="F14" s="163">
        <f>PLANTILLA!Y14</f>
        <v>8.1199999999999992</v>
      </c>
      <c r="G14" s="163">
        <f>PLANTILLA!Z14</f>
        <v>12.058412698412699</v>
      </c>
      <c r="H14" s="163">
        <f>PLANTILLA!AA14</f>
        <v>12.25</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48</v>
      </c>
      <c r="E15" s="163">
        <f>PLANTILLA!X15</f>
        <v>0</v>
      </c>
      <c r="F15" s="163">
        <f>PLANTILLA!Y15</f>
        <v>9.1936666666666653</v>
      </c>
      <c r="G15" s="163">
        <f>PLANTILLA!Z15</f>
        <v>13.679999999999998</v>
      </c>
      <c r="H15" s="163">
        <f>PLANTILLA!AA15</f>
        <v>12.835000000000001</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31</v>
      </c>
      <c r="D16" s="5">
        <f ca="1">PLANTILLA!F16</f>
        <v>82</v>
      </c>
      <c r="E16" s="163">
        <f>PLANTILLA!X16</f>
        <v>0</v>
      </c>
      <c r="F16" s="163">
        <f>PLANTILLA!Y16</f>
        <v>8.6075555555555585</v>
      </c>
      <c r="G16" s="163">
        <f>PLANTILLA!Z16</f>
        <v>14.190398412698405</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PLANTILLA!A22</f>
        <v>#9</v>
      </c>
      <c r="B17" s="287" t="str">
        <f>PLANTILLA!D22</f>
        <v>J. Limon</v>
      </c>
      <c r="C17" s="5">
        <f>PLANTILLA!E22</f>
        <v>29</v>
      </c>
      <c r="D17" s="5">
        <f ca="1">PLANTILLA!F22</f>
        <v>88</v>
      </c>
      <c r="E17" s="163">
        <f>PLANTILLA!X22</f>
        <v>0</v>
      </c>
      <c r="F17" s="163">
        <f>PLANTILLA!Y22</f>
        <v>6.8176190476190497</v>
      </c>
      <c r="G17" s="163">
        <f>PLANTILLA!Z22</f>
        <v>8.5</v>
      </c>
      <c r="H17" s="163">
        <f>PLANTILLA!AA22</f>
        <v>8.7299999999999969</v>
      </c>
      <c r="I17" s="163">
        <f>PLANTILLA!AB22</f>
        <v>9.6900000000000013</v>
      </c>
      <c r="J17" s="163">
        <f>PLANTILLA!AC22</f>
        <v>8.5625000000000018</v>
      </c>
      <c r="K17" s="163">
        <f>PLANTILLA!AD22</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PLANTILLA!A24</f>
        <v>#15</v>
      </c>
      <c r="B18" s="287" t="str">
        <f>PLANTILLA!D24</f>
        <v>P .Trivadi</v>
      </c>
      <c r="C18" s="5">
        <f>PLANTILLA!E24</f>
        <v>27</v>
      </c>
      <c r="D18" s="5">
        <f ca="1">PLANTILLA!F24</f>
        <v>7</v>
      </c>
      <c r="E18" s="163">
        <f>PLANTILLA!X24</f>
        <v>0</v>
      </c>
      <c r="F18" s="163">
        <f>PLANTILLA!Y24</f>
        <v>4</v>
      </c>
      <c r="G18" s="163">
        <f>PLANTILLA!Z24</f>
        <v>5.5438722222222205</v>
      </c>
      <c r="H18" s="163">
        <f>PLANTILLA!AA24</f>
        <v>5.4899999999999993</v>
      </c>
      <c r="I18" s="163">
        <f>PLANTILLA!AB24</f>
        <v>10.799999999999999</v>
      </c>
      <c r="J18" s="163">
        <f>PLANTILLA!AC24</f>
        <v>8.384500000000001</v>
      </c>
      <c r="K18" s="163">
        <f>PLANTILLA!AD24</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PLANTILLA!A23</f>
        <v>#18</v>
      </c>
      <c r="B19" s="287" t="str">
        <f>PLANTILLA!D23</f>
        <v>L. Calosso</v>
      </c>
      <c r="C19" s="5">
        <f>PLANTILLA!E23</f>
        <v>30</v>
      </c>
      <c r="D19" s="5">
        <f ca="1">PLANTILLA!F23</f>
        <v>45</v>
      </c>
      <c r="E19" s="163">
        <f>PLANTILLA!X23</f>
        <v>0</v>
      </c>
      <c r="F19" s="163">
        <f>PLANTILLA!Y23</f>
        <v>2</v>
      </c>
      <c r="G19" s="163">
        <f>PLANTILLA!Z23</f>
        <v>14.127609523809523</v>
      </c>
      <c r="H19" s="163">
        <f>PLANTILLA!AA23</f>
        <v>3.02</v>
      </c>
      <c r="I19" s="163">
        <f>PLANTILLA!AB23</f>
        <v>15.02</v>
      </c>
      <c r="J19" s="163">
        <f>PLANTILLA!AC23</f>
        <v>10</v>
      </c>
      <c r="K19" s="163">
        <f>PLANTILLA!AD23</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23</v>
      </c>
      <c r="E20" s="163">
        <f>PLANTILLA!X11</f>
        <v>0</v>
      </c>
      <c r="F20" s="163">
        <f>PLANTILLA!Y11</f>
        <v>9.5796666666666663</v>
      </c>
      <c r="G20" s="163">
        <f>PLANTILLA!Z11</f>
        <v>7.7407222222222227</v>
      </c>
      <c r="H20" s="163">
        <f>PLANTILLA!AA11</f>
        <v>6.1499999999999986</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28</v>
      </c>
      <c r="D21" s="5">
        <f ca="1">PLANTILLA!F19</f>
        <v>113</v>
      </c>
      <c r="E21" s="163">
        <f>PLANTILLA!X19</f>
        <v>0</v>
      </c>
      <c r="F21" s="163">
        <f>PLANTILLA!Y19</f>
        <v>5.6315555555555523</v>
      </c>
      <c r="G21" s="163">
        <f>PLANTILLA!Z19</f>
        <v>9.8523388888888874</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13</v>
      </c>
      <c r="E22" s="163">
        <f>PLANTILLA!X6</f>
        <v>10.3</v>
      </c>
      <c r="F22" s="163">
        <f>PLANTILLA!Y6</f>
        <v>10.794999999999998</v>
      </c>
      <c r="G22" s="163">
        <f>PLANTILLA!Z6</f>
        <v>4.6300000000000008</v>
      </c>
      <c r="H22" s="163">
        <f>PLANTILLA!AA6</f>
        <v>4.95</v>
      </c>
      <c r="I22" s="163">
        <f>PLANTILLA!AB6</f>
        <v>6.5444444444444434</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str">
        <f>PLANTILLA!A20</f>
        <v>#89</v>
      </c>
      <c r="B23" s="287" t="str">
        <f>PLANTILLA!D20</f>
        <v>M. Amico</v>
      </c>
      <c r="C23" s="5">
        <f>PLANTILLA!E20</f>
        <v>29</v>
      </c>
      <c r="D23" s="5">
        <f ca="1">PLANTILLA!F20</f>
        <v>8</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B11" activeCellId="3" sqref="B6 B7 B9 B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48</v>
      </c>
      <c r="E4" s="163">
        <f>PLANTILLA!X15</f>
        <v>0</v>
      </c>
      <c r="F4" s="163">
        <f>PLANTILLA!Y15</f>
        <v>9.1936666666666653</v>
      </c>
      <c r="G4" s="163">
        <f>PLANTILLA!Z15</f>
        <v>13.679999999999998</v>
      </c>
      <c r="H4" s="163">
        <f>PLANTILLA!AA15</f>
        <v>12.835000000000001</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51</v>
      </c>
      <c r="E5" s="163">
        <f>PLANTILLA!X18</f>
        <v>0</v>
      </c>
      <c r="F5" s="163">
        <f>PLANTILLA!Y18</f>
        <v>5.2811111111111115</v>
      </c>
      <c r="G5" s="163">
        <f>PLANTILLA!Z18</f>
        <v>14.283789947089938</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PLANTILLA!A22</f>
        <v>#9</v>
      </c>
      <c r="B6" s="169" t="str">
        <f>PLANTILLA!D22</f>
        <v>J. Limon</v>
      </c>
      <c r="C6" s="287">
        <f>PLANTILLA!E22</f>
        <v>29</v>
      </c>
      <c r="D6" s="287">
        <f ca="1">PLANTILLA!F22</f>
        <v>88</v>
      </c>
      <c r="E6" s="163">
        <f>PLANTILLA!X22</f>
        <v>0</v>
      </c>
      <c r="F6" s="163">
        <f>PLANTILLA!Y22</f>
        <v>6.8176190476190497</v>
      </c>
      <c r="G6" s="163">
        <f>PLANTILLA!Z22</f>
        <v>8.5</v>
      </c>
      <c r="H6" s="163">
        <f>PLANTILLA!AA22</f>
        <v>8.7299999999999969</v>
      </c>
      <c r="I6" s="163">
        <f>PLANTILLA!AB22</f>
        <v>9.6900000000000013</v>
      </c>
      <c r="J6" s="163">
        <f>PLANTILLA!AC22</f>
        <v>8.5625000000000018</v>
      </c>
      <c r="K6" s="163">
        <f>PLANTILLA!AD22</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PLANTILLA!A21</f>
        <v>#19</v>
      </c>
      <c r="B7" s="169" t="str">
        <f>PLANTILLA!D21</f>
        <v>G. Kerschl</v>
      </c>
      <c r="C7" s="287">
        <f>PLANTILLA!E21</f>
        <v>28</v>
      </c>
      <c r="D7" s="287">
        <f ca="1">PLANTILLA!F21</f>
        <v>78</v>
      </c>
      <c r="E7" s="163">
        <f>PLANTILLA!X21</f>
        <v>0</v>
      </c>
      <c r="F7" s="163">
        <f>PLANTILLA!Y21</f>
        <v>2</v>
      </c>
      <c r="G7" s="163">
        <f>PLANTILLA!Z21</f>
        <v>14.55</v>
      </c>
      <c r="H7" s="163">
        <f>PLANTILLA!AA21</f>
        <v>12.01</v>
      </c>
      <c r="I7" s="163">
        <f>PLANTILLA!AB21</f>
        <v>12</v>
      </c>
      <c r="J7" s="163">
        <f>PLANTILLA!AC21</f>
        <v>8</v>
      </c>
      <c r="K7" s="163">
        <f>PLANTILLA!AD21</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36</v>
      </c>
      <c r="E8" s="163">
        <f>PLANTILLA!X13</f>
        <v>0</v>
      </c>
      <c r="F8" s="163">
        <f>PLANTILLA!Y13</f>
        <v>7.11</v>
      </c>
      <c r="G8" s="163">
        <f>PLANTILLA!Z13</f>
        <v>10.450000000000003</v>
      </c>
      <c r="H8" s="163">
        <f>PLANTILLA!AA13</f>
        <v>13.388333333333334</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31</v>
      </c>
      <c r="D9" s="287">
        <f ca="1">PLANTILLA!F16</f>
        <v>82</v>
      </c>
      <c r="E9" s="163">
        <f>PLANTILLA!X16</f>
        <v>0</v>
      </c>
      <c r="F9" s="163">
        <f>PLANTILLA!Y16</f>
        <v>8.6075555555555585</v>
      </c>
      <c r="G9" s="163">
        <f>PLANTILLA!Z16</f>
        <v>14.190398412698405</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51</v>
      </c>
      <c r="E10" s="163">
        <f>PLANTILLA!X14</f>
        <v>0</v>
      </c>
      <c r="F10" s="163">
        <f>PLANTILLA!Y14</f>
        <v>8.1199999999999992</v>
      </c>
      <c r="G10" s="163">
        <f>PLANTILLA!Z14</f>
        <v>12.058412698412699</v>
      </c>
      <c r="H10" s="163">
        <f>PLANTILLA!AA14</f>
        <v>12.25</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30</v>
      </c>
      <c r="D11" s="287">
        <f ca="1">PLANTILLA!F12</f>
        <v>89</v>
      </c>
      <c r="E11" s="163">
        <f>PLANTILLA!X12</f>
        <v>0</v>
      </c>
      <c r="F11" s="163">
        <f>PLANTILLA!Y12</f>
        <v>11.95</v>
      </c>
      <c r="G11" s="163">
        <f>PLANTILLA!Z12</f>
        <v>12.489111111111114</v>
      </c>
      <c r="H11" s="163">
        <f>PLANTILLA!AA12</f>
        <v>13.133333333333335</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61</v>
      </c>
      <c r="E12" s="163">
        <f>PLANTILLA!X8</f>
        <v>0</v>
      </c>
      <c r="F12" s="163">
        <f>PLANTILLA!Y8</f>
        <v>11</v>
      </c>
      <c r="G12" s="163">
        <f>PLANTILLA!Z8</f>
        <v>6.1894444444444412</v>
      </c>
      <c r="H12" s="163">
        <f>PLANTILLA!AA8</f>
        <v>6.04</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30</v>
      </c>
      <c r="D13" s="287">
        <f ca="1">PLANTILLA!F10</f>
        <v>112</v>
      </c>
      <c r="E13" s="163">
        <f>PLANTILLA!X10</f>
        <v>0</v>
      </c>
      <c r="F13" s="163">
        <f>PLANTILLA!Y10</f>
        <v>11.649999999999997</v>
      </c>
      <c r="G13" s="163">
        <f>PLANTILLA!Z10</f>
        <v>6.700000000000002</v>
      </c>
      <c r="H13" s="163">
        <f>PLANTILLA!AA10</f>
        <v>7.4300000000000015</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15</v>
      </c>
      <c r="E14" s="163">
        <f>PLANTILLA!X9</f>
        <v>0</v>
      </c>
      <c r="F14" s="163">
        <f>PLANTILLA!Y9</f>
        <v>12.060000000000004</v>
      </c>
      <c r="G14" s="163">
        <f>PLANTILLA!Z9</f>
        <v>13.116555555555554</v>
      </c>
      <c r="H14" s="163">
        <f>PLANTILLA!AA9</f>
        <v>9.8200000000000056</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PLANTILLA!A23</f>
        <v>#18</v>
      </c>
      <c r="B15" s="671" t="str">
        <f>PLANTILLA!D23</f>
        <v>L. Calosso</v>
      </c>
      <c r="C15" s="287">
        <f>PLANTILLA!E23</f>
        <v>30</v>
      </c>
      <c r="D15" s="287">
        <f ca="1">PLANTILLA!F23</f>
        <v>45</v>
      </c>
      <c r="E15" s="163">
        <f>PLANTILLA!X23</f>
        <v>0</v>
      </c>
      <c r="F15" s="163">
        <f>PLANTILLA!Y23</f>
        <v>2</v>
      </c>
      <c r="G15" s="163">
        <f>PLANTILLA!Z23</f>
        <v>14.127609523809523</v>
      </c>
      <c r="H15" s="163">
        <f>PLANTILLA!AA23</f>
        <v>3.02</v>
      </c>
      <c r="I15" s="163">
        <f>PLANTILLA!AB23</f>
        <v>15.02</v>
      </c>
      <c r="J15" s="163">
        <f>PLANTILLA!AC23</f>
        <v>10</v>
      </c>
      <c r="K15" s="163">
        <f>PLANTILLA!AD23</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30</v>
      </c>
      <c r="D16" s="287">
        <f ca="1">PLANTILLA!F17</f>
        <v>76</v>
      </c>
      <c r="E16" s="163">
        <f>PLANTILLA!X17</f>
        <v>0</v>
      </c>
      <c r="F16" s="163">
        <f>PLANTILLA!Y17</f>
        <v>10.349999999999996</v>
      </c>
      <c r="G16" s="163">
        <f>PLANTILLA!Z17</f>
        <v>12.859777777777778</v>
      </c>
      <c r="H16" s="163">
        <f>PLANTILLA!AA17</f>
        <v>5.1299999999999981</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16</v>
      </c>
      <c r="E17" s="163">
        <f>PLANTILLA!X7</f>
        <v>0</v>
      </c>
      <c r="F17" s="163">
        <f>PLANTILLA!Y7</f>
        <v>14.200000000000003</v>
      </c>
      <c r="G17" s="163">
        <f>PLANTILLA!Z7</f>
        <v>9.3093333333333348</v>
      </c>
      <c r="H17" s="163">
        <f>PLANTILLA!AA7</f>
        <v>14.291666666666663</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PLANTILLA!A24</f>
        <v>#15</v>
      </c>
      <c r="B18" s="287" t="str">
        <f>PLANTILLA!D24</f>
        <v>P .Trivadi</v>
      </c>
      <c r="C18" s="287">
        <f>PLANTILLA!E24</f>
        <v>27</v>
      </c>
      <c r="D18" s="287">
        <f ca="1">PLANTILLA!F24</f>
        <v>7</v>
      </c>
      <c r="E18" s="163">
        <f>PLANTILLA!X24</f>
        <v>0</v>
      </c>
      <c r="F18" s="163">
        <f>PLANTILLA!Y24</f>
        <v>4</v>
      </c>
      <c r="G18" s="163">
        <f>PLANTILLA!Z24</f>
        <v>5.5438722222222205</v>
      </c>
      <c r="H18" s="163">
        <f>PLANTILLA!AA24</f>
        <v>5.4899999999999993</v>
      </c>
      <c r="I18" s="163">
        <f>PLANTILLA!AB24</f>
        <v>10.799999999999999</v>
      </c>
      <c r="J18" s="163">
        <f>PLANTILLA!AC24</f>
        <v>8.384500000000001</v>
      </c>
      <c r="K18" s="163">
        <f>PLANTILLA!AD24</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4</v>
      </c>
      <c r="E19" s="163">
        <f>PLANTILLA!X5</f>
        <v>16.666666666666668</v>
      </c>
      <c r="F19" s="163">
        <f>PLANTILLA!Y5</f>
        <v>11.832727272727276</v>
      </c>
      <c r="G19" s="163">
        <f>PLANTILLA!Z5</f>
        <v>2.0399999999999991</v>
      </c>
      <c r="H19" s="163">
        <f>PLANTILLA!AA5</f>
        <v>2.1399999999999992</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13</v>
      </c>
      <c r="E20" s="163">
        <f>PLANTILLA!X6</f>
        <v>10.3</v>
      </c>
      <c r="F20" s="163">
        <f>PLANTILLA!Y6</f>
        <v>10.794999999999998</v>
      </c>
      <c r="G20" s="163">
        <f>PLANTILLA!Z6</f>
        <v>4.6300000000000008</v>
      </c>
      <c r="H20" s="163">
        <f>PLANTILLA!AA6</f>
        <v>4.95</v>
      </c>
      <c r="I20" s="163">
        <f>PLANTILLA!AB6</f>
        <v>6.5444444444444434</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23</v>
      </c>
      <c r="E21" s="163">
        <f>PLANTILLA!X11</f>
        <v>0</v>
      </c>
      <c r="F21" s="163">
        <f>PLANTILLA!Y11</f>
        <v>9.5796666666666663</v>
      </c>
      <c r="G21" s="163">
        <f>PLANTILLA!Z11</f>
        <v>7.7407222222222227</v>
      </c>
      <c r="H21" s="163">
        <f>PLANTILLA!AA11</f>
        <v>6.1499999999999986</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28</v>
      </c>
      <c r="D22" s="287">
        <f ca="1">PLANTILLA!F19</f>
        <v>113</v>
      </c>
      <c r="E22" s="163">
        <f>PLANTILLA!X19</f>
        <v>0</v>
      </c>
      <c r="F22" s="163">
        <f>PLANTILLA!Y19</f>
        <v>5.6315555555555523</v>
      </c>
      <c r="G22" s="163">
        <f>PLANTILLA!Z19</f>
        <v>9.8523388888888874</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str">
        <f>PLANTILLA!A20</f>
        <v>#89</v>
      </c>
      <c r="B23" s="287" t="str">
        <f>PLANTILLA!D20</f>
        <v>M. Amico</v>
      </c>
      <c r="C23" s="287">
        <f>PLANTILLA!E20</f>
        <v>29</v>
      </c>
      <c r="D23" s="287">
        <f ca="1">PLANTILLA!F20</f>
        <v>8</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PLANTILLA!A22</f>
        <v>#9</v>
      </c>
      <c r="B4" s="670" t="str">
        <f>PLANTILLA!D22</f>
        <v>J. Limon</v>
      </c>
      <c r="C4" s="287">
        <f>PLANTILLA!E22</f>
        <v>29</v>
      </c>
      <c r="D4" s="287">
        <f ca="1">PLANTILLA!F22</f>
        <v>88</v>
      </c>
      <c r="E4" s="163">
        <f>PLANTILLA!X22</f>
        <v>0</v>
      </c>
      <c r="F4" s="163">
        <f>PLANTILLA!Y22</f>
        <v>6.8176190476190497</v>
      </c>
      <c r="G4" s="163">
        <f>PLANTILLA!Z22</f>
        <v>8.5</v>
      </c>
      <c r="H4" s="163">
        <f>PLANTILLA!AA22</f>
        <v>8.7299999999999969</v>
      </c>
      <c r="I4" s="163">
        <f>PLANTILLA!AB22</f>
        <v>9.6900000000000013</v>
      </c>
      <c r="J4" s="163">
        <f>PLANTILLA!AC22</f>
        <v>8.5625000000000018</v>
      </c>
      <c r="K4" s="163">
        <f>PLANTILLA!AD22</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51</v>
      </c>
      <c r="E5" s="163">
        <f>PLANTILLA!X18</f>
        <v>0</v>
      </c>
      <c r="F5" s="163">
        <f>PLANTILLA!Y18</f>
        <v>5.2811111111111115</v>
      </c>
      <c r="G5" s="163">
        <f>PLANTILLA!Z18</f>
        <v>14.283789947089938</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48</v>
      </c>
      <c r="E6" s="163">
        <f>PLANTILLA!X15</f>
        <v>0</v>
      </c>
      <c r="F6" s="163">
        <f>PLANTILLA!Y15</f>
        <v>9.1936666666666653</v>
      </c>
      <c r="G6" s="163">
        <f>PLANTILLA!Z15</f>
        <v>13.679999999999998</v>
      </c>
      <c r="H6" s="163">
        <f>PLANTILLA!AA15</f>
        <v>12.835000000000001</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PLANTILLA!A21</f>
        <v>#19</v>
      </c>
      <c r="B7" s="670" t="str">
        <f>PLANTILLA!D21</f>
        <v>G. Kerschl</v>
      </c>
      <c r="C7" s="287">
        <f>PLANTILLA!E21</f>
        <v>28</v>
      </c>
      <c r="D7" s="287">
        <f ca="1">PLANTILLA!F21</f>
        <v>78</v>
      </c>
      <c r="E7" s="163">
        <f>PLANTILLA!X21</f>
        <v>0</v>
      </c>
      <c r="F7" s="163">
        <f>PLANTILLA!Y21</f>
        <v>2</v>
      </c>
      <c r="G7" s="163">
        <f>PLANTILLA!Z21</f>
        <v>14.55</v>
      </c>
      <c r="H7" s="163">
        <f>PLANTILLA!AA21</f>
        <v>12.01</v>
      </c>
      <c r="I7" s="163">
        <f>PLANTILLA!AB21</f>
        <v>12</v>
      </c>
      <c r="J7" s="163">
        <f>PLANTILLA!AC21</f>
        <v>8</v>
      </c>
      <c r="K7" s="163">
        <f>PLANTILLA!AD21</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31</v>
      </c>
      <c r="D8" s="287">
        <f ca="1">PLANTILLA!F16</f>
        <v>82</v>
      </c>
      <c r="E8" s="163">
        <f>PLANTILLA!X16</f>
        <v>0</v>
      </c>
      <c r="F8" s="163">
        <f>PLANTILLA!Y16</f>
        <v>8.6075555555555585</v>
      </c>
      <c r="G8" s="163">
        <f>PLANTILLA!Z16</f>
        <v>14.190398412698405</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36</v>
      </c>
      <c r="E9" s="163">
        <f>PLANTILLA!X13</f>
        <v>0</v>
      </c>
      <c r="F9" s="163">
        <f>PLANTILLA!Y13</f>
        <v>7.11</v>
      </c>
      <c r="G9" s="163">
        <f>PLANTILLA!Z13</f>
        <v>10.450000000000003</v>
      </c>
      <c r="H9" s="163">
        <f>PLANTILLA!AA13</f>
        <v>13.388333333333334</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51</v>
      </c>
      <c r="E10" s="163">
        <f>PLANTILLA!X14</f>
        <v>0</v>
      </c>
      <c r="F10" s="163">
        <f>PLANTILLA!Y14</f>
        <v>8.1199999999999992</v>
      </c>
      <c r="G10" s="163">
        <f>PLANTILLA!Z14</f>
        <v>12.058412698412699</v>
      </c>
      <c r="H10" s="163">
        <f>PLANTILLA!AA14</f>
        <v>12.25</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30</v>
      </c>
      <c r="D11" s="287">
        <f ca="1">PLANTILLA!F12</f>
        <v>89</v>
      </c>
      <c r="E11" s="163">
        <f>PLANTILLA!X12</f>
        <v>0</v>
      </c>
      <c r="F11" s="163">
        <f>PLANTILLA!Y12</f>
        <v>11.95</v>
      </c>
      <c r="G11" s="163">
        <f>PLANTILLA!Z12</f>
        <v>12.489111111111114</v>
      </c>
      <c r="H11" s="163">
        <f>PLANTILLA!AA12</f>
        <v>13.133333333333335</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PLANTILLA!A23</f>
        <v>#18</v>
      </c>
      <c r="B12" s="670" t="str">
        <f>PLANTILLA!D23</f>
        <v>L. Calosso</v>
      </c>
      <c r="C12" s="287">
        <f>PLANTILLA!E23</f>
        <v>30</v>
      </c>
      <c r="D12" s="287">
        <f ca="1">PLANTILLA!F23</f>
        <v>45</v>
      </c>
      <c r="E12" s="163">
        <f>PLANTILLA!X23</f>
        <v>0</v>
      </c>
      <c r="F12" s="163">
        <f>PLANTILLA!Y23</f>
        <v>2</v>
      </c>
      <c r="G12" s="163">
        <f>PLANTILLA!Z23</f>
        <v>14.127609523809523</v>
      </c>
      <c r="H12" s="163">
        <f>PLANTILLA!AA23</f>
        <v>3.02</v>
      </c>
      <c r="I12" s="163">
        <f>PLANTILLA!AB23</f>
        <v>15.02</v>
      </c>
      <c r="J12" s="163">
        <f>PLANTILLA!AC23</f>
        <v>10</v>
      </c>
      <c r="K12" s="163">
        <f>PLANTILLA!AD23</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PLANTILLA!A24</f>
        <v>#15</v>
      </c>
      <c r="B13" s="670" t="str">
        <f>PLANTILLA!D24</f>
        <v>P .Trivadi</v>
      </c>
      <c r="C13" s="287">
        <f>PLANTILLA!E24</f>
        <v>27</v>
      </c>
      <c r="D13" s="287">
        <f ca="1">PLANTILLA!F24</f>
        <v>7</v>
      </c>
      <c r="E13" s="163">
        <f>PLANTILLA!X24</f>
        <v>0</v>
      </c>
      <c r="F13" s="163">
        <f>PLANTILLA!Y24</f>
        <v>4</v>
      </c>
      <c r="G13" s="163">
        <f>PLANTILLA!Z24</f>
        <v>5.5438722222222205</v>
      </c>
      <c r="H13" s="163">
        <f>PLANTILLA!AA24</f>
        <v>5.4899999999999993</v>
      </c>
      <c r="I13" s="163">
        <f>PLANTILLA!AB24</f>
        <v>10.799999999999999</v>
      </c>
      <c r="J13" s="163">
        <f>PLANTILLA!AC24</f>
        <v>8.384500000000001</v>
      </c>
      <c r="K13" s="163">
        <f>PLANTILLA!AD24</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4</v>
      </c>
      <c r="E14" s="163">
        <f>PLANTILLA!X5</f>
        <v>16.666666666666668</v>
      </c>
      <c r="F14" s="163">
        <f>PLANTILLA!Y5</f>
        <v>11.832727272727276</v>
      </c>
      <c r="G14" s="163">
        <f>PLANTILLA!Z5</f>
        <v>2.0399999999999991</v>
      </c>
      <c r="H14" s="163">
        <f>PLANTILLA!AA5</f>
        <v>2.1399999999999992</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16</v>
      </c>
      <c r="E15" s="163">
        <f>PLANTILLA!X7</f>
        <v>0</v>
      </c>
      <c r="F15" s="163">
        <f>PLANTILLA!Y7</f>
        <v>14.200000000000003</v>
      </c>
      <c r="G15" s="163">
        <f>PLANTILLA!Z7</f>
        <v>9.3093333333333348</v>
      </c>
      <c r="H15" s="163">
        <f>PLANTILLA!AA7</f>
        <v>14.291666666666663</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61</v>
      </c>
      <c r="E16" s="163">
        <f>PLANTILLA!X8</f>
        <v>0</v>
      </c>
      <c r="F16" s="163">
        <f>PLANTILLA!Y8</f>
        <v>11</v>
      </c>
      <c r="G16" s="163">
        <f>PLANTILLA!Z8</f>
        <v>6.1894444444444412</v>
      </c>
      <c r="H16" s="163">
        <f>PLANTILLA!AA8</f>
        <v>6.04</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15</v>
      </c>
      <c r="E17" s="163">
        <f>PLANTILLA!X9</f>
        <v>0</v>
      </c>
      <c r="F17" s="163">
        <f>PLANTILLA!Y9</f>
        <v>12.060000000000004</v>
      </c>
      <c r="G17" s="163">
        <f>PLANTILLA!Z9</f>
        <v>13.116555555555554</v>
      </c>
      <c r="H17" s="163">
        <f>PLANTILLA!AA9</f>
        <v>9.8200000000000056</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30</v>
      </c>
      <c r="D18" s="287">
        <f ca="1">PLANTILLA!F17</f>
        <v>76</v>
      </c>
      <c r="E18" s="163">
        <f>PLANTILLA!X17</f>
        <v>0</v>
      </c>
      <c r="F18" s="163">
        <f>PLANTILLA!Y17</f>
        <v>10.349999999999996</v>
      </c>
      <c r="G18" s="163">
        <f>PLANTILLA!Z17</f>
        <v>12.859777777777778</v>
      </c>
      <c r="H18" s="163">
        <f>PLANTILLA!AA17</f>
        <v>5.1299999999999981</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30</v>
      </c>
      <c r="D19" s="287">
        <f ca="1">PLANTILLA!F10</f>
        <v>112</v>
      </c>
      <c r="E19" s="163">
        <f>PLANTILLA!X10</f>
        <v>0</v>
      </c>
      <c r="F19" s="163">
        <f>PLANTILLA!Y10</f>
        <v>11.649999999999997</v>
      </c>
      <c r="G19" s="163">
        <f>PLANTILLA!Z10</f>
        <v>6.700000000000002</v>
      </c>
      <c r="H19" s="163">
        <f>PLANTILLA!AA10</f>
        <v>7.4300000000000015</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13</v>
      </c>
      <c r="E20" s="163">
        <f>PLANTILLA!X6</f>
        <v>10.3</v>
      </c>
      <c r="F20" s="163">
        <f>PLANTILLA!Y6</f>
        <v>10.794999999999998</v>
      </c>
      <c r="G20" s="163">
        <f>PLANTILLA!Z6</f>
        <v>4.6300000000000008</v>
      </c>
      <c r="H20" s="163">
        <f>PLANTILLA!AA6</f>
        <v>4.95</v>
      </c>
      <c r="I20" s="163">
        <f>PLANTILLA!AB6</f>
        <v>6.5444444444444434</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23</v>
      </c>
      <c r="E21" s="163">
        <f>PLANTILLA!X11</f>
        <v>0</v>
      </c>
      <c r="F21" s="163">
        <f>PLANTILLA!Y11</f>
        <v>9.5796666666666663</v>
      </c>
      <c r="G21" s="163">
        <f>PLANTILLA!Z11</f>
        <v>7.7407222222222227</v>
      </c>
      <c r="H21" s="163">
        <f>PLANTILLA!AA11</f>
        <v>6.1499999999999986</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28</v>
      </c>
      <c r="D22" s="287">
        <f ca="1">PLANTILLA!F19</f>
        <v>113</v>
      </c>
      <c r="E22" s="163">
        <f>PLANTILLA!X19</f>
        <v>0</v>
      </c>
      <c r="F22" s="163">
        <f>PLANTILLA!Y19</f>
        <v>5.6315555555555523</v>
      </c>
      <c r="G22" s="163">
        <f>PLANTILLA!Z19</f>
        <v>9.8523388888888874</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str">
        <f>PLANTILLA!A20</f>
        <v>#89</v>
      </c>
      <c r="B23" s="287" t="str">
        <f>PLANTILLA!D20</f>
        <v>M. Amico</v>
      </c>
      <c r="C23" s="287">
        <f>PLANTILLA!E20</f>
        <v>29</v>
      </c>
      <c r="D23" s="287">
        <f ca="1">PLANTILLA!F20</f>
        <v>8</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61</v>
      </c>
      <c r="E4" s="163">
        <f>PLANTILLA!X8</f>
        <v>0</v>
      </c>
      <c r="F4" s="163">
        <f>PLANTILLA!Y8</f>
        <v>11</v>
      </c>
      <c r="G4" s="163">
        <f>PLANTILLA!Z8</f>
        <v>6.1894444444444412</v>
      </c>
      <c r="H4" s="163">
        <f>PLANTILLA!AA8</f>
        <v>6.04</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30</v>
      </c>
      <c r="D5" s="287">
        <f ca="1">PLANTILLA!F10</f>
        <v>112</v>
      </c>
      <c r="E5" s="163">
        <f>PLANTILLA!X10</f>
        <v>0</v>
      </c>
      <c r="F5" s="163">
        <f>PLANTILLA!Y10</f>
        <v>11.649999999999997</v>
      </c>
      <c r="G5" s="163">
        <f>PLANTILLA!Z10</f>
        <v>6.700000000000002</v>
      </c>
      <c r="H5" s="163">
        <f>PLANTILLA!AA10</f>
        <v>7.4300000000000015</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51</v>
      </c>
      <c r="E6" s="163">
        <f>PLANTILLA!X14</f>
        <v>0</v>
      </c>
      <c r="F6" s="163">
        <f>PLANTILLA!Y14</f>
        <v>8.1199999999999992</v>
      </c>
      <c r="G6" s="163">
        <f>PLANTILLA!Z14</f>
        <v>12.058412698412699</v>
      </c>
      <c r="H6" s="163">
        <f>PLANTILLA!AA14</f>
        <v>12.25</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15</v>
      </c>
      <c r="E7" s="163">
        <f>PLANTILLA!X9</f>
        <v>0</v>
      </c>
      <c r="F7" s="163">
        <f>PLANTILLA!Y9</f>
        <v>12.060000000000004</v>
      </c>
      <c r="G7" s="163">
        <f>PLANTILLA!Z9</f>
        <v>13.116555555555554</v>
      </c>
      <c r="H7" s="163">
        <f>PLANTILLA!AA9</f>
        <v>9.8200000000000056</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30</v>
      </c>
      <c r="D8" s="287">
        <f ca="1">PLANTILLA!F12</f>
        <v>89</v>
      </c>
      <c r="E8" s="163">
        <f>PLANTILLA!X12</f>
        <v>0</v>
      </c>
      <c r="F8" s="163">
        <f>PLANTILLA!Y12</f>
        <v>11.95</v>
      </c>
      <c r="G8" s="163">
        <f>PLANTILLA!Z12</f>
        <v>12.489111111111114</v>
      </c>
      <c r="H8" s="163">
        <f>PLANTILLA!AA12</f>
        <v>13.133333333333335</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36</v>
      </c>
      <c r="E9" s="163">
        <f>PLANTILLA!X13</f>
        <v>0</v>
      </c>
      <c r="F9" s="163">
        <f>PLANTILLA!Y13</f>
        <v>7.11</v>
      </c>
      <c r="G9" s="163">
        <f>PLANTILLA!Z13</f>
        <v>10.450000000000003</v>
      </c>
      <c r="H9" s="163">
        <f>PLANTILLA!AA13</f>
        <v>13.388333333333334</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31</v>
      </c>
      <c r="D10" s="287">
        <f ca="1">PLANTILLA!F16</f>
        <v>82</v>
      </c>
      <c r="E10" s="163">
        <f>PLANTILLA!X16</f>
        <v>0</v>
      </c>
      <c r="F10" s="163">
        <f>PLANTILLA!Y16</f>
        <v>8.6075555555555585</v>
      </c>
      <c r="G10" s="163">
        <f>PLANTILLA!Z16</f>
        <v>14.190398412698405</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48</v>
      </c>
      <c r="E11" s="163">
        <f>PLANTILLA!X15</f>
        <v>0</v>
      </c>
      <c r="F11" s="163">
        <f>PLANTILLA!Y15</f>
        <v>9.1936666666666653</v>
      </c>
      <c r="G11" s="163">
        <f>PLANTILLA!Z15</f>
        <v>13.679999999999998</v>
      </c>
      <c r="H11" s="163">
        <f>PLANTILLA!AA15</f>
        <v>12.835000000000001</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PLANTILLA!A21</f>
        <v>#19</v>
      </c>
      <c r="B12" s="219" t="str">
        <f>PLANTILLA!D21</f>
        <v>G. Kerschl</v>
      </c>
      <c r="C12" s="287">
        <f>PLANTILLA!E21</f>
        <v>28</v>
      </c>
      <c r="D12" s="287">
        <f ca="1">PLANTILLA!F21</f>
        <v>78</v>
      </c>
      <c r="E12" s="163">
        <f>PLANTILLA!X21</f>
        <v>0</v>
      </c>
      <c r="F12" s="163">
        <f>PLANTILLA!Y21</f>
        <v>2</v>
      </c>
      <c r="G12" s="163">
        <f>PLANTILLA!Z21</f>
        <v>14.55</v>
      </c>
      <c r="H12" s="163">
        <f>PLANTILLA!AA21</f>
        <v>12.01</v>
      </c>
      <c r="I12" s="163">
        <f>PLANTILLA!AB21</f>
        <v>12</v>
      </c>
      <c r="J12" s="163">
        <f>PLANTILLA!AC21</f>
        <v>8</v>
      </c>
      <c r="K12" s="163">
        <f>PLANTILLA!AD21</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PLANTILLA!A23</f>
        <v>#18</v>
      </c>
      <c r="B13" s="219" t="str">
        <f>PLANTILLA!D23</f>
        <v>L. Calosso</v>
      </c>
      <c r="C13" s="287">
        <f>PLANTILLA!E23</f>
        <v>30</v>
      </c>
      <c r="D13" s="287">
        <f ca="1">PLANTILLA!F23</f>
        <v>45</v>
      </c>
      <c r="E13" s="163">
        <f>PLANTILLA!X23</f>
        <v>0</v>
      </c>
      <c r="F13" s="163">
        <f>PLANTILLA!Y23</f>
        <v>2</v>
      </c>
      <c r="G13" s="163">
        <f>PLANTILLA!Z23</f>
        <v>14.127609523809523</v>
      </c>
      <c r="H13" s="163">
        <f>PLANTILLA!AA23</f>
        <v>3.02</v>
      </c>
      <c r="I13" s="163">
        <f>PLANTILLA!AB23</f>
        <v>15.02</v>
      </c>
      <c r="J13" s="163">
        <f>PLANTILLA!AC23</f>
        <v>10</v>
      </c>
      <c r="K13" s="163">
        <f>PLANTILLA!AD23</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51</v>
      </c>
      <c r="E14" s="163">
        <f>PLANTILLA!X18</f>
        <v>0</v>
      </c>
      <c r="F14" s="163">
        <f>PLANTILLA!Y18</f>
        <v>5.2811111111111115</v>
      </c>
      <c r="G14" s="163">
        <f>PLANTILLA!Z18</f>
        <v>14.283789947089938</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16</v>
      </c>
      <c r="E15" s="163">
        <f>PLANTILLA!X7</f>
        <v>0</v>
      </c>
      <c r="F15" s="163">
        <f>PLANTILLA!Y7</f>
        <v>14.200000000000003</v>
      </c>
      <c r="G15" s="163">
        <f>PLANTILLA!Z7</f>
        <v>9.3093333333333348</v>
      </c>
      <c r="H15" s="163">
        <f>PLANTILLA!AA7</f>
        <v>14.291666666666663</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PLANTILLA!A22</f>
        <v>#9</v>
      </c>
      <c r="B16" s="219" t="str">
        <f>PLANTILLA!D22</f>
        <v>J. Limon</v>
      </c>
      <c r="C16" s="287">
        <f>PLANTILLA!E22</f>
        <v>29</v>
      </c>
      <c r="D16" s="287">
        <f ca="1">PLANTILLA!F22</f>
        <v>88</v>
      </c>
      <c r="E16" s="163">
        <f>PLANTILLA!X22</f>
        <v>0</v>
      </c>
      <c r="F16" s="163">
        <f>PLANTILLA!Y22</f>
        <v>6.8176190476190497</v>
      </c>
      <c r="G16" s="163">
        <f>PLANTILLA!Z22</f>
        <v>8.5</v>
      </c>
      <c r="H16" s="163">
        <f>PLANTILLA!AA22</f>
        <v>8.7299999999999969</v>
      </c>
      <c r="I16" s="163">
        <f>PLANTILLA!AB22</f>
        <v>9.6900000000000013</v>
      </c>
      <c r="J16" s="163">
        <f>PLANTILLA!AC22</f>
        <v>8.5625000000000018</v>
      </c>
      <c r="K16" s="163">
        <f>PLANTILLA!AD22</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PLANTILLA!A24</f>
        <v>#15</v>
      </c>
      <c r="B17" s="219" t="str">
        <f>PLANTILLA!D24</f>
        <v>P .Trivadi</v>
      </c>
      <c r="C17" s="287">
        <f>PLANTILLA!E24</f>
        <v>27</v>
      </c>
      <c r="D17" s="287">
        <f ca="1">PLANTILLA!F24</f>
        <v>7</v>
      </c>
      <c r="E17" s="163">
        <f>PLANTILLA!X24</f>
        <v>0</v>
      </c>
      <c r="F17" s="163">
        <f>PLANTILLA!Y24</f>
        <v>4</v>
      </c>
      <c r="G17" s="163">
        <f>PLANTILLA!Z24</f>
        <v>5.5438722222222205</v>
      </c>
      <c r="H17" s="163">
        <f>PLANTILLA!AA24</f>
        <v>5.4899999999999993</v>
      </c>
      <c r="I17" s="163">
        <f>PLANTILLA!AB24</f>
        <v>10.799999999999999</v>
      </c>
      <c r="J17" s="163">
        <f>PLANTILLA!AC24</f>
        <v>8.384500000000001</v>
      </c>
      <c r="K17" s="163">
        <f>PLANTILLA!AD24</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4</v>
      </c>
      <c r="E18" s="163">
        <f>PLANTILLA!X5</f>
        <v>16.666666666666668</v>
      </c>
      <c r="F18" s="163">
        <f>PLANTILLA!Y5</f>
        <v>11.832727272727276</v>
      </c>
      <c r="G18" s="163">
        <f>PLANTILLA!Z5</f>
        <v>2.0399999999999991</v>
      </c>
      <c r="H18" s="163">
        <f>PLANTILLA!AA5</f>
        <v>2.1399999999999992</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30</v>
      </c>
      <c r="D19" s="287">
        <f ca="1">PLANTILLA!F17</f>
        <v>76</v>
      </c>
      <c r="E19" s="163">
        <f>PLANTILLA!X17</f>
        <v>0</v>
      </c>
      <c r="F19" s="163">
        <f>PLANTILLA!Y17</f>
        <v>10.349999999999996</v>
      </c>
      <c r="G19" s="163">
        <f>PLANTILLA!Z17</f>
        <v>12.859777777777778</v>
      </c>
      <c r="H19" s="163">
        <f>PLANTILLA!AA17</f>
        <v>5.1299999999999981</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13</v>
      </c>
      <c r="E20" s="163">
        <f>PLANTILLA!X6</f>
        <v>10.3</v>
      </c>
      <c r="F20" s="163">
        <f>PLANTILLA!Y6</f>
        <v>10.794999999999998</v>
      </c>
      <c r="G20" s="163">
        <f>PLANTILLA!Z6</f>
        <v>4.6300000000000008</v>
      </c>
      <c r="H20" s="163">
        <f>PLANTILLA!AA6</f>
        <v>4.95</v>
      </c>
      <c r="I20" s="163">
        <f>PLANTILLA!AB6</f>
        <v>6.5444444444444434</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23</v>
      </c>
      <c r="E21" s="163">
        <f>PLANTILLA!X11</f>
        <v>0</v>
      </c>
      <c r="F21" s="163">
        <f>PLANTILLA!Y11</f>
        <v>9.5796666666666663</v>
      </c>
      <c r="G21" s="163">
        <f>PLANTILLA!Z11</f>
        <v>7.7407222222222227</v>
      </c>
      <c r="H21" s="163">
        <f>PLANTILLA!AA11</f>
        <v>6.1499999999999986</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28</v>
      </c>
      <c r="D22" s="287">
        <f ca="1">PLANTILLA!F19</f>
        <v>113</v>
      </c>
      <c r="E22" s="163">
        <f>PLANTILLA!X19</f>
        <v>0</v>
      </c>
      <c r="F22" s="163">
        <f>PLANTILLA!Y19</f>
        <v>5.6315555555555523</v>
      </c>
      <c r="G22" s="163">
        <f>PLANTILLA!Z19</f>
        <v>9.8523388888888874</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str">
        <f>PLANTILLA!A20</f>
        <v>#89</v>
      </c>
      <c r="B23" s="287" t="str">
        <f>PLANTILLA!D20</f>
        <v>M. Amico</v>
      </c>
      <c r="C23" s="287">
        <f>PLANTILLA!E20</f>
        <v>29</v>
      </c>
      <c r="D23" s="287">
        <f ca="1">PLANTILLA!F20</f>
        <v>8</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Q3" sqref="Q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43073</v>
      </c>
      <c r="F2" s="291"/>
      <c r="G2" s="698" t="s">
        <v>444</v>
      </c>
      <c r="H2" s="698"/>
      <c r="J2" s="291"/>
      <c r="K2" s="291"/>
      <c r="L2" s="698" t="s">
        <v>865</v>
      </c>
      <c r="M2" s="698"/>
      <c r="N2" s="698"/>
      <c r="O2" s="630"/>
      <c r="P2" s="309"/>
      <c r="Q2" s="309"/>
      <c r="R2" s="698" t="s">
        <v>446</v>
      </c>
      <c r="S2" s="698"/>
      <c r="U2" s="4" t="s">
        <v>874</v>
      </c>
      <c r="V2" s="3" t="s">
        <v>176</v>
      </c>
      <c r="W2" s="291"/>
      <c r="X2" s="291"/>
    </row>
    <row r="3" spans="1:24" x14ac:dyDescent="0.25">
      <c r="F3">
        <v>1</v>
      </c>
      <c r="G3" s="3">
        <v>55</v>
      </c>
      <c r="H3" t="s">
        <v>783</v>
      </c>
      <c r="I3" t="s">
        <v>1</v>
      </c>
      <c r="K3" s="620">
        <v>1</v>
      </c>
      <c r="L3" s="3">
        <v>274</v>
      </c>
      <c r="M3" t="s">
        <v>460</v>
      </c>
      <c r="N3" t="s">
        <v>459</v>
      </c>
      <c r="O3" s="370">
        <f t="shared" ref="O3:O22" si="0">L3/$G$22</f>
        <v>0.88102893890675238</v>
      </c>
      <c r="Q3" s="620">
        <v>1</v>
      </c>
      <c r="R3" s="3">
        <v>189</v>
      </c>
      <c r="S3" t="s">
        <v>447</v>
      </c>
      <c r="T3" t="s">
        <v>212</v>
      </c>
      <c r="U3" s="159">
        <f>R3/L7</f>
        <v>0.86301369863013699</v>
      </c>
      <c r="V3" s="47">
        <f t="shared" ref="V3:V16" si="1">R3/$R$32</f>
        <v>0.18529411764705883</v>
      </c>
    </row>
    <row r="4" spans="1:24" s="291" customFormat="1" ht="18.75" x14ac:dyDescent="0.3">
      <c r="A4" s="291" t="s">
        <v>441</v>
      </c>
      <c r="F4">
        <v>2</v>
      </c>
      <c r="G4" s="3">
        <v>53</v>
      </c>
      <c r="H4" t="s">
        <v>206</v>
      </c>
      <c r="I4" s="290" t="s">
        <v>1</v>
      </c>
      <c r="J4"/>
      <c r="K4" s="620">
        <v>2</v>
      </c>
      <c r="L4" s="3">
        <v>270</v>
      </c>
      <c r="M4" t="s">
        <v>473</v>
      </c>
      <c r="N4" s="290" t="s">
        <v>439</v>
      </c>
      <c r="O4" s="370">
        <f t="shared" si="0"/>
        <v>0.86816720257234725</v>
      </c>
      <c r="P4"/>
      <c r="Q4" s="620">
        <v>2</v>
      </c>
      <c r="R4" s="3">
        <v>87</v>
      </c>
      <c r="S4" t="s">
        <v>547</v>
      </c>
      <c r="T4" t="s">
        <v>65</v>
      </c>
      <c r="U4" s="159">
        <f>R4/L13</f>
        <v>0.47802197802197804</v>
      </c>
      <c r="V4" s="47">
        <f t="shared" si="1"/>
        <v>8.5294117647058826E-2</v>
      </c>
      <c r="W4"/>
      <c r="X4"/>
    </row>
    <row r="5" spans="1:24" x14ac:dyDescent="0.25">
      <c r="A5" s="179" t="s">
        <v>442</v>
      </c>
      <c r="B5" s="492" t="s">
        <v>877</v>
      </c>
      <c r="C5" s="290">
        <v>43066</v>
      </c>
      <c r="D5" t="s">
        <v>878</v>
      </c>
      <c r="F5">
        <v>3</v>
      </c>
      <c r="G5" s="665">
        <v>46</v>
      </c>
      <c r="H5" s="663" t="s">
        <v>204</v>
      </c>
      <c r="I5" s="664" t="s">
        <v>1</v>
      </c>
      <c r="K5" s="632">
        <v>3</v>
      </c>
      <c r="L5" s="3">
        <v>242</v>
      </c>
      <c r="M5" t="s">
        <v>449</v>
      </c>
      <c r="N5" s="290" t="s">
        <v>64</v>
      </c>
      <c r="O5" s="370">
        <f t="shared" si="0"/>
        <v>0.77813504823151125</v>
      </c>
      <c r="Q5" s="620">
        <v>3</v>
      </c>
      <c r="R5" s="3">
        <v>79</v>
      </c>
      <c r="S5" t="s">
        <v>449</v>
      </c>
      <c r="T5" t="s">
        <v>64</v>
      </c>
      <c r="U5" s="159">
        <f>R5/L5</f>
        <v>0.32644628099173556</v>
      </c>
      <c r="V5" s="47">
        <f t="shared" si="1"/>
        <v>7.7450980392156865E-2</v>
      </c>
    </row>
    <row r="6" spans="1:24" ht="18.75" x14ac:dyDescent="0.3">
      <c r="A6" s="179" t="s">
        <v>863</v>
      </c>
      <c r="B6" s="366" t="s">
        <v>870</v>
      </c>
      <c r="C6" s="290">
        <v>43055</v>
      </c>
      <c r="D6" t="s">
        <v>871</v>
      </c>
      <c r="F6">
        <v>4</v>
      </c>
      <c r="G6" s="665">
        <v>2</v>
      </c>
      <c r="H6" s="663" t="s">
        <v>200</v>
      </c>
      <c r="I6" s="663" t="s">
        <v>1</v>
      </c>
      <c r="J6" s="291"/>
      <c r="K6" s="632">
        <v>4</v>
      </c>
      <c r="L6" s="342">
        <v>226</v>
      </c>
      <c r="M6" t="s">
        <v>498</v>
      </c>
      <c r="N6" s="290" t="s">
        <v>64</v>
      </c>
      <c r="O6" s="370">
        <f t="shared" si="0"/>
        <v>0.72668810289389063</v>
      </c>
      <c r="P6" s="291"/>
      <c r="Q6" s="620">
        <v>4</v>
      </c>
      <c r="R6" s="321">
        <v>72</v>
      </c>
      <c r="S6" t="s">
        <v>460</v>
      </c>
      <c r="T6" t="s">
        <v>459</v>
      </c>
      <c r="U6" s="159">
        <f>R6/L3</f>
        <v>0.26277372262773724</v>
      </c>
      <c r="V6" s="47">
        <f t="shared" si="1"/>
        <v>7.0588235294117646E-2</v>
      </c>
      <c r="X6" s="291"/>
    </row>
    <row r="7" spans="1:24" ht="18.75" x14ac:dyDescent="0.3">
      <c r="F7">
        <v>5</v>
      </c>
      <c r="G7" s="3">
        <v>1</v>
      </c>
      <c r="H7" t="s">
        <v>448</v>
      </c>
      <c r="I7" t="s">
        <v>2</v>
      </c>
      <c r="K7" s="632">
        <v>5</v>
      </c>
      <c r="L7" s="342">
        <v>219</v>
      </c>
      <c r="M7" t="s">
        <v>496</v>
      </c>
      <c r="N7" s="290" t="s">
        <v>212</v>
      </c>
      <c r="O7" s="370">
        <f t="shared" si="0"/>
        <v>0.70418006430868163</v>
      </c>
      <c r="Q7" s="620">
        <v>5</v>
      </c>
      <c r="R7" s="380">
        <v>62</v>
      </c>
      <c r="S7" t="s">
        <v>497</v>
      </c>
      <c r="T7" s="290" t="s">
        <v>65</v>
      </c>
      <c r="U7" s="159">
        <f>R7/L10</f>
        <v>0.29665071770334928</v>
      </c>
      <c r="V7" s="47">
        <f t="shared" si="1"/>
        <v>6.0784313725490195E-2</v>
      </c>
      <c r="W7" s="291"/>
    </row>
    <row r="8" spans="1:24" s="291" customFormat="1" ht="18.75" x14ac:dyDescent="0.3">
      <c r="A8" s="698" t="s">
        <v>864</v>
      </c>
      <c r="B8" s="698"/>
      <c r="F8">
        <v>5</v>
      </c>
      <c r="G8" s="665">
        <v>1</v>
      </c>
      <c r="H8" s="663" t="s">
        <v>462</v>
      </c>
      <c r="I8" s="663" t="s">
        <v>439</v>
      </c>
      <c r="J8"/>
      <c r="K8" s="632">
        <v>6</v>
      </c>
      <c r="L8" s="317">
        <v>215</v>
      </c>
      <c r="M8" t="s">
        <v>457</v>
      </c>
      <c r="N8" s="290" t="s">
        <v>64</v>
      </c>
      <c r="O8" s="370">
        <f t="shared" si="0"/>
        <v>0.6913183279742765</v>
      </c>
      <c r="P8"/>
      <c r="Q8" s="620">
        <v>6</v>
      </c>
      <c r="R8" s="321">
        <v>58</v>
      </c>
      <c r="S8" t="s">
        <v>473</v>
      </c>
      <c r="T8" s="290" t="s">
        <v>439</v>
      </c>
      <c r="U8" s="159">
        <f>R8/L4</f>
        <v>0.21481481481481482</v>
      </c>
      <c r="V8" s="47">
        <f t="shared" si="1"/>
        <v>5.6862745098039215E-2</v>
      </c>
      <c r="W8"/>
      <c r="X8"/>
    </row>
    <row r="9" spans="1:24" ht="18.75" x14ac:dyDescent="0.3">
      <c r="A9" s="660" t="s">
        <v>867</v>
      </c>
      <c r="B9" t="s">
        <v>861</v>
      </c>
      <c r="C9" s="290" t="s">
        <v>66</v>
      </c>
      <c r="K9" s="632">
        <v>6</v>
      </c>
      <c r="L9" s="317">
        <v>215</v>
      </c>
      <c r="M9" t="s">
        <v>461</v>
      </c>
      <c r="N9" s="290" t="s">
        <v>439</v>
      </c>
      <c r="O9" s="370">
        <f t="shared" si="0"/>
        <v>0.6913183279742765</v>
      </c>
      <c r="Q9" s="620">
        <v>7</v>
      </c>
      <c r="R9" s="317">
        <v>53</v>
      </c>
      <c r="S9" t="s">
        <v>498</v>
      </c>
      <c r="T9" s="290" t="s">
        <v>64</v>
      </c>
      <c r="U9" s="159">
        <f>R9/L6</f>
        <v>0.23451327433628319</v>
      </c>
      <c r="V9" s="47">
        <f t="shared" si="1"/>
        <v>5.1960784313725493E-2</v>
      </c>
      <c r="W9" s="291"/>
    </row>
    <row r="10" spans="1:24" ht="18.75" x14ac:dyDescent="0.3">
      <c r="A10" s="568" t="s">
        <v>868</v>
      </c>
      <c r="B10" t="s">
        <v>783</v>
      </c>
      <c r="C10" t="s">
        <v>1</v>
      </c>
      <c r="F10" s="291"/>
      <c r="G10" s="698" t="s">
        <v>445</v>
      </c>
      <c r="H10" s="698"/>
      <c r="J10" s="291"/>
      <c r="K10" s="632">
        <v>8</v>
      </c>
      <c r="L10" s="342">
        <v>209</v>
      </c>
      <c r="M10" t="s">
        <v>497</v>
      </c>
      <c r="N10" s="290" t="s">
        <v>65</v>
      </c>
      <c r="O10" s="370">
        <f t="shared" si="0"/>
        <v>0.67202572347266876</v>
      </c>
      <c r="P10" s="291"/>
      <c r="Q10" s="620">
        <v>7</v>
      </c>
      <c r="R10" s="360">
        <v>53</v>
      </c>
      <c r="S10" t="s">
        <v>476</v>
      </c>
      <c r="T10" s="290" t="s">
        <v>64</v>
      </c>
      <c r="U10" s="159">
        <f>R10/L11</f>
        <v>0.28342245989304815</v>
      </c>
      <c r="V10" s="47">
        <f t="shared" si="1"/>
        <v>5.1960784313725493E-2</v>
      </c>
      <c r="X10" s="291"/>
    </row>
    <row r="11" spans="1:24" x14ac:dyDescent="0.25">
      <c r="A11" s="382" t="s">
        <v>791</v>
      </c>
      <c r="B11" t="s">
        <v>460</v>
      </c>
      <c r="C11" t="s">
        <v>459</v>
      </c>
      <c r="F11">
        <v>1</v>
      </c>
      <c r="G11" s="444">
        <v>108</v>
      </c>
      <c r="H11" t="s">
        <v>783</v>
      </c>
      <c r="I11" t="s">
        <v>1</v>
      </c>
      <c r="K11" s="632">
        <v>9</v>
      </c>
      <c r="L11" s="317">
        <v>187</v>
      </c>
      <c r="M11" t="s">
        <v>476</v>
      </c>
      <c r="N11" s="290" t="s">
        <v>64</v>
      </c>
      <c r="O11" s="370">
        <f t="shared" si="0"/>
        <v>0.6012861736334405</v>
      </c>
      <c r="Q11" s="620">
        <v>9</v>
      </c>
      <c r="R11" s="381">
        <v>50</v>
      </c>
      <c r="S11" t="s">
        <v>550</v>
      </c>
      <c r="T11" s="290" t="s">
        <v>212</v>
      </c>
      <c r="U11" s="159">
        <f>R11/L17</f>
        <v>0.47169811320754718</v>
      </c>
      <c r="V11" s="47">
        <f t="shared" si="1"/>
        <v>4.9019607843137254E-2</v>
      </c>
    </row>
    <row r="12" spans="1:24" s="291" customFormat="1" ht="18.75" x14ac:dyDescent="0.3">
      <c r="A12" s="382" t="s">
        <v>791</v>
      </c>
      <c r="B12" t="s">
        <v>498</v>
      </c>
      <c r="C12" s="290" t="s">
        <v>64</v>
      </c>
      <c r="F12">
        <v>2</v>
      </c>
      <c r="G12" s="665">
        <v>88</v>
      </c>
      <c r="H12" s="663" t="s">
        <v>204</v>
      </c>
      <c r="I12" s="664" t="s">
        <v>1</v>
      </c>
      <c r="J12"/>
      <c r="K12" s="632">
        <v>10</v>
      </c>
      <c r="L12" s="321">
        <v>184</v>
      </c>
      <c r="M12" t="s">
        <v>206</v>
      </c>
      <c r="N12" s="290" t="s">
        <v>1</v>
      </c>
      <c r="O12" s="370">
        <f t="shared" si="0"/>
        <v>0.59163987138263663</v>
      </c>
      <c r="P12"/>
      <c r="Q12" s="620">
        <v>10</v>
      </c>
      <c r="R12" s="321">
        <v>49</v>
      </c>
      <c r="S12" t="s">
        <v>461</v>
      </c>
      <c r="T12" s="290" t="s">
        <v>439</v>
      </c>
      <c r="U12" s="159">
        <f>R12/L9</f>
        <v>0.22790697674418606</v>
      </c>
      <c r="V12" s="47">
        <f t="shared" si="1"/>
        <v>4.8039215686274513E-2</v>
      </c>
      <c r="W12"/>
      <c r="X12"/>
    </row>
    <row r="13" spans="1:24" x14ac:dyDescent="0.25">
      <c r="A13" s="656" t="s">
        <v>791</v>
      </c>
      <c r="B13" t="s">
        <v>858</v>
      </c>
      <c r="C13" t="s">
        <v>2</v>
      </c>
      <c r="F13">
        <v>3</v>
      </c>
      <c r="G13" s="317">
        <v>68</v>
      </c>
      <c r="H13" t="s">
        <v>473</v>
      </c>
      <c r="I13" s="290" t="s">
        <v>439</v>
      </c>
      <c r="K13" s="632">
        <v>11</v>
      </c>
      <c r="L13" s="444">
        <v>182</v>
      </c>
      <c r="M13" t="s">
        <v>547</v>
      </c>
      <c r="N13" t="s">
        <v>65</v>
      </c>
      <c r="O13" s="370">
        <f t="shared" si="0"/>
        <v>0.58520900321543412</v>
      </c>
      <c r="Q13" s="620">
        <v>11</v>
      </c>
      <c r="R13" s="317">
        <v>47</v>
      </c>
      <c r="S13" t="s">
        <v>448</v>
      </c>
      <c r="T13" t="s">
        <v>2</v>
      </c>
      <c r="U13" s="159">
        <f>R13/L14</f>
        <v>0.28834355828220859</v>
      </c>
      <c r="V13" s="47">
        <f t="shared" si="1"/>
        <v>4.6078431372549022E-2</v>
      </c>
    </row>
    <row r="14" spans="1:24" x14ac:dyDescent="0.25">
      <c r="A14" s="382" t="s">
        <v>791</v>
      </c>
      <c r="B14" t="s">
        <v>449</v>
      </c>
      <c r="C14" s="290" t="s">
        <v>64</v>
      </c>
      <c r="F14">
        <v>4</v>
      </c>
      <c r="G14" s="662">
        <v>21</v>
      </c>
      <c r="H14" s="663" t="s">
        <v>190</v>
      </c>
      <c r="I14" s="663" t="s">
        <v>65</v>
      </c>
      <c r="K14" s="632">
        <v>12</v>
      </c>
      <c r="L14" s="317">
        <v>163</v>
      </c>
      <c r="M14" t="s">
        <v>448</v>
      </c>
      <c r="N14" s="290" t="s">
        <v>439</v>
      </c>
      <c r="O14" s="370">
        <f t="shared" si="0"/>
        <v>0.52411575562700963</v>
      </c>
      <c r="Q14" s="620">
        <v>12</v>
      </c>
      <c r="R14" s="321">
        <v>36</v>
      </c>
      <c r="S14" t="s">
        <v>457</v>
      </c>
      <c r="T14" t="s">
        <v>64</v>
      </c>
      <c r="U14" s="159">
        <f>R14/L8</f>
        <v>0.16744186046511628</v>
      </c>
      <c r="V14" s="47">
        <f t="shared" si="1"/>
        <v>3.5294117647058823E-2</v>
      </c>
    </row>
    <row r="15" spans="1:24" x14ac:dyDescent="0.25">
      <c r="A15" s="382" t="s">
        <v>820</v>
      </c>
      <c r="B15" t="s">
        <v>497</v>
      </c>
      <c r="C15" s="290" t="s">
        <v>65</v>
      </c>
      <c r="F15">
        <v>5</v>
      </c>
      <c r="G15" s="444">
        <v>7</v>
      </c>
      <c r="H15" t="s">
        <v>449</v>
      </c>
      <c r="I15" s="290" t="s">
        <v>64</v>
      </c>
      <c r="K15" s="632">
        <v>13</v>
      </c>
      <c r="L15" s="662">
        <v>146</v>
      </c>
      <c r="M15" s="663" t="s">
        <v>204</v>
      </c>
      <c r="N15" s="664" t="s">
        <v>1</v>
      </c>
      <c r="O15" s="666">
        <f t="shared" si="0"/>
        <v>0.46945337620578781</v>
      </c>
      <c r="Q15" s="620">
        <v>13</v>
      </c>
      <c r="R15" s="444">
        <v>27</v>
      </c>
      <c r="S15" s="246" t="s">
        <v>861</v>
      </c>
      <c r="T15" s="246" t="s">
        <v>66</v>
      </c>
      <c r="U15" s="159">
        <f>R15/L23</f>
        <v>0.6428571428571429</v>
      </c>
      <c r="V15" s="47">
        <f t="shared" si="1"/>
        <v>2.6470588235294117E-2</v>
      </c>
      <c r="W15">
        <v>103</v>
      </c>
    </row>
    <row r="16" spans="1:24" x14ac:dyDescent="0.25">
      <c r="A16" s="380" t="s">
        <v>820</v>
      </c>
      <c r="B16" t="s">
        <v>473</v>
      </c>
      <c r="C16" s="290" t="s">
        <v>439</v>
      </c>
      <c r="F16">
        <v>6</v>
      </c>
      <c r="G16" s="662">
        <v>6</v>
      </c>
      <c r="H16" s="663" t="s">
        <v>194</v>
      </c>
      <c r="I16" s="664" t="s">
        <v>64</v>
      </c>
      <c r="K16" s="632">
        <v>14</v>
      </c>
      <c r="L16" s="444">
        <v>120</v>
      </c>
      <c r="M16" t="s">
        <v>783</v>
      </c>
      <c r="N16" t="s">
        <v>1</v>
      </c>
      <c r="O16" s="370">
        <f t="shared" si="0"/>
        <v>0.38585209003215432</v>
      </c>
      <c r="Q16" s="620">
        <v>14</v>
      </c>
      <c r="R16" s="317">
        <v>20</v>
      </c>
      <c r="S16" t="s">
        <v>513</v>
      </c>
      <c r="T16" t="s">
        <v>64</v>
      </c>
      <c r="U16" s="159">
        <f>R16/L18</f>
        <v>0.20833333333333334</v>
      </c>
      <c r="V16" s="47">
        <f t="shared" si="1"/>
        <v>1.9607843137254902E-2</v>
      </c>
    </row>
    <row r="17" spans="1:23" x14ac:dyDescent="0.25">
      <c r="A17" s="382" t="s">
        <v>820</v>
      </c>
      <c r="B17" t="s">
        <v>476</v>
      </c>
      <c r="C17" s="290" t="s">
        <v>64</v>
      </c>
      <c r="F17">
        <v>7</v>
      </c>
      <c r="G17" s="665">
        <v>5</v>
      </c>
      <c r="H17" s="663" t="s">
        <v>193</v>
      </c>
      <c r="I17" s="664" t="s">
        <v>64</v>
      </c>
      <c r="K17" s="632">
        <v>15</v>
      </c>
      <c r="L17" s="444">
        <v>106</v>
      </c>
      <c r="M17" s="246" t="s">
        <v>627</v>
      </c>
      <c r="N17" s="453" t="s">
        <v>212</v>
      </c>
      <c r="O17" s="370">
        <f t="shared" si="0"/>
        <v>0.34083601286173631</v>
      </c>
      <c r="Q17" s="620">
        <v>15</v>
      </c>
      <c r="R17" s="662">
        <v>19</v>
      </c>
      <c r="S17" s="663" t="s">
        <v>205</v>
      </c>
      <c r="T17" s="664" t="s">
        <v>451</v>
      </c>
      <c r="U17" s="159"/>
      <c r="V17" s="47"/>
    </row>
    <row r="18" spans="1:23" x14ac:dyDescent="0.25">
      <c r="A18" s="380" t="s">
        <v>792</v>
      </c>
      <c r="B18" t="s">
        <v>547</v>
      </c>
      <c r="C18" s="290" t="s">
        <v>65</v>
      </c>
      <c r="F18">
        <v>8</v>
      </c>
      <c r="G18" s="662">
        <v>4</v>
      </c>
      <c r="H18" s="663" t="s">
        <v>387</v>
      </c>
      <c r="I18" s="664" t="s">
        <v>212</v>
      </c>
      <c r="K18" s="632">
        <v>16</v>
      </c>
      <c r="L18" s="444">
        <v>96</v>
      </c>
      <c r="M18" t="s">
        <v>513</v>
      </c>
      <c r="N18" t="s">
        <v>64</v>
      </c>
      <c r="O18" s="370">
        <f t="shared" si="0"/>
        <v>0.3086816720257235</v>
      </c>
      <c r="Q18" s="620">
        <v>16</v>
      </c>
      <c r="R18" s="662">
        <v>15</v>
      </c>
      <c r="S18" s="663" t="s">
        <v>193</v>
      </c>
      <c r="T18" s="664" t="s">
        <v>64</v>
      </c>
      <c r="U18" s="159"/>
      <c r="V18" s="47"/>
    </row>
    <row r="19" spans="1:23" x14ac:dyDescent="0.25">
      <c r="A19" s="380" t="s">
        <v>792</v>
      </c>
      <c r="B19" t="s">
        <v>496</v>
      </c>
      <c r="C19" s="290" t="s">
        <v>212</v>
      </c>
      <c r="F19">
        <v>9</v>
      </c>
      <c r="G19" s="605">
        <v>2</v>
      </c>
      <c r="H19" t="s">
        <v>206</v>
      </c>
      <c r="I19" s="290" t="s">
        <v>1</v>
      </c>
      <c r="K19" s="632">
        <v>17</v>
      </c>
      <c r="L19" s="662">
        <v>89</v>
      </c>
      <c r="M19" s="663" t="s">
        <v>462</v>
      </c>
      <c r="N19" s="664" t="s">
        <v>439</v>
      </c>
      <c r="O19" s="666">
        <f t="shared" si="0"/>
        <v>0.2861736334405145</v>
      </c>
      <c r="Q19" s="620">
        <v>17</v>
      </c>
      <c r="R19" s="317">
        <v>12</v>
      </c>
      <c r="S19" t="s">
        <v>533</v>
      </c>
      <c r="T19" t="s">
        <v>212</v>
      </c>
      <c r="U19" s="159">
        <f>R19/L25</f>
        <v>0.375</v>
      </c>
      <c r="V19" s="47">
        <f>R19/$R$32</f>
        <v>1.1764705882352941E-2</v>
      </c>
    </row>
    <row r="20" spans="1:23" x14ac:dyDescent="0.25">
      <c r="A20" s="382" t="s">
        <v>792</v>
      </c>
      <c r="B20" t="s">
        <v>457</v>
      </c>
      <c r="C20" s="290" t="s">
        <v>64</v>
      </c>
      <c r="F20">
        <v>10</v>
      </c>
      <c r="G20" s="665">
        <v>1</v>
      </c>
      <c r="H20" s="663" t="s">
        <v>205</v>
      </c>
      <c r="I20" s="664" t="s">
        <v>451</v>
      </c>
      <c r="K20" s="632">
        <v>18</v>
      </c>
      <c r="L20" s="444">
        <v>71</v>
      </c>
      <c r="M20" t="s">
        <v>858</v>
      </c>
      <c r="N20" t="s">
        <v>2</v>
      </c>
      <c r="O20" s="370">
        <f t="shared" si="0"/>
        <v>0.22829581993569131</v>
      </c>
      <c r="Q20" s="620">
        <v>18</v>
      </c>
      <c r="R20" s="321">
        <v>11</v>
      </c>
      <c r="S20" t="s">
        <v>206</v>
      </c>
      <c r="T20" s="290" t="s">
        <v>1</v>
      </c>
      <c r="U20" s="159">
        <f>R20/L12</f>
        <v>5.9782608695652176E-2</v>
      </c>
      <c r="V20" s="47">
        <f>R20/$R$32</f>
        <v>1.0784313725490196E-2</v>
      </c>
    </row>
    <row r="21" spans="1:23" x14ac:dyDescent="0.25">
      <c r="A21" s="382" t="s">
        <v>713</v>
      </c>
      <c r="B21" t="s">
        <v>550</v>
      </c>
      <c r="C21" s="290" t="s">
        <v>212</v>
      </c>
      <c r="F21">
        <v>10</v>
      </c>
      <c r="G21" s="3">
        <v>1</v>
      </c>
      <c r="H21" t="s">
        <v>448</v>
      </c>
      <c r="I21" t="s">
        <v>2</v>
      </c>
      <c r="K21" s="632">
        <v>19</v>
      </c>
      <c r="L21" s="605">
        <v>63</v>
      </c>
      <c r="M21" t="s">
        <v>630</v>
      </c>
      <c r="N21" t="s">
        <v>439</v>
      </c>
      <c r="O21" s="370">
        <f t="shared" si="0"/>
        <v>0.20257234726688103</v>
      </c>
      <c r="Q21" s="620">
        <v>18</v>
      </c>
      <c r="R21" s="317">
        <v>11</v>
      </c>
      <c r="S21" t="s">
        <v>630</v>
      </c>
      <c r="T21" t="s">
        <v>2</v>
      </c>
      <c r="U21" s="159">
        <f>R21/L21</f>
        <v>0.17460317460317459</v>
      </c>
      <c r="V21" s="47">
        <f>R21/$R$32</f>
        <v>1.0784313725490196E-2</v>
      </c>
    </row>
    <row r="22" spans="1:23" x14ac:dyDescent="0.25">
      <c r="A22" s="326" t="s">
        <v>869</v>
      </c>
      <c r="B22" t="s">
        <v>461</v>
      </c>
      <c r="C22" s="290" t="s">
        <v>439</v>
      </c>
      <c r="G22" s="667">
        <f>SUM(G11:G21)</f>
        <v>311</v>
      </c>
      <c r="K22" s="632">
        <v>20</v>
      </c>
      <c r="L22" s="662">
        <v>55</v>
      </c>
      <c r="M22" s="663" t="s">
        <v>205</v>
      </c>
      <c r="N22" s="664" t="s">
        <v>451</v>
      </c>
      <c r="O22" s="666">
        <f t="shared" si="0"/>
        <v>0.17684887459807075</v>
      </c>
      <c r="Q22" s="620">
        <v>20</v>
      </c>
      <c r="R22" s="594">
        <v>11</v>
      </c>
      <c r="S22" t="s">
        <v>858</v>
      </c>
      <c r="T22" t="s">
        <v>2</v>
      </c>
      <c r="U22" s="159">
        <f>R22/L23</f>
        <v>0.26190476190476192</v>
      </c>
      <c r="V22" s="47">
        <f>R22/$R$32</f>
        <v>1.0784313725490196E-2</v>
      </c>
      <c r="W22">
        <v>57</v>
      </c>
    </row>
    <row r="23" spans="1:23" x14ac:dyDescent="0.25">
      <c r="A23" s="382" t="s">
        <v>574</v>
      </c>
      <c r="B23" t="s">
        <v>206</v>
      </c>
      <c r="C23" s="290" t="s">
        <v>1</v>
      </c>
      <c r="K23" s="632">
        <v>21</v>
      </c>
      <c r="L23" s="444">
        <v>42</v>
      </c>
      <c r="M23" t="s">
        <v>861</v>
      </c>
      <c r="N23" t="s">
        <v>66</v>
      </c>
      <c r="O23" s="370">
        <f t="shared" ref="O23" si="2">L23/$G$22</f>
        <v>0.13504823151125403</v>
      </c>
      <c r="Q23" s="620">
        <v>20</v>
      </c>
      <c r="R23" s="662">
        <v>10</v>
      </c>
      <c r="S23" s="663" t="s">
        <v>462</v>
      </c>
      <c r="T23" s="664" t="s">
        <v>439</v>
      </c>
      <c r="U23" s="159"/>
      <c r="V23" s="47"/>
    </row>
    <row r="24" spans="1:23" x14ac:dyDescent="0.25">
      <c r="A24" s="662" t="s">
        <v>574</v>
      </c>
      <c r="B24" s="663" t="s">
        <v>204</v>
      </c>
      <c r="C24" s="664" t="s">
        <v>1</v>
      </c>
      <c r="K24" s="632"/>
      <c r="L24" s="605" t="s">
        <v>794</v>
      </c>
      <c r="M24" t="s">
        <v>794</v>
      </c>
      <c r="N24" t="s">
        <v>794</v>
      </c>
      <c r="O24" s="629" t="s">
        <v>794</v>
      </c>
      <c r="Q24" s="620">
        <v>20</v>
      </c>
      <c r="R24" s="662">
        <v>10</v>
      </c>
      <c r="S24" s="663" t="s">
        <v>548</v>
      </c>
      <c r="T24" s="664" t="s">
        <v>212</v>
      </c>
      <c r="U24" s="503"/>
      <c r="V24" s="47"/>
    </row>
    <row r="25" spans="1:23" x14ac:dyDescent="0.25">
      <c r="A25" s="380" t="s">
        <v>574</v>
      </c>
      <c r="B25" t="s">
        <v>513</v>
      </c>
      <c r="C25" t="s">
        <v>64</v>
      </c>
      <c r="K25" s="632"/>
      <c r="L25" s="605">
        <v>32</v>
      </c>
      <c r="M25" t="s">
        <v>533</v>
      </c>
      <c r="N25" t="s">
        <v>212</v>
      </c>
      <c r="O25" s="370">
        <f>L25/$G$22</f>
        <v>0.10289389067524116</v>
      </c>
      <c r="Q25" s="620">
        <v>23</v>
      </c>
      <c r="R25" s="662">
        <v>9</v>
      </c>
      <c r="S25" s="663" t="s">
        <v>464</v>
      </c>
      <c r="T25" s="663" t="s">
        <v>212</v>
      </c>
      <c r="U25" s="159"/>
      <c r="V25" s="47"/>
    </row>
    <row r="26" spans="1:23" x14ac:dyDescent="0.25">
      <c r="A26" s="662" t="s">
        <v>458</v>
      </c>
      <c r="B26" s="663" t="s">
        <v>387</v>
      </c>
      <c r="C26" s="664" t="s">
        <v>212</v>
      </c>
      <c r="L26" s="673">
        <v>1</v>
      </c>
      <c r="M26" s="246" t="s">
        <v>879</v>
      </c>
      <c r="N26" s="246" t="s">
        <v>66</v>
      </c>
      <c r="O26" s="370">
        <f>L26/$G$22</f>
        <v>3.2154340836012861E-3</v>
      </c>
      <c r="Q26" s="620">
        <v>23</v>
      </c>
      <c r="R26" s="662">
        <v>9</v>
      </c>
      <c r="S26" s="663" t="s">
        <v>463</v>
      </c>
      <c r="T26" s="663" t="s">
        <v>212</v>
      </c>
      <c r="U26" s="159"/>
      <c r="V26" s="47"/>
    </row>
    <row r="27" spans="1:23" x14ac:dyDescent="0.25">
      <c r="A27" s="380" t="s">
        <v>458</v>
      </c>
      <c r="B27" t="s">
        <v>448</v>
      </c>
      <c r="C27" s="290" t="s">
        <v>2</v>
      </c>
      <c r="Q27" s="620">
        <v>25</v>
      </c>
      <c r="R27" s="662">
        <v>8</v>
      </c>
      <c r="S27" s="663" t="s">
        <v>199</v>
      </c>
      <c r="T27" s="663" t="s">
        <v>439</v>
      </c>
      <c r="U27" s="159"/>
      <c r="V27" s="47"/>
    </row>
    <row r="28" spans="1:23" x14ac:dyDescent="0.25">
      <c r="A28" s="455" t="s">
        <v>458</v>
      </c>
      <c r="B28" t="s">
        <v>630</v>
      </c>
      <c r="C28" t="s">
        <v>439</v>
      </c>
      <c r="Q28" s="620">
        <v>26</v>
      </c>
      <c r="R28" s="662">
        <v>6</v>
      </c>
      <c r="S28" s="663" t="s">
        <v>204</v>
      </c>
      <c r="T28" s="664" t="s">
        <v>1</v>
      </c>
      <c r="U28" s="159"/>
      <c r="V28" s="47"/>
    </row>
    <row r="29" spans="1:23" x14ac:dyDescent="0.25">
      <c r="A29" s="662" t="s">
        <v>860</v>
      </c>
      <c r="B29" s="663" t="s">
        <v>795</v>
      </c>
      <c r="C29" s="663" t="s">
        <v>66</v>
      </c>
      <c r="Q29" s="634">
        <v>27</v>
      </c>
      <c r="R29" s="662">
        <v>3</v>
      </c>
      <c r="S29" s="663" t="s">
        <v>795</v>
      </c>
      <c r="T29" s="663" t="s">
        <v>66</v>
      </c>
      <c r="U29" s="159"/>
      <c r="V29" s="47"/>
    </row>
    <row r="30" spans="1:23" x14ac:dyDescent="0.25">
      <c r="A30" s="680" t="s">
        <v>860</v>
      </c>
      <c r="B30" s="246" t="s">
        <v>879</v>
      </c>
      <c r="C30" s="246" t="s">
        <v>66</v>
      </c>
      <c r="Q30" s="660">
        <v>27</v>
      </c>
      <c r="R30" s="662">
        <v>3</v>
      </c>
      <c r="S30" s="663" t="s">
        <v>638</v>
      </c>
      <c r="T30" s="663" t="s">
        <v>64</v>
      </c>
      <c r="U30" s="159"/>
      <c r="V30" s="47"/>
    </row>
    <row r="31" spans="1:23" x14ac:dyDescent="0.25">
      <c r="A31" s="662" t="s">
        <v>512</v>
      </c>
      <c r="B31" s="663" t="s">
        <v>548</v>
      </c>
      <c r="C31" s="664" t="s">
        <v>212</v>
      </c>
      <c r="Q31" s="673">
        <v>29</v>
      </c>
      <c r="R31" s="444">
        <v>1</v>
      </c>
      <c r="S31" s="246" t="s">
        <v>879</v>
      </c>
      <c r="T31" s="246" t="s">
        <v>66</v>
      </c>
      <c r="U31" s="676"/>
      <c r="V31" s="677"/>
      <c r="W31" s="246">
        <v>58</v>
      </c>
    </row>
    <row r="32" spans="1:23" x14ac:dyDescent="0.25">
      <c r="A32" s="393" t="s">
        <v>512</v>
      </c>
      <c r="B32" t="s">
        <v>533</v>
      </c>
      <c r="C32" t="s">
        <v>212</v>
      </c>
      <c r="R32" s="668">
        <f>SUM(R3:R31)</f>
        <v>1020</v>
      </c>
    </row>
    <row r="33" spans="1:3" x14ac:dyDescent="0.25">
      <c r="A33" s="320"/>
      <c r="B33" s="318"/>
      <c r="C33" s="319"/>
    </row>
    <row r="34" spans="1:3" x14ac:dyDescent="0.25">
      <c r="A34" s="320"/>
      <c r="B34" s="318"/>
      <c r="C34" s="319"/>
    </row>
    <row r="35" spans="1:3" x14ac:dyDescent="0.25">
      <c r="A35" s="320"/>
      <c r="B35" s="318"/>
      <c r="C35" s="319"/>
    </row>
    <row r="36" spans="1:3" x14ac:dyDescent="0.25">
      <c r="A36" s="320"/>
      <c r="B36" s="318"/>
      <c r="C36" s="318"/>
    </row>
    <row r="37" spans="1:3"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99" t="s">
        <v>11</v>
      </c>
      <c r="E2" s="699"/>
      <c r="F2" s="700" t="s">
        <v>12</v>
      </c>
      <c r="G2" s="700"/>
      <c r="H2" s="701" t="s">
        <v>13</v>
      </c>
      <c r="I2" s="701"/>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3" t="s">
        <v>230</v>
      </c>
      <c r="C59" s="195" t="s">
        <v>177</v>
      </c>
      <c r="D59" s="684" t="s">
        <v>231</v>
      </c>
      <c r="E59" s="684" t="s">
        <v>231</v>
      </c>
      <c r="F59" s="196" t="s">
        <v>232</v>
      </c>
      <c r="H59" s="274" t="s">
        <v>233</v>
      </c>
    </row>
    <row r="60" spans="1:24" ht="23.25" x14ac:dyDescent="0.25">
      <c r="A60" s="197">
        <v>18</v>
      </c>
      <c r="B60" s="683"/>
      <c r="C60" s="195" t="s">
        <v>234</v>
      </c>
      <c r="D60" s="684"/>
      <c r="E60" s="684"/>
      <c r="F60" s="196" t="s">
        <v>235</v>
      </c>
      <c r="H60" s="273" t="s">
        <v>236</v>
      </c>
    </row>
    <row r="61" spans="1:24" x14ac:dyDescent="0.25">
      <c r="A61" s="194">
        <v>19</v>
      </c>
      <c r="B61" s="683"/>
      <c r="C61" s="198"/>
      <c r="D61" s="684"/>
      <c r="E61" s="684"/>
      <c r="F61" s="199"/>
      <c r="H61" s="273" t="s">
        <v>237</v>
      </c>
      <c r="I61" s="158"/>
    </row>
    <row r="62" spans="1:24" ht="23.25" x14ac:dyDescent="0.25">
      <c r="A62" s="197">
        <v>20</v>
      </c>
      <c r="B62" s="683"/>
      <c r="C62" s="196" t="s">
        <v>231</v>
      </c>
      <c r="D62" s="685" t="s">
        <v>232</v>
      </c>
      <c r="E62" s="196" t="s">
        <v>232</v>
      </c>
      <c r="F62" s="199"/>
      <c r="H62" s="273" t="s">
        <v>238</v>
      </c>
    </row>
    <row r="63" spans="1:24" ht="23.25" x14ac:dyDescent="0.25">
      <c r="A63" s="194">
        <v>21</v>
      </c>
      <c r="B63" s="686" t="s">
        <v>177</v>
      </c>
      <c r="C63" s="196" t="s">
        <v>239</v>
      </c>
      <c r="D63" s="685"/>
      <c r="E63" s="196" t="s">
        <v>235</v>
      </c>
      <c r="F63" s="199"/>
      <c r="H63" s="273" t="s">
        <v>240</v>
      </c>
    </row>
    <row r="64" spans="1:24" x14ac:dyDescent="0.25">
      <c r="A64" s="197">
        <v>22</v>
      </c>
      <c r="B64" s="686"/>
      <c r="C64" s="199"/>
      <c r="D64" s="685"/>
      <c r="E64" s="199"/>
      <c r="F64" s="199"/>
      <c r="H64" s="273" t="s">
        <v>241</v>
      </c>
    </row>
    <row r="65" spans="1:8" x14ac:dyDescent="0.25">
      <c r="A65" s="194">
        <v>23</v>
      </c>
      <c r="B65" s="686"/>
      <c r="C65" s="199"/>
      <c r="D65" s="685"/>
      <c r="E65" s="199"/>
      <c r="F65" s="199"/>
    </row>
    <row r="66" spans="1:8" x14ac:dyDescent="0.25">
      <c r="A66" s="197">
        <v>24</v>
      </c>
      <c r="B66" s="686"/>
      <c r="C66" s="199"/>
      <c r="D66" s="685"/>
      <c r="E66" s="199"/>
      <c r="F66" s="199"/>
      <c r="H66" s="273" t="s">
        <v>242</v>
      </c>
    </row>
    <row r="67" spans="1:8" x14ac:dyDescent="0.25">
      <c r="A67" s="194">
        <v>25</v>
      </c>
      <c r="B67" s="686"/>
      <c r="C67" s="199"/>
      <c r="D67" s="684" t="s">
        <v>231</v>
      </c>
      <c r="E67" s="199"/>
      <c r="F67" s="199"/>
      <c r="H67" s="273" t="s">
        <v>243</v>
      </c>
    </row>
    <row r="68" spans="1:8" x14ac:dyDescent="0.25">
      <c r="A68" s="197">
        <v>26</v>
      </c>
      <c r="B68" s="686"/>
      <c r="C68" s="684" t="s">
        <v>231</v>
      </c>
      <c r="D68" s="684"/>
      <c r="E68" s="199"/>
      <c r="F68" s="199"/>
    </row>
    <row r="69" spans="1:8" x14ac:dyDescent="0.25">
      <c r="A69" s="194">
        <v>27</v>
      </c>
      <c r="B69" s="683" t="s">
        <v>230</v>
      </c>
      <c r="C69" s="684"/>
      <c r="D69" s="684"/>
      <c r="E69" s="199"/>
      <c r="F69" s="199"/>
    </row>
    <row r="70" spans="1:8" x14ac:dyDescent="0.25">
      <c r="A70" s="197">
        <v>28</v>
      </c>
      <c r="B70" s="683"/>
      <c r="C70" s="686" t="s">
        <v>177</v>
      </c>
      <c r="D70" s="684"/>
      <c r="E70" s="199"/>
      <c r="F70" s="199"/>
      <c r="H70" s="273" t="s">
        <v>244</v>
      </c>
    </row>
    <row r="71" spans="1:8" x14ac:dyDescent="0.25">
      <c r="A71" s="194">
        <v>29</v>
      </c>
      <c r="B71" s="683"/>
      <c r="C71" s="686"/>
      <c r="D71" s="684"/>
      <c r="E71" s="199"/>
      <c r="F71" s="199"/>
    </row>
    <row r="72" spans="1:8" x14ac:dyDescent="0.25">
      <c r="A72" s="197">
        <v>30</v>
      </c>
      <c r="B72" s="683"/>
      <c r="C72" s="686"/>
      <c r="D72" s="686" t="s">
        <v>177</v>
      </c>
      <c r="E72" s="199"/>
      <c r="F72" s="199"/>
      <c r="H72" s="273" t="s">
        <v>245</v>
      </c>
    </row>
    <row r="73" spans="1:8" x14ac:dyDescent="0.25">
      <c r="A73" s="194">
        <v>31</v>
      </c>
      <c r="B73" s="683"/>
      <c r="C73" s="686"/>
      <c r="D73" s="686"/>
      <c r="E73" s="196" t="s">
        <v>231</v>
      </c>
      <c r="F73" s="199"/>
    </row>
    <row r="74" spans="1:8" ht="23.25" x14ac:dyDescent="0.25">
      <c r="A74" s="197">
        <v>32</v>
      </c>
      <c r="B74" s="683"/>
      <c r="C74" s="686"/>
      <c r="D74" s="686"/>
      <c r="E74" s="196" t="s">
        <v>239</v>
      </c>
      <c r="F74" s="199"/>
      <c r="H74" s="273" t="s">
        <v>246</v>
      </c>
    </row>
    <row r="75" spans="1:8" ht="23.25" x14ac:dyDescent="0.25">
      <c r="A75" s="194">
        <v>33</v>
      </c>
      <c r="B75" s="683"/>
      <c r="C75" s="683" t="s">
        <v>230</v>
      </c>
      <c r="D75" s="686"/>
      <c r="E75" s="195" t="s">
        <v>177</v>
      </c>
      <c r="F75" s="195" t="s">
        <v>177</v>
      </c>
    </row>
    <row r="76" spans="1:8" x14ac:dyDescent="0.25">
      <c r="A76" s="197">
        <v>34</v>
      </c>
      <c r="B76" s="687" t="s">
        <v>247</v>
      </c>
      <c r="C76" s="683"/>
      <c r="D76" s="686"/>
      <c r="E76" s="195" t="s">
        <v>234</v>
      </c>
      <c r="F76" s="195" t="s">
        <v>234</v>
      </c>
      <c r="H76" s="273" t="s">
        <v>248</v>
      </c>
    </row>
    <row r="77" spans="1:8" x14ac:dyDescent="0.25">
      <c r="A77" s="194">
        <v>35</v>
      </c>
      <c r="B77" s="687"/>
      <c r="C77" s="687" t="s">
        <v>247</v>
      </c>
      <c r="D77" s="683" t="s">
        <v>230</v>
      </c>
      <c r="E77" s="683" t="s">
        <v>230</v>
      </c>
      <c r="F77" s="198"/>
    </row>
    <row r="78" spans="1:8" ht="23.25" x14ac:dyDescent="0.25">
      <c r="A78" s="197">
        <v>36</v>
      </c>
      <c r="B78" s="687"/>
      <c r="C78" s="687"/>
      <c r="D78" s="683"/>
      <c r="E78" s="683"/>
      <c r="F78" s="200" t="s">
        <v>230</v>
      </c>
      <c r="H78" s="273" t="s">
        <v>249</v>
      </c>
    </row>
    <row r="79" spans="1:8" x14ac:dyDescent="0.25">
      <c r="A79" s="682" t="s">
        <v>250</v>
      </c>
      <c r="B79" s="682"/>
      <c r="C79" s="682"/>
      <c r="D79" s="682"/>
      <c r="E79" s="682"/>
      <c r="F79" s="682"/>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8"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9"/>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0">
        <f>C13</f>
        <v>1504841</v>
      </c>
      <c r="AA14" s="711"/>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2" t="s">
        <v>93</v>
      </c>
      <c r="B26" s="712"/>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3" t="s">
        <v>94</v>
      </c>
      <c r="B27" s="703"/>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4" t="s">
        <v>95</v>
      </c>
      <c r="B28" s="704"/>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2" t="s">
        <v>96</v>
      </c>
      <c r="B29" s="712"/>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3" t="s">
        <v>97</v>
      </c>
      <c r="B30" s="703"/>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4" t="s">
        <v>98</v>
      </c>
      <c r="B31" s="704"/>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3"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5">
        <f>C23</f>
        <v>1482625</v>
      </c>
      <c r="AA33" s="706"/>
    </row>
    <row r="34" spans="1:27" x14ac:dyDescent="0.25">
      <c r="A34" s="57"/>
      <c r="B34" s="713"/>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3"/>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3"/>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3"/>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3"/>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7"/>
      <c r="I40" s="707"/>
      <c r="J40" s="707"/>
      <c r="K40" s="707"/>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2"/>
      <c r="I49" s="702"/>
      <c r="J49" s="702"/>
      <c r="K49" s="702"/>
    </row>
    <row r="50" spans="8:11" x14ac:dyDescent="0.25">
      <c r="H50" s="103"/>
      <c r="I50" s="103"/>
      <c r="J50" s="103"/>
      <c r="K50" s="103"/>
    </row>
    <row r="51" spans="8:11" x14ac:dyDescent="0.25">
      <c r="H51" s="702"/>
      <c r="I51" s="702"/>
      <c r="J51" s="702"/>
      <c r="K51" s="702"/>
    </row>
    <row r="52" spans="8:11" ht="15" customHeight="1" x14ac:dyDescent="0.25">
      <c r="H52" s="702"/>
      <c r="I52" s="702"/>
      <c r="J52" s="702"/>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208</v>
      </c>
      <c r="C2" s="715"/>
      <c r="D2" s="715"/>
      <c r="E2" s="715"/>
      <c r="F2" s="715"/>
      <c r="G2" s="716"/>
      <c r="I2" s="717" t="s">
        <v>101</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8"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9"/>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0">
        <f>C13</f>
        <v>2257672</v>
      </c>
      <c r="Z14" s="711"/>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2" t="s">
        <v>93</v>
      </c>
      <c r="B26" s="712"/>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3" t="s">
        <v>94</v>
      </c>
      <c r="B27" s="703"/>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4" t="s">
        <v>95</v>
      </c>
      <c r="B28" s="704"/>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2" t="s">
        <v>96</v>
      </c>
      <c r="B29" s="712"/>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3" t="s">
        <v>97</v>
      </c>
      <c r="B30" s="703"/>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4" t="s">
        <v>98</v>
      </c>
      <c r="B31" s="704"/>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v>49820</v>
      </c>
      <c r="Y33" s="705">
        <f>C23</f>
        <v>2470257</v>
      </c>
      <c r="Z33" s="706"/>
    </row>
    <row r="34" spans="1:26" x14ac:dyDescent="0.25">
      <c r="A34" s="57"/>
      <c r="B34" s="713"/>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3"/>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3"/>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3"/>
      <c r="C37" s="173" t="s">
        <v>211</v>
      </c>
      <c r="D37" s="176"/>
      <c r="E37" s="176"/>
      <c r="F37" s="176"/>
      <c r="G37" s="176"/>
      <c r="H37" s="176"/>
      <c r="I37" s="176"/>
      <c r="J37" s="176"/>
      <c r="K37" s="176"/>
      <c r="L37" s="176"/>
      <c r="M37" s="176"/>
      <c r="N37" s="176"/>
      <c r="O37" s="176"/>
      <c r="P37" s="176"/>
      <c r="Q37" s="176"/>
      <c r="R37" s="176"/>
      <c r="S37" s="176" t="s">
        <v>393</v>
      </c>
    </row>
    <row r="38" spans="1:26" x14ac:dyDescent="0.25">
      <c r="B38" s="713"/>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7"/>
      <c r="H40" s="707"/>
      <c r="I40" s="707"/>
      <c r="J40" s="707"/>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2"/>
      <c r="H49" s="702"/>
      <c r="I49" s="702"/>
      <c r="J49" s="702"/>
    </row>
    <row r="50" spans="7:10" x14ac:dyDescent="0.25">
      <c r="G50" s="216"/>
      <c r="H50" s="216"/>
      <c r="I50" s="216"/>
      <c r="J50" s="216"/>
    </row>
    <row r="51" spans="7:10" x14ac:dyDescent="0.25">
      <c r="G51" s="702"/>
      <c r="H51" s="702"/>
      <c r="I51" s="702"/>
      <c r="J51" s="702"/>
    </row>
    <row r="52" spans="7:10" ht="15" customHeight="1" x14ac:dyDescent="0.25">
      <c r="G52" s="702"/>
      <c r="H52" s="702"/>
      <c r="I52" s="702"/>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289</v>
      </c>
      <c r="C2" s="715"/>
      <c r="D2" s="715"/>
      <c r="E2" s="715"/>
      <c r="F2" s="715"/>
      <c r="G2" s="716"/>
      <c r="I2" s="717" t="s">
        <v>101</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8"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9"/>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0">
        <f>C13</f>
        <v>3165941</v>
      </c>
      <c r="Z14" s="711"/>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2" t="s">
        <v>93</v>
      </c>
      <c r="B26" s="712"/>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3" t="s">
        <v>94</v>
      </c>
      <c r="B27" s="703"/>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4" t="s">
        <v>95</v>
      </c>
      <c r="B28" s="704"/>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2" t="s">
        <v>96</v>
      </c>
      <c r="B29" s="712"/>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3" t="s">
        <v>97</v>
      </c>
      <c r="B30" s="703"/>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4" t="s">
        <v>98</v>
      </c>
      <c r="B31" s="704"/>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c r="Y33" s="705">
        <f>C23</f>
        <v>1505104</v>
      </c>
      <c r="Z33" s="706"/>
    </row>
    <row r="34" spans="1:26" x14ac:dyDescent="0.25">
      <c r="A34" s="57"/>
      <c r="B34" s="713"/>
      <c r="C34" s="173" t="s">
        <v>104</v>
      </c>
      <c r="D34" s="174"/>
      <c r="E34" s="174"/>
      <c r="F34" s="174"/>
      <c r="G34" s="174"/>
      <c r="H34" s="174"/>
      <c r="I34" s="174"/>
      <c r="J34" s="174"/>
      <c r="K34" s="174"/>
      <c r="L34" s="174"/>
      <c r="M34" s="174"/>
      <c r="N34" s="174"/>
      <c r="O34" s="174"/>
      <c r="P34" s="174"/>
      <c r="Q34" s="174"/>
      <c r="R34" s="174"/>
      <c r="S34" s="174"/>
    </row>
    <row r="35" spans="1:26" x14ac:dyDescent="0.25">
      <c r="A35" s="57"/>
      <c r="B35" s="713"/>
      <c r="C35" s="173" t="s">
        <v>61</v>
      </c>
      <c r="D35" s="175"/>
      <c r="E35" s="175"/>
      <c r="F35" s="175"/>
      <c r="G35" s="175"/>
      <c r="H35" s="175"/>
      <c r="I35" s="175"/>
      <c r="J35" s="175"/>
      <c r="K35" s="175"/>
      <c r="L35" s="175"/>
      <c r="M35" s="175"/>
      <c r="N35" s="175"/>
      <c r="O35" s="175"/>
      <c r="P35" s="175"/>
      <c r="Q35" s="175"/>
      <c r="R35" s="175"/>
      <c r="S35" s="175"/>
    </row>
    <row r="36" spans="1:26" x14ac:dyDescent="0.25">
      <c r="A36" s="57"/>
      <c r="B36" s="713"/>
      <c r="C36" s="173" t="s">
        <v>210</v>
      </c>
      <c r="D36" s="176"/>
      <c r="E36" s="176"/>
      <c r="F36" s="176"/>
      <c r="G36" s="176"/>
      <c r="H36" s="176"/>
      <c r="I36" s="176"/>
      <c r="J36" s="176"/>
      <c r="K36" s="176"/>
      <c r="L36" s="176"/>
      <c r="M36" s="176"/>
      <c r="N36" s="176"/>
      <c r="O36" s="176"/>
      <c r="P36" s="176"/>
      <c r="Q36" s="176"/>
      <c r="R36" s="176"/>
      <c r="S36" s="176"/>
    </row>
    <row r="37" spans="1:26" x14ac:dyDescent="0.25">
      <c r="B37" s="713"/>
      <c r="C37" s="173" t="s">
        <v>211</v>
      </c>
      <c r="D37" s="176"/>
      <c r="E37" s="176"/>
      <c r="F37" s="176"/>
      <c r="G37" s="176"/>
      <c r="H37" s="176"/>
      <c r="I37" s="176"/>
      <c r="J37" s="176"/>
      <c r="K37" s="176"/>
      <c r="L37" s="176"/>
      <c r="M37" s="176"/>
      <c r="N37" s="176"/>
      <c r="O37" s="176"/>
      <c r="P37" s="176"/>
      <c r="Q37" s="176"/>
      <c r="R37" s="176"/>
      <c r="S37" s="176"/>
    </row>
    <row r="38" spans="1:26" x14ac:dyDescent="0.25">
      <c r="B38" s="713"/>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7"/>
      <c r="H40" s="707"/>
      <c r="I40" s="707"/>
      <c r="J40" s="707"/>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2"/>
      <c r="H49" s="702"/>
      <c r="I49" s="702"/>
      <c r="J49" s="702"/>
    </row>
    <row r="50" spans="7:10" x14ac:dyDescent="0.25">
      <c r="G50" s="243"/>
      <c r="H50" s="243"/>
      <c r="I50" s="243"/>
      <c r="J50" s="243"/>
    </row>
    <row r="51" spans="7:10" x14ac:dyDescent="0.25">
      <c r="G51" s="702"/>
      <c r="H51" s="702"/>
      <c r="I51" s="702"/>
      <c r="J51" s="702"/>
    </row>
    <row r="52" spans="7:10" ht="15" customHeight="1" x14ac:dyDescent="0.25">
      <c r="G52" s="702"/>
      <c r="H52" s="702"/>
      <c r="I52" s="702"/>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389</v>
      </c>
      <c r="C2" s="715"/>
      <c r="D2" s="715"/>
      <c r="E2" s="715"/>
      <c r="F2" s="715"/>
      <c r="G2" s="716"/>
      <c r="I2" s="717" t="s">
        <v>390</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8"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9"/>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0">
        <f>C13</f>
        <v>3470401</v>
      </c>
      <c r="Z14" s="711"/>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2" t="s">
        <v>93</v>
      </c>
      <c r="B26" s="712"/>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3" t="s">
        <v>94</v>
      </c>
      <c r="B27" s="703"/>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4" t="s">
        <v>95</v>
      </c>
      <c r="B28" s="704"/>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2" t="s">
        <v>96</v>
      </c>
      <c r="B29" s="712"/>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3" t="s">
        <v>97</v>
      </c>
      <c r="B30" s="703"/>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4" t="s">
        <v>98</v>
      </c>
      <c r="B31" s="704"/>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5">
        <f>C23</f>
        <v>4347517</v>
      </c>
      <c r="Z33" s="706"/>
    </row>
    <row r="34" spans="1:26" x14ac:dyDescent="0.25">
      <c r="A34" s="57"/>
      <c r="B34" s="713"/>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3"/>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3"/>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3"/>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3"/>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7"/>
      <c r="H40" s="707"/>
      <c r="I40" s="707"/>
      <c r="J40" s="707"/>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2"/>
      <c r="H49" s="702"/>
      <c r="I49" s="702"/>
      <c r="J49" s="702"/>
    </row>
    <row r="50" spans="7:10" x14ac:dyDescent="0.25">
      <c r="G50" s="258"/>
      <c r="H50" s="258"/>
      <c r="I50" s="258"/>
      <c r="J50" s="258"/>
    </row>
    <row r="51" spans="7:10" x14ac:dyDescent="0.25">
      <c r="G51" s="702"/>
      <c r="H51" s="702"/>
      <c r="I51" s="702"/>
      <c r="J51" s="702"/>
    </row>
    <row r="52" spans="7:10" ht="15" customHeight="1" x14ac:dyDescent="0.25">
      <c r="G52" s="702"/>
      <c r="H52" s="702"/>
      <c r="I52" s="702"/>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424</v>
      </c>
      <c r="C2" s="715"/>
      <c r="D2" s="715"/>
      <c r="E2" s="715"/>
      <c r="F2" s="715"/>
      <c r="G2" s="716"/>
      <c r="I2" s="724" t="s">
        <v>425</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8"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9"/>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0">
        <f>C13</f>
        <v>3901063</v>
      </c>
      <c r="Z14" s="711"/>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2" t="s">
        <v>93</v>
      </c>
      <c r="B26" s="712"/>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3" t="s">
        <v>94</v>
      </c>
      <c r="B27" s="703"/>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4" t="s">
        <v>95</v>
      </c>
      <c r="B28" s="704"/>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2" t="s">
        <v>96</v>
      </c>
      <c r="B29" s="712"/>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3" t="s">
        <v>97</v>
      </c>
      <c r="B30" s="703"/>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4" t="s">
        <v>98</v>
      </c>
      <c r="B31" s="704"/>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3"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5">
        <f>C23</f>
        <v>2535782</v>
      </c>
      <c r="Z34" s="706"/>
    </row>
    <row r="35" spans="1:26" x14ac:dyDescent="0.25">
      <c r="A35" s="57"/>
      <c r="B35" s="713"/>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3"/>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3"/>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3"/>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3"/>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7"/>
      <c r="H41" s="707"/>
      <c r="I41" s="707"/>
      <c r="J41" s="707"/>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2"/>
      <c r="H46" s="702"/>
      <c r="I46" s="702"/>
      <c r="J46" s="702"/>
    </row>
    <row r="47" spans="1:26" x14ac:dyDescent="0.25">
      <c r="G47" s="329"/>
      <c r="H47" s="329"/>
      <c r="I47" s="329"/>
      <c r="J47" s="329"/>
    </row>
    <row r="48" spans="1:26" x14ac:dyDescent="0.25">
      <c r="G48" s="702"/>
      <c r="H48" s="702"/>
      <c r="I48" s="702"/>
      <c r="J48" s="702"/>
    </row>
    <row r="49" spans="7:10" ht="15" customHeight="1" x14ac:dyDescent="0.25">
      <c r="G49" s="702"/>
      <c r="H49" s="702"/>
      <c r="I49" s="70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493</v>
      </c>
      <c r="C2" s="715"/>
      <c r="D2" s="715"/>
      <c r="E2" s="715"/>
      <c r="F2" s="715"/>
      <c r="G2" s="716"/>
      <c r="I2" s="724" t="s">
        <v>494</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A11" sqref="A11"/>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17.271969263057564</v>
      </c>
      <c r="C2" s="159">
        <f>PLANTILLA!AB7+1.5+PLANTILLA!J7</f>
        <v>12.491969263057557</v>
      </c>
      <c r="D2" s="357">
        <f t="shared" ref="D2:D20" si="0">(C2*2+B2)/8</f>
        <v>5.2819884736465852</v>
      </c>
      <c r="E2" s="159">
        <f>D2*PLANTILLA!R7</f>
        <v>5.2819884736465852</v>
      </c>
      <c r="F2" s="159">
        <f>E2*PLANTILLA!S7</f>
        <v>5.2819884736465852</v>
      </c>
      <c r="H2" t="str">
        <f>A2</f>
        <v>B. Pinczehelyi</v>
      </c>
      <c r="I2" s="159">
        <f>D2</f>
        <v>5.2819884736465852</v>
      </c>
      <c r="J2" s="159">
        <f t="shared" ref="J2:K2" si="1">E2</f>
        <v>5.2819884736465852</v>
      </c>
      <c r="K2" s="159">
        <f t="shared" si="1"/>
        <v>5.2819884736465852</v>
      </c>
      <c r="M2" t="str">
        <f>A2</f>
        <v>B. Pinczehelyi</v>
      </c>
      <c r="N2" s="159">
        <f>D2</f>
        <v>5.2819884736465852</v>
      </c>
      <c r="O2" s="159">
        <f t="shared" ref="O2:P2" si="2">E2</f>
        <v>5.2819884736465852</v>
      </c>
      <c r="P2" s="159">
        <f t="shared" si="2"/>
        <v>5.2819884736465852</v>
      </c>
    </row>
    <row r="3" spans="1:16" x14ac:dyDescent="0.25">
      <c r="A3" t="str">
        <f>PLANTILLA!D16</f>
        <v>C. Rojas</v>
      </c>
      <c r="B3" s="159">
        <f>PLANTILLA!Y16+1.5+PLANTILLA!J16</f>
        <v>11.546463883619058</v>
      </c>
      <c r="C3" s="159">
        <f>PLANTILLA!AB16+1.5+PLANTILLA!J16</f>
        <v>13.028908328063499</v>
      </c>
      <c r="D3" s="357">
        <f t="shared" si="0"/>
        <v>4.7005350674682571</v>
      </c>
      <c r="E3" s="159">
        <f>D3*PLANTILLA!R16</f>
        <v>3.972677211771392</v>
      </c>
      <c r="F3" s="159">
        <f>E3*PLANTILLA!S16</f>
        <v>3.6749181474125971</v>
      </c>
      <c r="H3" s="159" t="str">
        <f>A7</f>
        <v>E. Toney</v>
      </c>
      <c r="I3" s="159">
        <f>D7</f>
        <v>5.030286965602925</v>
      </c>
      <c r="J3" s="159">
        <f t="shared" ref="J3:K3" si="3">E7</f>
        <v>4.2513684314847113</v>
      </c>
      <c r="K3" s="159">
        <f t="shared" si="3"/>
        <v>3.9327209756449868</v>
      </c>
      <c r="M3" t="str">
        <f>A7</f>
        <v>E. Toney</v>
      </c>
      <c r="N3" s="159">
        <f>D7</f>
        <v>5.030286965602925</v>
      </c>
      <c r="O3" s="159">
        <f t="shared" ref="O3:P3" si="4">E7</f>
        <v>4.2513684314847113</v>
      </c>
      <c r="P3" s="159">
        <f t="shared" si="4"/>
        <v>3.9327209756449868</v>
      </c>
    </row>
    <row r="4" spans="1:16" x14ac:dyDescent="0.25">
      <c r="A4" t="str">
        <f>PLANTILLA!D12</f>
        <v>E. Romweber</v>
      </c>
      <c r="B4" s="159">
        <f>PLANTILLA!Y12+1.5+PLANTILLA!J12</f>
        <v>14.94846885462278</v>
      </c>
      <c r="C4" s="159">
        <f>PLANTILLA!AB12+1.5+PLANTILLA!J12</f>
        <v>13.908468854622781</v>
      </c>
      <c r="D4" s="357">
        <f t="shared" si="0"/>
        <v>5.3456758204835424</v>
      </c>
      <c r="E4" s="159">
        <f>D4*PLANTILLA!R12</f>
        <v>4.0409510887344604</v>
      </c>
      <c r="F4" s="159">
        <f>E4*PLANTILLA!S12</f>
        <v>3.4118100694647131</v>
      </c>
      <c r="H4" t="str">
        <f t="shared" ref="H4:H6" si="5">A4</f>
        <v>E. Romweber</v>
      </c>
      <c r="I4" s="159">
        <f t="shared" ref="I4:I6" si="6">D4</f>
        <v>5.3456758204835424</v>
      </c>
      <c r="J4" s="159">
        <f t="shared" ref="J4" si="7">E4</f>
        <v>4.0409510887344604</v>
      </c>
      <c r="K4" s="159">
        <f t="shared" ref="K4" si="8">F4</f>
        <v>3.4118100694647131</v>
      </c>
      <c r="M4" t="str">
        <f t="shared" ref="M4" si="9">A4</f>
        <v>E. Romweber</v>
      </c>
      <c r="N4" s="159">
        <f t="shared" ref="N4" si="10">D4</f>
        <v>5.3456758204835424</v>
      </c>
      <c r="O4" s="159">
        <f t="shared" ref="O4" si="11">E4</f>
        <v>4.0409510887344604</v>
      </c>
      <c r="P4" s="159">
        <f t="shared" ref="P4" si="12">F4</f>
        <v>3.4118100694647131</v>
      </c>
    </row>
    <row r="5" spans="1:16" x14ac:dyDescent="0.25">
      <c r="A5" t="str">
        <f>PLANTILLA!D8</f>
        <v>D. Toh</v>
      </c>
      <c r="B5" s="159">
        <f>PLANTILLA!Y8+1.5+PLANTILLA!J8</f>
        <v>13.739225234285724</v>
      </c>
      <c r="C5" s="159">
        <f>PLANTILLA!AB8+1.5+PLANTILLA!J8</f>
        <v>10.462003012063503</v>
      </c>
      <c r="D5" s="357">
        <f t="shared" si="0"/>
        <v>4.3329039073015911</v>
      </c>
      <c r="E5" s="159">
        <f>D5*PLANTILLA!R8</f>
        <v>3.2753674838457347</v>
      </c>
      <c r="F5" s="159">
        <f>E5*PLANTILLA!S8</f>
        <v>2.7654211885256768</v>
      </c>
      <c r="H5" s="159" t="str">
        <f>A12</f>
        <v>B. Bartolache</v>
      </c>
      <c r="I5" s="159">
        <f>D12</f>
        <v>4.7801686123525853</v>
      </c>
      <c r="J5" s="159">
        <f t="shared" ref="J5:K5" si="13">E12</f>
        <v>4.7801686123525853</v>
      </c>
      <c r="K5" s="159">
        <f t="shared" si="13"/>
        <v>4.7801686123525853</v>
      </c>
      <c r="M5" s="159" t="str">
        <f>H5</f>
        <v>B. Bartolache</v>
      </c>
      <c r="N5" s="159">
        <f t="shared" ref="N5:P5" si="14">I5</f>
        <v>4.7801686123525853</v>
      </c>
      <c r="O5" s="159">
        <f t="shared" si="14"/>
        <v>4.7801686123525853</v>
      </c>
      <c r="P5" s="159">
        <f t="shared" si="14"/>
        <v>4.7801686123525853</v>
      </c>
    </row>
    <row r="6" spans="1:16" x14ac:dyDescent="0.25">
      <c r="A6" t="str">
        <f>PLANTILLA!D17</f>
        <v>E. Gross</v>
      </c>
      <c r="B6" s="159">
        <f>PLANTILLA!Y17+1.5+PLANTILLA!J17</f>
        <v>13.18909516504352</v>
      </c>
      <c r="C6" s="159">
        <f>PLANTILLA!AB17+1.5+PLANTILLA!J17</f>
        <v>12.079095165043524</v>
      </c>
      <c r="D6" s="357">
        <f t="shared" si="0"/>
        <v>4.6684106868913213</v>
      </c>
      <c r="E6" s="159">
        <f>D6*PLANTILLA!R17</f>
        <v>4.3221084479169685</v>
      </c>
      <c r="F6" s="159">
        <f>E6*PLANTILLA!S17</f>
        <v>4.3190201242300823</v>
      </c>
      <c r="H6" t="str">
        <f t="shared" si="5"/>
        <v>E. Gross</v>
      </c>
      <c r="I6" s="159">
        <f t="shared" si="6"/>
        <v>4.6684106868913213</v>
      </c>
      <c r="J6" s="159">
        <f t="shared" ref="J6" si="15">E6</f>
        <v>4.3221084479169685</v>
      </c>
      <c r="K6" s="159">
        <f t="shared" ref="K6" si="16">F6</f>
        <v>4.3190201242300823</v>
      </c>
      <c r="N6" s="406"/>
      <c r="O6" s="406"/>
      <c r="P6" s="406"/>
    </row>
    <row r="7" spans="1:16" x14ac:dyDescent="0.25">
      <c r="A7" t="str">
        <f>PLANTILLA!D9</f>
        <v>E. Toney</v>
      </c>
      <c r="B7" s="159">
        <f>PLANTILLA!Y9+1.5+PLANTILLA!J9</f>
        <v>15.054098574941136</v>
      </c>
      <c r="C7" s="159">
        <f>PLANTILLA!AB9+1.5+PLANTILLA!J9</f>
        <v>12.594098574941132</v>
      </c>
      <c r="D7" s="357">
        <f t="shared" si="0"/>
        <v>5.030286965602925</v>
      </c>
      <c r="E7" s="159">
        <f>D7*PLANTILLA!R9</f>
        <v>4.2513684314847113</v>
      </c>
      <c r="F7" s="159">
        <f>E7*PLANTILLA!S9</f>
        <v>3.9327209756449868</v>
      </c>
      <c r="I7" s="423">
        <f>SUM(I2:I6)</f>
        <v>25.10653055897696</v>
      </c>
      <c r="J7" s="423">
        <f t="shared" ref="J7:K7" si="17">SUM(J2:J6)</f>
        <v>22.676585054135309</v>
      </c>
      <c r="K7" s="423">
        <f t="shared" si="17"/>
        <v>21.725708255338954</v>
      </c>
      <c r="L7" s="423"/>
      <c r="M7" s="423"/>
      <c r="N7" s="423">
        <f>SUM(N2:N6)</f>
        <v>20.43811987208564</v>
      </c>
      <c r="O7" s="423">
        <f t="shared" ref="O7:P7" si="18">SUM(O2:O6)</f>
        <v>18.354476606218341</v>
      </c>
      <c r="P7" s="423">
        <f t="shared" si="18"/>
        <v>17.406688131108872</v>
      </c>
    </row>
    <row r="8" spans="1:16" x14ac:dyDescent="0.25">
      <c r="A8" t="str">
        <f>PLANTILLA!D24</f>
        <v>P .Trivadi</v>
      </c>
      <c r="B8" s="159">
        <f>PLANTILLA!Y24+1.5+PLANTILLA!J24</f>
        <v>6.5657873992714419</v>
      </c>
      <c r="C8" s="159">
        <f>PLANTILLA!AB24+1.5+PLANTILLA!J24</f>
        <v>13.365787399271442</v>
      </c>
      <c r="D8" s="357">
        <f t="shared" si="0"/>
        <v>4.1621702747267904</v>
      </c>
      <c r="E8" s="159">
        <f>D8*PLANTILLA!R24</f>
        <v>3.5176759165899054</v>
      </c>
      <c r="F8" s="159">
        <f>E8*PLANTILLA!S24</f>
        <v>3.2540199904206011</v>
      </c>
    </row>
    <row r="9" spans="1:16" x14ac:dyDescent="0.25">
      <c r="A9" t="str">
        <f>PLANTILLA!D13</f>
        <v>K. Helms</v>
      </c>
      <c r="B9" s="159">
        <f>PLANTILLA!Y13+1.5+PLANTILLA!J13</f>
        <v>10.014104591311225</v>
      </c>
      <c r="C9" s="159">
        <f>PLANTILLA!AB13+1.5+PLANTILLA!J13</f>
        <v>13.264104591311224</v>
      </c>
      <c r="D9" s="357">
        <f t="shared" si="0"/>
        <v>4.5677892217417089</v>
      </c>
      <c r="E9" s="159">
        <f>D9*PLANTILLA!R13</f>
        <v>3.8604864954580647</v>
      </c>
      <c r="F9" s="159">
        <f>E9*PLANTILLA!S13</f>
        <v>3.5711363203541571</v>
      </c>
    </row>
    <row r="10" spans="1:16" x14ac:dyDescent="0.25">
      <c r="A10" t="str">
        <f>PLANTILLA!D22</f>
        <v>J. Limon</v>
      </c>
      <c r="B10" s="159">
        <f>PLANTILLA!Y22+1.5+PLANTILLA!J22</f>
        <v>9.7061426278300171</v>
      </c>
      <c r="C10" s="159">
        <f>PLANTILLA!AB22+1.5+PLANTILLA!J22</f>
        <v>12.578523580210968</v>
      </c>
      <c r="D10" s="357">
        <f t="shared" si="0"/>
        <v>4.3578987235314939</v>
      </c>
      <c r="E10" s="159">
        <f>D10*PLANTILLA!R22</f>
        <v>4.3578987235314939</v>
      </c>
      <c r="F10" s="159">
        <f>E10*PLANTILLA!S22</f>
        <v>4.3578987235314939</v>
      </c>
      <c r="H10" s="159"/>
    </row>
    <row r="11" spans="1:16" x14ac:dyDescent="0.25">
      <c r="A11" t="str">
        <f>PLANTILLA!D23</f>
        <v>L. Calosso</v>
      </c>
      <c r="B11" s="159">
        <f>PLANTILLA!Y23+1.5+PLANTILLA!J23</f>
        <v>4.8989573635602417</v>
      </c>
      <c r="C11" s="159">
        <f>PLANTILLA!AB23+1.5+PLANTILLA!J23</f>
        <v>17.918957363560242</v>
      </c>
      <c r="D11" s="357">
        <f t="shared" si="0"/>
        <v>5.0921090113350909</v>
      </c>
      <c r="E11" s="159">
        <f>D11*PLANTILLA!R23</f>
        <v>5.0921090113350909</v>
      </c>
      <c r="F11" s="159">
        <f>E11*PLANTILLA!S23</f>
        <v>5.0921090113350909</v>
      </c>
    </row>
    <row r="12" spans="1:16" x14ac:dyDescent="0.25">
      <c r="A12" t="str">
        <f>PLANTILLA!D10</f>
        <v>B. Bartolache</v>
      </c>
      <c r="B12" s="159">
        <f>PLANTILLA!Y10+1.5+PLANTILLA!J10</f>
        <v>14.500449632940226</v>
      </c>
      <c r="C12" s="159">
        <f>PLANTILLA!AB10+1.5+PLANTILLA!J10</f>
        <v>11.870449632940227</v>
      </c>
      <c r="D12" s="357">
        <f t="shared" si="0"/>
        <v>4.7801686123525853</v>
      </c>
      <c r="E12" s="159">
        <f>D12*PLANTILLA!R10</f>
        <v>4.7801686123525853</v>
      </c>
      <c r="F12" s="159">
        <f>E12*PLANTILLA!S10</f>
        <v>4.7801686123525853</v>
      </c>
    </row>
    <row r="13" spans="1:16" x14ac:dyDescent="0.25">
      <c r="A13" t="str">
        <f>PLANTILLA!D14</f>
        <v>S. Zobbe</v>
      </c>
      <c r="B13" s="159">
        <f>PLANTILLA!Y14+1.5+PLANTILLA!J14</f>
        <v>10.935695645688325</v>
      </c>
      <c r="C13" s="159">
        <f>PLANTILLA!AB14+1.5+PLANTILLA!J14</f>
        <v>13.055695645688326</v>
      </c>
      <c r="D13" s="357">
        <f t="shared" si="0"/>
        <v>4.6308858671331219</v>
      </c>
      <c r="E13" s="159">
        <f>D13*PLANTILLA!R14</f>
        <v>3.5006206726736973</v>
      </c>
      <c r="F13" s="159">
        <f>E13*PLANTILLA!S14</f>
        <v>2.9556044104817145</v>
      </c>
    </row>
    <row r="14" spans="1:16" x14ac:dyDescent="0.25">
      <c r="A14" t="str">
        <f>PLANTILLA!D15</f>
        <v>S. Buschelman</v>
      </c>
      <c r="B14" s="159">
        <f>PLANTILLA!Y15+1.5+PLANTILLA!J15</f>
        <v>12.102873135115296</v>
      </c>
      <c r="C14" s="159">
        <f>PLANTILLA!AB15+1.5+PLANTILLA!J15</f>
        <v>12.582539801781966</v>
      </c>
      <c r="D14" s="357">
        <f t="shared" si="0"/>
        <v>4.6584940923349034</v>
      </c>
      <c r="E14" s="159">
        <f>D14*PLANTILLA!R15</f>
        <v>4.312927465355342</v>
      </c>
      <c r="F14" s="159">
        <f>E14*PLANTILLA!S15</f>
        <v>4.3098457018569043</v>
      </c>
    </row>
    <row r="15" spans="1:16" x14ac:dyDescent="0.25">
      <c r="A15" t="str">
        <f>PLANTILLA!D6</f>
        <v>T. Hammond</v>
      </c>
      <c r="B15" s="159">
        <f>PLANTILLA!Y6+1.5+PLANTILLA!J6</f>
        <v>13.554310229533556</v>
      </c>
      <c r="C15" s="159">
        <f>PLANTILLA!AB6+1.5+PLANTILLA!J6</f>
        <v>9.3037546739780019</v>
      </c>
      <c r="D15" s="357">
        <f t="shared" si="0"/>
        <v>4.020227447186195</v>
      </c>
      <c r="E15" s="159">
        <f>D15*PLANTILLA!R6</f>
        <v>3.3977123319657752</v>
      </c>
      <c r="F15" s="159">
        <f>E15*PLANTILLA!S6</f>
        <v>3.1430478850460219</v>
      </c>
    </row>
    <row r="16" spans="1:16" x14ac:dyDescent="0.25">
      <c r="A16" t="str">
        <f>PLANTILLA!D11</f>
        <v>F. Lasprilla</v>
      </c>
      <c r="B16" s="159">
        <f>PLANTILLA!Y11+1.5+PLANTILLA!J11</f>
        <v>12.107469348856192</v>
      </c>
      <c r="C16" s="159">
        <f>PLANTILLA!AB11+1.5+PLANTILLA!J11</f>
        <v>11.391136015522857</v>
      </c>
      <c r="D16" s="357">
        <f t="shared" si="0"/>
        <v>4.3612176724877383</v>
      </c>
      <c r="E16" s="159">
        <f>D16*PLANTILLA!R11</f>
        <v>4.0377029806724121</v>
      </c>
      <c r="F16" s="159">
        <f>E16*PLANTILLA!S11</f>
        <v>4.0348178763521272</v>
      </c>
    </row>
    <row r="17" spans="1:6" x14ac:dyDescent="0.25">
      <c r="A17" t="str">
        <f>PLANTILLA!D18</f>
        <v>L. Bauman</v>
      </c>
      <c r="B17" s="159">
        <f>PLANTILLA!Y18+1.5+PLANTILLA!J18</f>
        <v>8.0598329675392364</v>
      </c>
      <c r="C17" s="159">
        <f>PLANTILLA!AB18+1.5+PLANTILLA!J18</f>
        <v>11.918721856428128</v>
      </c>
      <c r="D17" s="357">
        <f t="shared" si="0"/>
        <v>3.9871595850494366</v>
      </c>
      <c r="E17" s="159">
        <f>D17*PLANTILLA!R18</f>
        <v>3.9871595850494366</v>
      </c>
      <c r="F17" s="159">
        <f>E17*PLANTILLA!S18</f>
        <v>3.9871595850494366</v>
      </c>
    </row>
    <row r="18" spans="1:6" x14ac:dyDescent="0.25">
      <c r="A18" t="str">
        <f>PLANTILLA!D19</f>
        <v>W. Gelifini</v>
      </c>
      <c r="B18" s="159">
        <f>PLANTILLA!Y19+1.5+PLANTILLA!J19</f>
        <v>8.0635155613369101</v>
      </c>
      <c r="C18" s="159">
        <f>PLANTILLA!AB19+1.5+PLANTILLA!J19</f>
        <v>11.698626672448022</v>
      </c>
      <c r="D18" s="357">
        <f t="shared" si="0"/>
        <v>3.9325961132791192</v>
      </c>
      <c r="E18" s="159">
        <f>D18*PLANTILLA!R19</f>
        <v>3.6408765259612221</v>
      </c>
      <c r="F18" s="159">
        <f>E18*PLANTILLA!S19</f>
        <v>3.6382749704121995</v>
      </c>
    </row>
    <row r="19" spans="1:6" x14ac:dyDescent="0.25">
      <c r="A19" t="str">
        <f>PLANTILLA!D20</f>
        <v>M. Amico</v>
      </c>
      <c r="B19" s="159">
        <f>PLANTILLA!Y20+1.5+PLANTILLA!J20</f>
        <v>4.432674685540718</v>
      </c>
      <c r="C19" s="159">
        <f>PLANTILLA!AB20+1.5+PLANTILLA!J20</f>
        <v>9.2215635744296076</v>
      </c>
      <c r="D19" s="357">
        <f t="shared" si="0"/>
        <v>2.8594752292999916</v>
      </c>
      <c r="E19" s="159">
        <f>D19*PLANTILLA!R20</f>
        <v>2.6473596420876575</v>
      </c>
      <c r="F19" s="159">
        <f>E19*PLANTILLA!S20</f>
        <v>2.6454679950850686</v>
      </c>
    </row>
    <row r="20" spans="1:6" x14ac:dyDescent="0.25">
      <c r="A20" t="str">
        <f>PLANTILLA!D5</f>
        <v>D. Gehmacher</v>
      </c>
      <c r="B20" s="159">
        <f>PLANTILLA!Y5+1.5+PLANTILLA!J5</f>
        <v>15.040771762390913</v>
      </c>
      <c r="C20" s="159">
        <f>PLANTILLA!AB5+1.5+PLANTILLA!J5</f>
        <v>4.2480444896636369</v>
      </c>
      <c r="D20" s="357">
        <f t="shared" si="0"/>
        <v>2.9421075927147733</v>
      </c>
      <c r="E20" s="159">
        <f>D20*PLANTILLA!R5</f>
        <v>2.7238623450287727</v>
      </c>
      <c r="F20" s="159">
        <f>E20*PLANTILLA!S5</f>
        <v>2.7219160337084203</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8"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9"/>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0">
        <f>C13</f>
        <v>5218072</v>
      </c>
      <c r="Z14" s="711"/>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2" t="s">
        <v>93</v>
      </c>
      <c r="B26" s="712"/>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3" t="s">
        <v>94</v>
      </c>
      <c r="B27" s="703"/>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4" t="s">
        <v>95</v>
      </c>
      <c r="B28" s="704"/>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2" t="s">
        <v>96</v>
      </c>
      <c r="B29" s="712"/>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3" t="s">
        <v>97</v>
      </c>
      <c r="B30" s="703"/>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4" t="s">
        <v>98</v>
      </c>
      <c r="B31" s="704"/>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3"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5">
        <f>C23</f>
        <v>4415274</v>
      </c>
      <c r="Z34" s="706"/>
    </row>
    <row r="35" spans="1:26" x14ac:dyDescent="0.25">
      <c r="A35" s="57"/>
      <c r="B35" s="713"/>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3"/>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3"/>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3"/>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3"/>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7"/>
      <c r="H41" s="707"/>
      <c r="I41" s="707"/>
      <c r="J41" s="707"/>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row>
    <row r="47" spans="1:26" x14ac:dyDescent="0.25">
      <c r="G47" s="363"/>
      <c r="H47" s="363"/>
      <c r="I47" s="363"/>
      <c r="J47" s="363"/>
    </row>
    <row r="48" spans="1:26" x14ac:dyDescent="0.25">
      <c r="G48" s="702"/>
      <c r="H48" s="702"/>
      <c r="I48" s="702"/>
      <c r="J48" s="702"/>
      <c r="P48" s="383"/>
    </row>
    <row r="49" spans="7:10" ht="15" customHeight="1" x14ac:dyDescent="0.25">
      <c r="G49" s="702"/>
      <c r="H49" s="702"/>
      <c r="I49" s="70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559</v>
      </c>
      <c r="C2" s="715"/>
      <c r="D2" s="715"/>
      <c r="E2" s="715"/>
      <c r="F2" s="715"/>
      <c r="G2" s="716"/>
      <c r="I2" s="724" t="s">
        <v>494</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8"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9"/>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0">
        <f>C13</f>
        <v>6564204.3711659508</v>
      </c>
      <c r="Z14" s="711"/>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2" t="s">
        <v>93</v>
      </c>
      <c r="B26" s="712"/>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3" t="s">
        <v>94</v>
      </c>
      <c r="B27" s="703"/>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4" t="s">
        <v>95</v>
      </c>
      <c r="B28" s="704"/>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2" t="s">
        <v>96</v>
      </c>
      <c r="B29" s="712"/>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3" t="s">
        <v>97</v>
      </c>
      <c r="B30" s="703"/>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4" t="s">
        <v>98</v>
      </c>
      <c r="B31" s="704"/>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3"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5">
        <f>C23</f>
        <v>4502296</v>
      </c>
      <c r="Z34" s="706"/>
    </row>
    <row r="35" spans="1:26" x14ac:dyDescent="0.25">
      <c r="A35" s="57"/>
      <c r="B35" s="713"/>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3"/>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3"/>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3"/>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3"/>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7"/>
      <c r="H41" s="707"/>
      <c r="I41" s="707"/>
      <c r="J41" s="707"/>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row>
    <row r="47" spans="1:26" x14ac:dyDescent="0.25">
      <c r="G47" s="392"/>
      <c r="H47" s="392"/>
      <c r="I47" s="392"/>
      <c r="J47" s="392"/>
    </row>
    <row r="48" spans="1:26" x14ac:dyDescent="0.25">
      <c r="G48" s="702"/>
      <c r="H48" s="702"/>
      <c r="I48" s="702"/>
      <c r="J48" s="702"/>
      <c r="P48" s="383"/>
    </row>
    <row r="49" spans="7:10" ht="15" customHeight="1" x14ac:dyDescent="0.25">
      <c r="G49" s="702"/>
      <c r="H49" s="702"/>
      <c r="I49" s="702"/>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4" t="s">
        <v>561</v>
      </c>
      <c r="C2" s="715"/>
      <c r="D2" s="715"/>
      <c r="E2" s="715"/>
      <c r="F2" s="715"/>
      <c r="G2" s="716"/>
      <c r="I2" s="724" t="s">
        <v>494</v>
      </c>
      <c r="J2" s="724"/>
      <c r="K2" s="724"/>
      <c r="L2" s="724"/>
      <c r="M2" s="724"/>
      <c r="N2" s="724"/>
      <c r="O2" s="724"/>
      <c r="P2" s="724"/>
      <c r="Q2" s="724"/>
      <c r="R2" s="724"/>
      <c r="S2" s="724"/>
      <c r="T2" s="724"/>
    </row>
    <row r="3" spans="2:21"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1" t="s">
        <v>113</v>
      </c>
      <c r="C4" s="722"/>
      <c r="D4" s="109"/>
      <c r="E4" s="723" t="s">
        <v>114</v>
      </c>
      <c r="F4" s="722"/>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8"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9"/>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10">
        <f>C13</f>
        <v>6907309.643589247</v>
      </c>
      <c r="Z14" s="711"/>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2" t="s">
        <v>93</v>
      </c>
      <c r="B26" s="712"/>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3" t="s">
        <v>94</v>
      </c>
      <c r="B27" s="703"/>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4" t="s">
        <v>95</v>
      </c>
      <c r="B28" s="704"/>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2" t="s">
        <v>96</v>
      </c>
      <c r="B29" s="712"/>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3" t="s">
        <v>97</v>
      </c>
      <c r="B30" s="703"/>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4" t="s">
        <v>98</v>
      </c>
      <c r="B31" s="704"/>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3"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5">
        <f>C23</f>
        <v>4106107</v>
      </c>
      <c r="Z34" s="706"/>
    </row>
    <row r="35" spans="1:26" x14ac:dyDescent="0.25">
      <c r="A35" s="57"/>
      <c r="B35" s="713"/>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3"/>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3"/>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3"/>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3"/>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7"/>
      <c r="H41" s="707"/>
      <c r="I41" s="707"/>
      <c r="J41" s="707"/>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c r="M46" s="383"/>
    </row>
    <row r="47" spans="1:26" x14ac:dyDescent="0.25">
      <c r="E47" s="106"/>
      <c r="G47" s="451"/>
      <c r="H47" s="451"/>
      <c r="I47" s="451"/>
      <c r="J47" s="451"/>
    </row>
    <row r="48" spans="1:26" x14ac:dyDescent="0.25">
      <c r="G48" s="702"/>
      <c r="H48" s="702"/>
      <c r="I48" s="702"/>
      <c r="J48" s="702"/>
      <c r="P48" s="383"/>
    </row>
    <row r="49" spans="7:10" ht="15" customHeight="1" x14ac:dyDescent="0.25">
      <c r="G49" s="702"/>
      <c r="H49" s="702"/>
      <c r="I49" s="70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620</v>
      </c>
      <c r="C2" s="715"/>
      <c r="D2" s="715"/>
      <c r="E2" s="715"/>
      <c r="F2" s="715"/>
      <c r="G2" s="716"/>
      <c r="I2" s="724" t="s">
        <v>621</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8"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9"/>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10">
        <f>C13</f>
        <v>7216225</v>
      </c>
      <c r="Z14" s="711"/>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2" t="s">
        <v>93</v>
      </c>
      <c r="B26" s="712"/>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3" t="s">
        <v>94</v>
      </c>
      <c r="B27" s="703"/>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4" t="s">
        <v>95</v>
      </c>
      <c r="B28" s="704"/>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2" t="s">
        <v>96</v>
      </c>
      <c r="B29" s="712"/>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3" t="s">
        <v>97</v>
      </c>
      <c r="B30" s="703"/>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4" t="s">
        <v>98</v>
      </c>
      <c r="B31" s="704"/>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3"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5">
        <f>C23</f>
        <v>5755973</v>
      </c>
      <c r="Z34" s="706"/>
    </row>
    <row r="35" spans="1:26" x14ac:dyDescent="0.25">
      <c r="A35" s="57"/>
      <c r="B35" s="713"/>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3"/>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3"/>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3"/>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3"/>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3"/>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3"/>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7"/>
      <c r="H43" s="707"/>
      <c r="I43" s="707"/>
      <c r="J43" s="707"/>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2"/>
      <c r="H48" s="702"/>
      <c r="I48" s="702"/>
      <c r="J48" s="702"/>
      <c r="M48" s="383"/>
    </row>
    <row r="49" spans="5:16" x14ac:dyDescent="0.25">
      <c r="E49" s="106"/>
      <c r="G49" s="466"/>
      <c r="H49" s="466"/>
      <c r="I49" s="466"/>
      <c r="J49" s="466"/>
    </row>
    <row r="50" spans="5:16" x14ac:dyDescent="0.25">
      <c r="G50" s="702"/>
      <c r="H50" s="702"/>
      <c r="I50" s="702"/>
      <c r="J50" s="702"/>
      <c r="P50" s="383"/>
    </row>
    <row r="51" spans="5:16" ht="15" customHeight="1" x14ac:dyDescent="0.25">
      <c r="G51" s="702"/>
      <c r="H51" s="702"/>
      <c r="I51" s="702"/>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654</v>
      </c>
      <c r="C2" s="715"/>
      <c r="D2" s="715"/>
      <c r="E2" s="715"/>
      <c r="F2" s="715"/>
      <c r="G2" s="716"/>
      <c r="I2" s="725" t="s">
        <v>655</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8"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9"/>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10">
        <f>C13</f>
        <v>9688435</v>
      </c>
      <c r="Z14" s="711"/>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2" t="s">
        <v>93</v>
      </c>
      <c r="B26" s="712"/>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3" t="s">
        <v>94</v>
      </c>
      <c r="B27" s="703"/>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4" t="s">
        <v>95</v>
      </c>
      <c r="B28" s="704"/>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2" t="s">
        <v>96</v>
      </c>
      <c r="B29" s="712"/>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3" t="s">
        <v>97</v>
      </c>
      <c r="B30" s="703"/>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4" t="s">
        <v>98</v>
      </c>
      <c r="B31" s="704"/>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3"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5">
        <f>C23</f>
        <v>16032490</v>
      </c>
      <c r="Z34" s="706"/>
    </row>
    <row r="35" spans="1:26" x14ac:dyDescent="0.25">
      <c r="A35" s="57"/>
      <c r="B35" s="713"/>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3"/>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3"/>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3"/>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3"/>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3"/>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3"/>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7"/>
      <c r="H43" s="707"/>
      <c r="I43" s="707"/>
      <c r="J43" s="707"/>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c r="M46" s="383"/>
    </row>
    <row r="47" spans="1:26" x14ac:dyDescent="0.25">
      <c r="E47" s="106"/>
      <c r="G47" s="561"/>
      <c r="H47" s="561"/>
      <c r="I47" s="561"/>
      <c r="J47" s="561"/>
    </row>
    <row r="48" spans="1:26" x14ac:dyDescent="0.25">
      <c r="G48" s="702"/>
      <c r="H48" s="702"/>
      <c r="I48" s="702"/>
      <c r="J48" s="702"/>
      <c r="P48" s="383"/>
    </row>
    <row r="49" spans="7:10" ht="15" customHeight="1" x14ac:dyDescent="0.25">
      <c r="G49" s="702"/>
      <c r="H49" s="702"/>
      <c r="I49" s="702"/>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770</v>
      </c>
      <c r="C2" s="715"/>
      <c r="D2" s="715"/>
      <c r="E2" s="715"/>
      <c r="F2" s="715"/>
      <c r="G2" s="716"/>
      <c r="I2" s="725" t="s">
        <v>771</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PLANTILLA!D22</f>
        <v>J. Limon</v>
      </c>
      <c r="B2" s="159">
        <f>PLANTILLA!J22</f>
        <v>1.3885235802109668</v>
      </c>
      <c r="C2" s="265">
        <f>PLANTILLA!AC22</f>
        <v>8.5625000000000018</v>
      </c>
      <c r="D2" s="265">
        <f>PLANTILLA!AD22</f>
        <v>18.639999999999993</v>
      </c>
      <c r="E2" s="159">
        <f>PLANTILLA!AI22</f>
        <v>23.249387112266234</v>
      </c>
      <c r="F2" s="159">
        <f>PLANTILLA!AJ22</f>
        <v>18.505273580210961</v>
      </c>
      <c r="G2" s="159">
        <f>PLANTILLA!AK22</f>
        <v>1.2184068864168771</v>
      </c>
      <c r="H2" s="159">
        <f>PLANTILLA!AL22</f>
        <v>1.0341014125195296</v>
      </c>
      <c r="K2" t="str">
        <f>A4</f>
        <v>L. Calosso</v>
      </c>
      <c r="L2" s="406">
        <f>B2</f>
        <v>1.3885235802109668</v>
      </c>
      <c r="M2" s="406">
        <f t="shared" ref="M2:N2" si="0">C2</f>
        <v>8.5625000000000018</v>
      </c>
      <c r="N2" s="406">
        <f t="shared" si="0"/>
        <v>18.639999999999993</v>
      </c>
      <c r="O2" s="406"/>
    </row>
    <row r="3" spans="1:15" x14ac:dyDescent="0.25">
      <c r="A3" t="str">
        <f>PLANTILLA!D12</f>
        <v>E. Romweber</v>
      </c>
      <c r="B3" s="159">
        <f>PLANTILLA!J12</f>
        <v>1.4984688546227811</v>
      </c>
      <c r="C3" s="265">
        <f>PLANTILLA!AC12</f>
        <v>7.7700000000000005</v>
      </c>
      <c r="D3" s="265">
        <f>PLANTILLA!AD12</f>
        <v>17.13</v>
      </c>
      <c r="E3" s="159">
        <f>PLANTILLA!AI12</f>
        <v>16.136298282794442</v>
      </c>
      <c r="F3" s="159">
        <f>PLANTILLA!AJ12</f>
        <v>13.093043765820465</v>
      </c>
      <c r="G3" s="159">
        <f>PLANTILLA!AK12</f>
        <v>1.1422775083698222</v>
      </c>
      <c r="H3" s="159">
        <f>PLANTILLA!AL12</f>
        <v>1.2017928198235945</v>
      </c>
      <c r="K3" t="str">
        <f>A5</f>
        <v>L. Bauman</v>
      </c>
      <c r="L3" s="406">
        <f t="shared" ref="L3:L11" si="1">B3</f>
        <v>1.4984688546227811</v>
      </c>
      <c r="M3" s="406">
        <f t="shared" ref="M3:M11" si="2">C3</f>
        <v>7.7700000000000005</v>
      </c>
      <c r="N3" s="406">
        <f t="shared" ref="N3:N11" si="3">D3</f>
        <v>17.13</v>
      </c>
      <c r="O3" s="406"/>
    </row>
    <row r="4" spans="1:15" x14ac:dyDescent="0.25">
      <c r="A4" t="str">
        <f>PLANTILLA!D23</f>
        <v>L. Calosso</v>
      </c>
      <c r="B4" s="159">
        <f>PLANTILLA!J23</f>
        <v>1.3989573635602419</v>
      </c>
      <c r="C4" s="265">
        <f>PLANTILLA!AC23</f>
        <v>10</v>
      </c>
      <c r="D4" s="265">
        <f>PLANTILLA!AD23</f>
        <v>9.3000000000000007</v>
      </c>
      <c r="E4" s="159">
        <f ca="1">PLANTILLA!AI23</f>
        <v>18.857509541710876</v>
      </c>
      <c r="F4" s="159">
        <f ca="1">PLANTILLA!AJ23</f>
        <v>11.655931919326187</v>
      </c>
      <c r="G4" s="159">
        <f ca="1">PLANTILLA!AK23</f>
        <v>0.95067455354609509</v>
      </c>
      <c r="H4" s="159">
        <f ca="1">PLANTILLA!AL23</f>
        <v>0.50921523435283311</v>
      </c>
      <c r="K4" t="str">
        <f>A6</f>
        <v>P .Trivadi</v>
      </c>
      <c r="L4" s="406">
        <f t="shared" si="1"/>
        <v>1.3989573635602419</v>
      </c>
      <c r="M4" s="406">
        <f t="shared" si="2"/>
        <v>10</v>
      </c>
      <c r="N4" s="406">
        <f t="shared" si="3"/>
        <v>9.3000000000000007</v>
      </c>
      <c r="O4" s="406"/>
    </row>
    <row r="5" spans="1:15" x14ac:dyDescent="0.25">
      <c r="A5" t="str">
        <f>PLANTILLA!D18</f>
        <v>L. Bauman</v>
      </c>
      <c r="B5" s="159">
        <f>PLANTILLA!J18</f>
        <v>1.2787218564281246</v>
      </c>
      <c r="C5" s="265">
        <f>PLANTILLA!AC18</f>
        <v>7.4318888888888894</v>
      </c>
      <c r="D5" s="265">
        <f>PLANTILLA!AD18</f>
        <v>16.07</v>
      </c>
      <c r="E5" s="159">
        <f>PLANTILLA!AI18</f>
        <v>19.71641085826171</v>
      </c>
      <c r="F5" s="159">
        <f>PLANTILLA!AJ18</f>
        <v>16.25728852309479</v>
      </c>
      <c r="G5" s="159">
        <f>PLANTILLA!AK18</f>
        <v>1.0759921929586944</v>
      </c>
      <c r="H5" s="159">
        <f>PLANTILLA!AL18</f>
        <v>0.8878549743944133</v>
      </c>
      <c r="K5" t="str">
        <f>A14</f>
        <v>D. Toh</v>
      </c>
      <c r="L5" s="406">
        <f t="shared" si="1"/>
        <v>1.2787218564281246</v>
      </c>
      <c r="M5" s="406">
        <f t="shared" si="2"/>
        <v>7.4318888888888894</v>
      </c>
      <c r="N5" s="406">
        <f t="shared" si="3"/>
        <v>16.07</v>
      </c>
      <c r="O5" s="406"/>
    </row>
    <row r="6" spans="1:15" x14ac:dyDescent="0.25">
      <c r="A6" t="str">
        <f>PLANTILLA!D24</f>
        <v>P .Trivadi</v>
      </c>
      <c r="B6" s="159">
        <f>PLANTILLA!J24</f>
        <v>1.0657873992714422</v>
      </c>
      <c r="C6" s="265">
        <f>PLANTILLA!AC24</f>
        <v>8.384500000000001</v>
      </c>
      <c r="D6" s="265">
        <f>PLANTILLA!AD24</f>
        <v>13.566666666666668</v>
      </c>
      <c r="E6" s="159">
        <f>PLANTILLA!AI24</f>
        <v>16.438526466985824</v>
      </c>
      <c r="F6" s="159">
        <f>PLANTILLA!AJ24</f>
        <v>12.320493130926264</v>
      </c>
      <c r="G6" s="159">
        <f>PLANTILLA!AK24</f>
        <v>1.0314879919417155</v>
      </c>
      <c r="H6" s="159">
        <f>PLANTILLA!AL24</f>
        <v>0.74660511794900086</v>
      </c>
      <c r="K6" t="str">
        <f>A18</f>
        <v>D. Gehmacher</v>
      </c>
      <c r="L6" s="406">
        <f t="shared" si="1"/>
        <v>1.0657873992714422</v>
      </c>
      <c r="M6" s="406">
        <f t="shared" si="2"/>
        <v>8.384500000000001</v>
      </c>
      <c r="N6" s="406">
        <f t="shared" si="3"/>
        <v>13.566666666666668</v>
      </c>
      <c r="O6" s="406"/>
    </row>
    <row r="7" spans="1:15" x14ac:dyDescent="0.25">
      <c r="A7" t="str">
        <f>PLANTILLA!D14</f>
        <v>S. Zobbe</v>
      </c>
      <c r="B7" s="159">
        <f>PLANTILLA!J14</f>
        <v>1.3156956456883264</v>
      </c>
      <c r="C7" s="265">
        <f>PLANTILLA!AC14</f>
        <v>7.4766666666666666</v>
      </c>
      <c r="D7" s="265">
        <f>PLANTILLA!AD14</f>
        <v>15.270000000000001</v>
      </c>
      <c r="E7" s="159">
        <f>PLANTILLA!AI14</f>
        <v>14.689554503759226</v>
      </c>
      <c r="F7" s="159">
        <f>PLANTILLA!AJ14</f>
        <v>11.904138971664581</v>
      </c>
      <c r="G7" s="159">
        <f>PLANTILLA!AK14</f>
        <v>1.0571889849883995</v>
      </c>
      <c r="H7" s="159">
        <f>PLANTILLA!AL14</f>
        <v>0.97999869519818295</v>
      </c>
      <c r="K7" t="str">
        <f>A13</f>
        <v>E. Toney</v>
      </c>
      <c r="L7" s="406">
        <f t="shared" si="1"/>
        <v>1.3156956456883264</v>
      </c>
      <c r="M7" s="406">
        <f t="shared" si="2"/>
        <v>7.4766666666666666</v>
      </c>
      <c r="N7" s="406">
        <f t="shared" si="3"/>
        <v>15.270000000000001</v>
      </c>
      <c r="O7" s="406"/>
    </row>
    <row r="8" spans="1:15" x14ac:dyDescent="0.25">
      <c r="A8" t="str">
        <f>PLANTILLA!D13</f>
        <v>K. Helms</v>
      </c>
      <c r="B8" s="159">
        <f>PLANTILLA!J13</f>
        <v>1.4041045913112262</v>
      </c>
      <c r="C8" s="265">
        <f>PLANTILLA!AC13</f>
        <v>5.4050000000000002</v>
      </c>
      <c r="D8" s="265">
        <f>PLANTILLA!AD13</f>
        <v>17.300000000000004</v>
      </c>
      <c r="E8" s="159">
        <f>PLANTILLA!AI13</f>
        <v>14.625708054372277</v>
      </c>
      <c r="F8" s="159">
        <f>PLANTILLA!AJ13</f>
        <v>14.059652000327929</v>
      </c>
      <c r="G8" s="159">
        <f>PLANTILLA!AK13</f>
        <v>1.0215783673048981</v>
      </c>
      <c r="H8" s="159">
        <f>PLANTILLA!AL13</f>
        <v>1.006687321391786</v>
      </c>
      <c r="K8" t="str">
        <f>A14</f>
        <v>D. Toh</v>
      </c>
      <c r="L8" s="406">
        <f t="shared" si="1"/>
        <v>1.4041045913112262</v>
      </c>
      <c r="M8" s="406">
        <f t="shared" si="2"/>
        <v>5.4050000000000002</v>
      </c>
      <c r="N8" s="406">
        <f t="shared" si="3"/>
        <v>17.300000000000004</v>
      </c>
      <c r="O8" s="406"/>
    </row>
    <row r="9" spans="1:15" x14ac:dyDescent="0.25">
      <c r="A9" t="str">
        <f>PLANTILLA!D15</f>
        <v>S. Buschelman</v>
      </c>
      <c r="B9" s="159">
        <f>PLANTILLA!J15</f>
        <v>1.4092064684486303</v>
      </c>
      <c r="C9" s="265">
        <f>PLANTILLA!AC15</f>
        <v>5.0296666666666656</v>
      </c>
      <c r="D9" s="265">
        <f>PLANTILLA!AD15</f>
        <v>15.2</v>
      </c>
      <c r="E9" s="159">
        <f>PLANTILLA!AI15</f>
        <v>14.385941686346632</v>
      </c>
      <c r="F9" s="159">
        <f>PLANTILLA!AJ15</f>
        <v>13.94109763300481</v>
      </c>
      <c r="G9" s="159">
        <f>PLANTILLA!AK15</f>
        <v>0.94021985080922366</v>
      </c>
      <c r="H9" s="159">
        <f>PLANTILLA!AL15</f>
        <v>1.0273911194580709</v>
      </c>
      <c r="K9" t="str">
        <f>A9</f>
        <v>S. Buschelman</v>
      </c>
      <c r="L9" s="406">
        <f t="shared" si="1"/>
        <v>1.4092064684486303</v>
      </c>
      <c r="M9" s="406">
        <f t="shared" si="2"/>
        <v>5.0296666666666656</v>
      </c>
      <c r="N9" s="406">
        <f t="shared" si="3"/>
        <v>15.2</v>
      </c>
      <c r="O9" s="406"/>
    </row>
    <row r="10" spans="1:15" x14ac:dyDescent="0.25">
      <c r="A10" t="str">
        <f>PLANTILLA!D16</f>
        <v>C. Rojas</v>
      </c>
      <c r="B10" s="159">
        <f>PLANTILLA!J16</f>
        <v>1.4389083280634998</v>
      </c>
      <c r="C10" s="265">
        <f>PLANTILLA!AC16</f>
        <v>4.3999999999999995</v>
      </c>
      <c r="D10" s="265">
        <f>PLANTILLA!AD16</f>
        <v>16.544444444444441</v>
      </c>
      <c r="E10" s="159">
        <f>PLANTILLA!AI16</f>
        <v>12.929534768249406</v>
      </c>
      <c r="F10" s="159">
        <f>PLANTILLA!AJ16</f>
        <v>13.38725982400083</v>
      </c>
      <c r="G10" s="159">
        <f>PLANTILLA!AK16</f>
        <v>0.95144599957841314</v>
      </c>
      <c r="H10" s="159">
        <f>PLANTILLA!AL16</f>
        <v>1.0463591385200004</v>
      </c>
      <c r="K10" t="str">
        <f>A11</f>
        <v>B. Bartolache</v>
      </c>
      <c r="L10" s="406">
        <f t="shared" si="1"/>
        <v>1.4389083280634998</v>
      </c>
      <c r="M10" s="406">
        <f t="shared" si="2"/>
        <v>4.3999999999999995</v>
      </c>
      <c r="N10" s="406">
        <f t="shared" si="3"/>
        <v>16.544444444444441</v>
      </c>
      <c r="O10" s="406"/>
    </row>
    <row r="11" spans="1:15" x14ac:dyDescent="0.25">
      <c r="A11" t="str">
        <f>PLANTILLA!D10</f>
        <v>B. Bartolache</v>
      </c>
      <c r="B11" s="159">
        <f>PLANTILLA!J10</f>
        <v>1.3504496329402296</v>
      </c>
      <c r="C11" s="265">
        <f>PLANTILLA!AC10</f>
        <v>4.6199999999999966</v>
      </c>
      <c r="D11" s="265">
        <f>PLANTILLA!AD10</f>
        <v>15.6</v>
      </c>
      <c r="E11" s="159">
        <f>PLANTILLA!AI10</f>
        <v>14.948693688797904</v>
      </c>
      <c r="F11" s="159">
        <f>PLANTILLA!AJ10</f>
        <v>15.156449632940229</v>
      </c>
      <c r="G11" s="159">
        <f>PLANTILLA!AK10</f>
        <v>0.92703597063521814</v>
      </c>
      <c r="H11" s="159">
        <f>PLANTILLA!AL10</f>
        <v>1.133531474305816</v>
      </c>
      <c r="K11" t="str">
        <f>A12</f>
        <v>T. Hammond</v>
      </c>
      <c r="L11" s="406">
        <f t="shared" si="1"/>
        <v>1.3504496329402296</v>
      </c>
      <c r="M11" s="406">
        <f t="shared" si="2"/>
        <v>4.6199999999999966</v>
      </c>
      <c r="N11" s="406">
        <f t="shared" si="3"/>
        <v>15.6</v>
      </c>
      <c r="O11" s="406"/>
    </row>
    <row r="12" spans="1:15" x14ac:dyDescent="0.25">
      <c r="A12" t="str">
        <f>PLANTILLA!D6</f>
        <v>T. Hammond</v>
      </c>
      <c r="B12" s="159">
        <f>PLANTILLA!J6</f>
        <v>1.2593102295335583</v>
      </c>
      <c r="C12" s="265">
        <f>PLANTILLA!AC6</f>
        <v>3.99</v>
      </c>
      <c r="D12" s="265">
        <f>PLANTILLA!AD6</f>
        <v>15.778888888888888</v>
      </c>
      <c r="E12" s="159">
        <f>PLANTILLA!AI6</f>
        <v>11.663014193604974</v>
      </c>
      <c r="F12" s="159">
        <f>PLANTILLA!AJ6</f>
        <v>12.678608979049312</v>
      </c>
      <c r="G12" s="159">
        <f>PLANTILLA!AK6</f>
        <v>0.89361148502935117</v>
      </c>
      <c r="H12" s="159">
        <f>PLANTILLA!AL6</f>
        <v>1.0983183827340155</v>
      </c>
      <c r="M12" s="587">
        <f>AVERAGE(M2:M11)</f>
        <v>6.9080222222222218</v>
      </c>
      <c r="N12" s="587">
        <f>AVERAGE(N2:N11)</f>
        <v>15.46211111111111</v>
      </c>
      <c r="O12" s="588">
        <f>1.66*(M12+1.5)+0.55*(N12+1.5)-7.6</f>
        <v>15.686477999999999</v>
      </c>
    </row>
    <row r="13" spans="1:15" x14ac:dyDescent="0.25">
      <c r="A13" t="str">
        <f>PLANTILLA!D9</f>
        <v>E. Toney</v>
      </c>
      <c r="B13" s="159">
        <f>PLANTILLA!J9</f>
        <v>1.4940985749411331</v>
      </c>
      <c r="C13" s="265">
        <f>PLANTILLA!AC9</f>
        <v>3.6816666666666658</v>
      </c>
      <c r="D13" s="265">
        <f>PLANTILLA!AD9</f>
        <v>16.627777777777773</v>
      </c>
      <c r="E13" s="159">
        <f>PLANTILLA!AI9</f>
        <v>12.063564740827296</v>
      </c>
      <c r="F13" s="159">
        <f>PLANTILLA!AJ9</f>
        <v>13.301074018934147</v>
      </c>
      <c r="G13" s="159">
        <f>PLANTILLA!AK9</f>
        <v>0.92244455266195724</v>
      </c>
      <c r="H13" s="159">
        <f>PLANTILLA!AL9</f>
        <v>1.1908202335792126</v>
      </c>
    </row>
    <row r="14" spans="1:15" x14ac:dyDescent="0.25">
      <c r="A14" t="str">
        <f>PLANTILLA!D8</f>
        <v>D. Toh</v>
      </c>
      <c r="B14" s="159">
        <f>PLANTILLA!J8</f>
        <v>1.2392252342857237</v>
      </c>
      <c r="C14" s="265">
        <f>PLANTILLA!AC8</f>
        <v>4.383333333333332</v>
      </c>
      <c r="D14" s="265">
        <f>PLANTILLA!AD8</f>
        <v>15.349999999999998</v>
      </c>
      <c r="E14" s="159">
        <f>PLANTILLA!AI8</f>
        <v>10.713418938382441</v>
      </c>
      <c r="F14" s="159">
        <f>PLANTILLA!AJ8</f>
        <v>11.187162733243317</v>
      </c>
      <c r="G14" s="159">
        <f>PLANTILLA!AK8</f>
        <v>0.89880468540952452</v>
      </c>
      <c r="H14" s="159">
        <f>PLANTILLA!AL8</f>
        <v>1.0922457664000007</v>
      </c>
    </row>
    <row r="15" spans="1:15" x14ac:dyDescent="0.25">
      <c r="A15" t="str">
        <f>PLANTILLA!D17</f>
        <v>E. Gross</v>
      </c>
      <c r="B15" s="159">
        <f>PLANTILLA!J17</f>
        <v>1.3390951650435234</v>
      </c>
      <c r="C15" s="265">
        <f>PLANTILLA!AC17</f>
        <v>2.98</v>
      </c>
      <c r="D15" s="265">
        <f>PLANTILLA!AD17</f>
        <v>16.959999999999997</v>
      </c>
      <c r="E15" s="159">
        <f>PLANTILLA!AI17</f>
        <v>11.98862992737307</v>
      </c>
      <c r="F15" s="159">
        <f>PLANTILLA!AJ17</f>
        <v>14.447510762660752</v>
      </c>
      <c r="G15" s="159">
        <f>PLANTILLA!AK17</f>
        <v>0.88492761320348179</v>
      </c>
      <c r="H15" s="159">
        <f>PLANTILLA!AL17</f>
        <v>1.1215366615530464</v>
      </c>
    </row>
    <row r="16" spans="1:15" x14ac:dyDescent="0.25">
      <c r="A16" t="str">
        <f>PLANTILLA!D11</f>
        <v>F. Lasprilla</v>
      </c>
      <c r="B16" s="159">
        <f>PLANTILLA!J11</f>
        <v>1.0278026821895256</v>
      </c>
      <c r="C16" s="265">
        <f>PLANTILLA!AC11</f>
        <v>3.2566666666666673</v>
      </c>
      <c r="D16" s="265">
        <f>PLANTILLA!AD11</f>
        <v>13.238888888888889</v>
      </c>
      <c r="E16" s="159">
        <f>PLANTILLA!AI11</f>
        <v>9.8821106844932327</v>
      </c>
      <c r="F16" s="159">
        <f>PLANTILLA!AJ11</f>
        <v>11.824597371299996</v>
      </c>
      <c r="G16" s="159">
        <f>PLANTILLA!AK11</f>
        <v>0.7622242145751621</v>
      </c>
      <c r="H16" s="159">
        <f>PLANTILLA!AL11</f>
        <v>0.9572995210866001</v>
      </c>
    </row>
    <row r="17" spans="1:8" x14ac:dyDescent="0.25">
      <c r="A17" t="str">
        <f>PLANTILLA!D19</f>
        <v>W. Gelifini</v>
      </c>
      <c r="B17" s="159">
        <f>PLANTILLA!J19</f>
        <v>0.93196000578135851</v>
      </c>
      <c r="C17" s="265">
        <f>PLANTILLA!AC19</f>
        <v>3.5417777777777766</v>
      </c>
      <c r="D17" s="265">
        <f>PLANTILLA!AD19</f>
        <v>12.450000000000001</v>
      </c>
      <c r="E17" s="159">
        <f>PLANTILLA!AI19</f>
        <v>9.7224837831896327</v>
      </c>
      <c r="F17" s="159">
        <f>PLANTILLA!AJ19</f>
        <v>11.303794341391464</v>
      </c>
      <c r="G17" s="159">
        <f>PLANTILLA!AK19</f>
        <v>0.74514568935139747</v>
      </c>
      <c r="H17" s="159">
        <f>PLANTILLA!AL19</f>
        <v>0.76899942262691712</v>
      </c>
    </row>
    <row r="18" spans="1:8" x14ac:dyDescent="0.25">
      <c r="A18" t="str">
        <f>PLANTILLA!D5</f>
        <v>D. Gehmacher</v>
      </c>
      <c r="B18" s="159">
        <f>PLANTILLA!J5</f>
        <v>1.7080444896636369</v>
      </c>
      <c r="C18" s="265">
        <f>PLANTILLA!AC5</f>
        <v>0.14055555555555557</v>
      </c>
      <c r="D18" s="265">
        <f>PLANTILLA!AD5</f>
        <v>17.849999999999998</v>
      </c>
      <c r="E18" s="159">
        <f ca="1">PLANTILLA!AI5</f>
        <v>7.8098485376382243</v>
      </c>
      <c r="F18" s="159">
        <f ca="1">PLANTILLA!AJ5</f>
        <v>14.114322913807333</v>
      </c>
      <c r="G18" s="159">
        <f ca="1">PLANTILLA!AK5</f>
        <v>0.75917133695086869</v>
      </c>
      <c r="H18" s="159">
        <f ca="1">PLANTILLA!AL5</f>
        <v>1.1983722051855454</v>
      </c>
    </row>
    <row r="19" spans="1:8" x14ac:dyDescent="0.25">
      <c r="A19" t="str">
        <f>PLANTILLA!D20</f>
        <v>M. Amico</v>
      </c>
      <c r="B19" s="159">
        <f>PLANTILLA!J20</f>
        <v>0.45656357442960838</v>
      </c>
      <c r="C19" s="265">
        <f>PLANTILLA!AC20</f>
        <v>4.3299999999999983</v>
      </c>
      <c r="D19" s="265">
        <f>PLANTILLA!AD20</f>
        <v>9.5</v>
      </c>
      <c r="E19" s="159">
        <f>PLANTILLA!AI20</f>
        <v>8.4590381791397018</v>
      </c>
      <c r="F19" s="159">
        <f>PLANTILLA!AJ20</f>
        <v>9.170769856781769</v>
      </c>
      <c r="G19" s="159">
        <f>PLANTILLA!AK20</f>
        <v>0.65802508595436859</v>
      </c>
      <c r="H19" s="159">
        <f>PLANTILLA!AL20</f>
        <v>0.52100389465451702</v>
      </c>
    </row>
    <row r="20" spans="1:8" x14ac:dyDescent="0.25">
      <c r="A20" t="str">
        <f>PLANTILLA!D7</f>
        <v>B. Pinczehelyi</v>
      </c>
      <c r="B20" s="159">
        <f>PLANTILLA!J7</f>
        <v>1.5719692630575592</v>
      </c>
      <c r="C20" s="265">
        <f>PLANTILLA!AC7</f>
        <v>1.1428571428571428</v>
      </c>
      <c r="D20" s="265">
        <f>PLANTILLA!AD7</f>
        <v>9.4</v>
      </c>
      <c r="E20" s="159">
        <f ca="1">PLANTILLA!AI7</f>
        <v>5.1511949285000629</v>
      </c>
      <c r="F20" s="159">
        <f ca="1">PLANTILLA!AJ7</f>
        <v>9.4948264059147007</v>
      </c>
      <c r="G20" s="159">
        <f ca="1">PLANTILLA!AK7</f>
        <v>0.54490039818746183</v>
      </c>
      <c r="H20" s="159">
        <f ca="1">PLANTILLA!AL7</f>
        <v>1.0300378484140293</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8"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9"/>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0">
        <f>C13</f>
        <v>10943703</v>
      </c>
      <c r="Z14" s="711"/>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2" t="s">
        <v>93</v>
      </c>
      <c r="B26" s="712"/>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3" t="s">
        <v>94</v>
      </c>
      <c r="B27" s="703"/>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4" t="s">
        <v>95</v>
      </c>
      <c r="B28" s="704"/>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2" t="s">
        <v>96</v>
      </c>
      <c r="B29" s="712"/>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3" t="s">
        <v>97</v>
      </c>
      <c r="B30" s="703"/>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4" t="s">
        <v>98</v>
      </c>
      <c r="B31" s="704"/>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3"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5">
        <f>C23</f>
        <v>7143175</v>
      </c>
      <c r="Z34" s="706"/>
    </row>
    <row r="35" spans="1:26" x14ac:dyDescent="0.25">
      <c r="A35" s="57"/>
      <c r="B35" s="713"/>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3"/>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3"/>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3"/>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3"/>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3"/>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3"/>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7"/>
      <c r="H43" s="707"/>
      <c r="I43" s="707"/>
      <c r="J43" s="707"/>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c r="M46" s="383"/>
    </row>
    <row r="47" spans="1:26" x14ac:dyDescent="0.25">
      <c r="E47" s="106"/>
      <c r="G47" s="590"/>
      <c r="H47" s="590"/>
      <c r="I47" s="590"/>
      <c r="J47" s="590"/>
    </row>
    <row r="48" spans="1:26" x14ac:dyDescent="0.25">
      <c r="G48" s="702"/>
      <c r="H48" s="702"/>
      <c r="I48" s="702"/>
      <c r="J48" s="702"/>
      <c r="P48" s="383"/>
    </row>
    <row r="49" spans="7:10" ht="15" customHeight="1" x14ac:dyDescent="0.25">
      <c r="G49" s="702"/>
      <c r="H49" s="702"/>
      <c r="I49" s="702"/>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796</v>
      </c>
      <c r="C2" s="715"/>
      <c r="D2" s="715"/>
      <c r="E2" s="715"/>
      <c r="F2" s="715"/>
      <c r="G2" s="716"/>
      <c r="I2" s="725" t="s">
        <v>797</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abSelected="1"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2" t="s">
        <v>147</v>
      </c>
      <c r="B6" s="150" t="s">
        <v>148</v>
      </c>
      <c r="C6" s="150" t="s">
        <v>149</v>
      </c>
      <c r="D6" s="2">
        <v>0</v>
      </c>
      <c r="E6" s="2">
        <v>22</v>
      </c>
      <c r="F6" s="2">
        <v>0</v>
      </c>
      <c r="G6" s="2">
        <v>0</v>
      </c>
      <c r="H6" s="155">
        <f>H4*2</f>
        <v>8.8000000000000007</v>
      </c>
      <c r="I6" s="2">
        <f t="shared" si="0"/>
        <v>35.200000000000003</v>
      </c>
    </row>
    <row r="7" spans="1:9" x14ac:dyDescent="0.25">
      <c r="A7" s="732"/>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8" t="s">
        <v>326</v>
      </c>
      <c r="B30" s="688"/>
      <c r="C30" s="688"/>
      <c r="D30" s="688"/>
      <c r="F30" s="240" t="s">
        <v>337</v>
      </c>
      <c r="G30" s="235"/>
      <c r="H30" s="228">
        <v>4210500</v>
      </c>
      <c r="I30" s="234"/>
      <c r="J30" s="106"/>
    </row>
    <row r="31" spans="1:14" x14ac:dyDescent="0.25">
      <c r="A31" s="689" t="s">
        <v>257</v>
      </c>
      <c r="B31" s="690" t="s">
        <v>327</v>
      </c>
      <c r="C31" s="690" t="s">
        <v>328</v>
      </c>
      <c r="D31" s="690" t="s">
        <v>329</v>
      </c>
      <c r="F31" s="241" t="s">
        <v>341</v>
      </c>
      <c r="G31" s="236"/>
      <c r="H31" s="228">
        <v>3750000</v>
      </c>
      <c r="I31" s="234"/>
      <c r="J31" s="106"/>
    </row>
    <row r="32" spans="1:14" x14ac:dyDescent="0.25">
      <c r="A32" s="689"/>
      <c r="B32" s="690"/>
      <c r="C32" s="690"/>
      <c r="D32" s="690"/>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18.100000000000001</v>
      </c>
      <c r="E3" s="354">
        <f>D3</f>
        <v>18.100000000000001</v>
      </c>
      <c r="F3" s="354">
        <f>E3+0.1</f>
        <v>18.200000000000003</v>
      </c>
      <c r="G3" s="354">
        <f>C3</f>
        <v>6</v>
      </c>
      <c r="H3" s="354">
        <f t="shared" ref="H3" si="0">G3+0.99</f>
        <v>6.99</v>
      </c>
      <c r="I3" s="358">
        <f t="shared" ref="I3:J3" si="1">G3*G3*E3</f>
        <v>651.6</v>
      </c>
      <c r="J3" s="358">
        <f t="shared" si="1"/>
        <v>889.25382000000013</v>
      </c>
      <c r="K3" s="355"/>
      <c r="N3" s="4" t="s">
        <v>519</v>
      </c>
      <c r="O3" t="str">
        <f>A3</f>
        <v>D. Gehmacher</v>
      </c>
      <c r="P3" s="356">
        <f>E3</f>
        <v>18.100000000000001</v>
      </c>
      <c r="Q3" s="356">
        <f t="shared" ref="Q3:S3" si="2">F3</f>
        <v>18.200000000000003</v>
      </c>
      <c r="R3" s="356">
        <f t="shared" si="2"/>
        <v>6</v>
      </c>
      <c r="S3" s="356">
        <f t="shared" si="2"/>
        <v>6.99</v>
      </c>
      <c r="U3" s="4" t="s">
        <v>519</v>
      </c>
      <c r="V3" s="179" t="str">
        <f>O3</f>
        <v>D. Gehmacher</v>
      </c>
      <c r="W3" s="356">
        <f>P3</f>
        <v>18.100000000000001</v>
      </c>
      <c r="X3" s="356">
        <f t="shared" ref="X3:Z3" si="3">Q3</f>
        <v>18.200000000000003</v>
      </c>
      <c r="Y3" s="356">
        <f t="shared" si="3"/>
        <v>6</v>
      </c>
      <c r="Z3" s="356">
        <f t="shared" si="3"/>
        <v>6.99</v>
      </c>
    </row>
    <row r="4" spans="1:26" x14ac:dyDescent="0.25">
      <c r="A4" s="359" t="str">
        <f>PLANTILLA!D6</f>
        <v>T. Hammond</v>
      </c>
      <c r="B4" s="165">
        <f>PLANTILLA!E6</f>
        <v>34</v>
      </c>
      <c r="C4" s="165">
        <f>PLANTILLA!H6</f>
        <v>3</v>
      </c>
      <c r="D4" s="361">
        <f>PLANTILLA!I6</f>
        <v>7.8</v>
      </c>
      <c r="E4" s="354">
        <f t="shared" ref="E4:E22" si="4">D4</f>
        <v>7.8</v>
      </c>
      <c r="F4" s="354">
        <f t="shared" ref="F4:F22" si="5">E4+0.1</f>
        <v>7.8999999999999995</v>
      </c>
      <c r="G4" s="354">
        <f t="shared" ref="G4:G22" si="6">C4</f>
        <v>3</v>
      </c>
      <c r="H4" s="354">
        <f t="shared" ref="H4:H22" si="7">G4+0.99</f>
        <v>3.99</v>
      </c>
      <c r="I4" s="358">
        <f t="shared" ref="I4:I22" si="8">G4*G4*E4</f>
        <v>70.2</v>
      </c>
      <c r="J4" s="358">
        <f t="shared" ref="J4:J22" si="9">H4*H4*F4</f>
        <v>125.76879000000001</v>
      </c>
      <c r="K4" s="355"/>
      <c r="O4" t="str">
        <f>A7</f>
        <v>E. Toney</v>
      </c>
      <c r="P4" s="356">
        <f>E7</f>
        <v>12.2</v>
      </c>
      <c r="Q4" s="356">
        <f t="shared" ref="Q4:S4" si="10">F7</f>
        <v>12.299999999999999</v>
      </c>
      <c r="R4" s="356">
        <f t="shared" si="10"/>
        <v>4</v>
      </c>
      <c r="S4" s="356">
        <f t="shared" si="10"/>
        <v>4.99</v>
      </c>
      <c r="V4" s="179" t="str">
        <f t="shared" ref="V4:V13" si="11">O4</f>
        <v>E. Toney</v>
      </c>
      <c r="W4" s="356">
        <f t="shared" ref="W4:W13" si="12">P4</f>
        <v>12.2</v>
      </c>
      <c r="X4" s="356">
        <f t="shared" ref="X4:X13" si="13">Q4</f>
        <v>12.299999999999999</v>
      </c>
      <c r="Y4" s="356">
        <f t="shared" ref="Y4:Y13" si="14">R4</f>
        <v>4</v>
      </c>
      <c r="Z4" s="356">
        <f t="shared" ref="Z4:Z13" si="15">S4</f>
        <v>4.99</v>
      </c>
    </row>
    <row r="5" spans="1:26" x14ac:dyDescent="0.25">
      <c r="A5" s="359" t="str">
        <f>PLANTILLA!D7</f>
        <v>B. Pinczehelyi</v>
      </c>
      <c r="B5" s="165">
        <f>PLANTILLA!E7</f>
        <v>30</v>
      </c>
      <c r="C5" s="165">
        <f>PLANTILLA!H7</f>
        <v>2</v>
      </c>
      <c r="D5" s="361">
        <f>PLANTILLA!I7</f>
        <v>14.1</v>
      </c>
      <c r="E5" s="354">
        <f t="shared" si="4"/>
        <v>14.1</v>
      </c>
      <c r="F5" s="354">
        <f t="shared" si="5"/>
        <v>14.2</v>
      </c>
      <c r="G5" s="354">
        <f t="shared" si="6"/>
        <v>2</v>
      </c>
      <c r="H5" s="354">
        <f t="shared" si="7"/>
        <v>2.99</v>
      </c>
      <c r="I5" s="358">
        <f t="shared" si="8"/>
        <v>56.4</v>
      </c>
      <c r="J5" s="358">
        <f t="shared" si="9"/>
        <v>126.94942</v>
      </c>
      <c r="K5" s="355"/>
      <c r="L5" s="178"/>
      <c r="O5" t="str">
        <f>A15</f>
        <v>E. Gross</v>
      </c>
      <c r="P5" s="356">
        <f>E15</f>
        <v>9.1</v>
      </c>
      <c r="Q5" s="356">
        <f t="shared" ref="Q5:S5" si="16">F15</f>
        <v>9.1999999999999993</v>
      </c>
      <c r="R5" s="356">
        <f t="shared" si="16"/>
        <v>3</v>
      </c>
      <c r="S5" s="356">
        <f t="shared" si="16"/>
        <v>3.99</v>
      </c>
      <c r="V5" s="179" t="str">
        <f t="shared" si="11"/>
        <v>E. Gross</v>
      </c>
      <c r="W5" s="356">
        <f t="shared" si="12"/>
        <v>9.1</v>
      </c>
      <c r="X5" s="356">
        <f t="shared" si="13"/>
        <v>9.1999999999999993</v>
      </c>
      <c r="Y5" s="356">
        <f t="shared" si="14"/>
        <v>3</v>
      </c>
      <c r="Z5" s="356">
        <f t="shared" si="15"/>
        <v>3.99</v>
      </c>
    </row>
    <row r="6" spans="1:26" x14ac:dyDescent="0.25">
      <c r="A6" s="359" t="str">
        <f>PLANTILLA!D8</f>
        <v>D. Toh</v>
      </c>
      <c r="B6" s="165">
        <f>PLANTILLA!E8</f>
        <v>31</v>
      </c>
      <c r="C6" s="165">
        <f>PLANTILLA!H8</f>
        <v>4</v>
      </c>
      <c r="D6" s="361">
        <f>PLANTILLA!I8</f>
        <v>7.5</v>
      </c>
      <c r="E6" s="354">
        <f t="shared" si="4"/>
        <v>7.5</v>
      </c>
      <c r="F6" s="354">
        <f t="shared" si="5"/>
        <v>7.6</v>
      </c>
      <c r="G6" s="354">
        <f t="shared" si="6"/>
        <v>4</v>
      </c>
      <c r="H6" s="354">
        <f t="shared" si="7"/>
        <v>4.99</v>
      </c>
      <c r="I6" s="358">
        <f t="shared" si="8"/>
        <v>120</v>
      </c>
      <c r="J6" s="358">
        <f t="shared" si="9"/>
        <v>189.24075999999999</v>
      </c>
      <c r="K6" s="355"/>
      <c r="O6" t="str">
        <f>A5</f>
        <v>B. Pinczehelyi</v>
      </c>
      <c r="P6" s="356">
        <f>E5</f>
        <v>14.1</v>
      </c>
      <c r="Q6" s="356">
        <f t="shared" ref="Q6:S6" si="17">F5</f>
        <v>14.2</v>
      </c>
      <c r="R6" s="356">
        <f t="shared" si="17"/>
        <v>2</v>
      </c>
      <c r="S6" s="356">
        <f t="shared" si="17"/>
        <v>2.99</v>
      </c>
      <c r="V6" s="179" t="str">
        <f t="shared" si="11"/>
        <v>B. Pinczehelyi</v>
      </c>
      <c r="W6" s="356">
        <f t="shared" si="12"/>
        <v>14.1</v>
      </c>
      <c r="X6" s="356">
        <f t="shared" si="13"/>
        <v>14.2</v>
      </c>
      <c r="Y6" s="356">
        <f t="shared" si="14"/>
        <v>2</v>
      </c>
      <c r="Z6" s="356">
        <f t="shared" si="15"/>
        <v>2.99</v>
      </c>
    </row>
    <row r="7" spans="1:26" x14ac:dyDescent="0.25">
      <c r="A7" s="359" t="str">
        <f>PLANTILLA!D9</f>
        <v>E. Toney</v>
      </c>
      <c r="B7" s="165">
        <f>PLANTILLA!E9</f>
        <v>31</v>
      </c>
      <c r="C7" s="165">
        <f>PLANTILLA!H9</f>
        <v>4</v>
      </c>
      <c r="D7" s="361">
        <f>PLANTILLA!I9</f>
        <v>12.2</v>
      </c>
      <c r="E7" s="354">
        <f t="shared" si="4"/>
        <v>12.2</v>
      </c>
      <c r="F7" s="354">
        <f t="shared" si="5"/>
        <v>12.299999999999999</v>
      </c>
      <c r="G7" s="354">
        <f t="shared" si="6"/>
        <v>4</v>
      </c>
      <c r="H7" s="354">
        <f t="shared" si="7"/>
        <v>4.99</v>
      </c>
      <c r="I7" s="358">
        <f t="shared" si="8"/>
        <v>195.2</v>
      </c>
      <c r="J7" s="358">
        <f t="shared" si="9"/>
        <v>306.27123</v>
      </c>
      <c r="K7" s="355"/>
      <c r="O7" t="str">
        <f>A10</f>
        <v>E. Romweber</v>
      </c>
      <c r="P7" s="356">
        <f>E10</f>
        <v>12.3</v>
      </c>
      <c r="Q7" s="356">
        <f t="shared" ref="Q7:S7" si="18">F10</f>
        <v>12.4</v>
      </c>
      <c r="R7" s="356">
        <f t="shared" si="18"/>
        <v>0</v>
      </c>
      <c r="S7" s="356">
        <f t="shared" si="18"/>
        <v>0.99</v>
      </c>
      <c r="V7" s="179" t="str">
        <f t="shared" si="11"/>
        <v>E. Romweber</v>
      </c>
      <c r="W7" s="356">
        <f t="shared" si="12"/>
        <v>12.3</v>
      </c>
      <c r="X7" s="356">
        <f t="shared" si="13"/>
        <v>12.4</v>
      </c>
      <c r="Y7" s="356">
        <f t="shared" si="14"/>
        <v>0</v>
      </c>
      <c r="Z7" s="356">
        <f t="shared" si="15"/>
        <v>0.99</v>
      </c>
    </row>
    <row r="8" spans="1:26" x14ac:dyDescent="0.25">
      <c r="A8" s="359" t="str">
        <f>PLANTILLA!D10</f>
        <v>B. Bartolache</v>
      </c>
      <c r="B8" s="165">
        <f>PLANTILLA!E10</f>
        <v>30</v>
      </c>
      <c r="C8" s="165">
        <f>PLANTILLA!H10</f>
        <v>3</v>
      </c>
      <c r="D8" s="361">
        <f>PLANTILLA!I10</f>
        <v>9.3000000000000007</v>
      </c>
      <c r="E8" s="354">
        <f t="shared" si="4"/>
        <v>9.3000000000000007</v>
      </c>
      <c r="F8" s="354">
        <f t="shared" si="5"/>
        <v>9.4</v>
      </c>
      <c r="G8" s="354">
        <f t="shared" si="6"/>
        <v>3</v>
      </c>
      <c r="H8" s="354">
        <f t="shared" si="7"/>
        <v>3.99</v>
      </c>
      <c r="I8" s="358">
        <f t="shared" si="8"/>
        <v>83.7</v>
      </c>
      <c r="J8" s="358">
        <f t="shared" si="9"/>
        <v>149.64894000000001</v>
      </c>
      <c r="K8" s="355"/>
      <c r="O8" t="str">
        <f>A13</f>
        <v>S. Buschelman</v>
      </c>
      <c r="P8" s="356">
        <f>E13</f>
        <v>10.4</v>
      </c>
      <c r="Q8" s="356">
        <f t="shared" ref="Q8:S8" si="19">F13</f>
        <v>10.5</v>
      </c>
      <c r="R8" s="356">
        <f t="shared" si="19"/>
        <v>3</v>
      </c>
      <c r="S8" s="356">
        <f t="shared" si="19"/>
        <v>3.99</v>
      </c>
      <c r="V8" s="179" t="str">
        <f t="shared" si="11"/>
        <v>S. Buschelman</v>
      </c>
      <c r="W8" s="356">
        <f t="shared" si="12"/>
        <v>10.4</v>
      </c>
      <c r="X8" s="356">
        <f t="shared" si="13"/>
        <v>10.5</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v>
      </c>
      <c r="Q9" s="356">
        <f t="shared" ref="Q9:S9" si="20">F16</f>
        <v>8.1999999999999993</v>
      </c>
      <c r="R9" s="356">
        <f t="shared" si="20"/>
        <v>0</v>
      </c>
      <c r="S9" s="356">
        <f t="shared" si="20"/>
        <v>0.99</v>
      </c>
      <c r="V9" s="179" t="str">
        <f t="shared" si="11"/>
        <v>L. Bauman</v>
      </c>
      <c r="W9" s="356">
        <f t="shared" si="12"/>
        <v>8.1</v>
      </c>
      <c r="X9" s="356">
        <f t="shared" si="13"/>
        <v>8.1999999999999993</v>
      </c>
      <c r="Y9" s="356">
        <f t="shared" si="14"/>
        <v>0</v>
      </c>
      <c r="Z9" s="356">
        <f t="shared" si="15"/>
        <v>0.99</v>
      </c>
    </row>
    <row r="10" spans="1:26" x14ac:dyDescent="0.25">
      <c r="A10" s="359" t="str">
        <f>PLANTILLA!D12</f>
        <v>E. Romweber</v>
      </c>
      <c r="B10" s="165">
        <f>PLANTILLA!E12</f>
        <v>30</v>
      </c>
      <c r="C10" s="165">
        <f>PLANTILLA!H12</f>
        <v>0</v>
      </c>
      <c r="D10" s="361">
        <f>PLANTILLA!I12</f>
        <v>12.3</v>
      </c>
      <c r="E10" s="354">
        <f t="shared" si="4"/>
        <v>12.3</v>
      </c>
      <c r="F10" s="354">
        <f t="shared" si="5"/>
        <v>12.4</v>
      </c>
      <c r="G10" s="354">
        <f t="shared" si="6"/>
        <v>0</v>
      </c>
      <c r="H10" s="354">
        <f t="shared" si="7"/>
        <v>0.99</v>
      </c>
      <c r="I10" s="358">
        <f t="shared" si="8"/>
        <v>0</v>
      </c>
      <c r="J10" s="358">
        <f t="shared" si="9"/>
        <v>12.15324</v>
      </c>
      <c r="K10" s="355"/>
      <c r="O10" t="str">
        <f>A14</f>
        <v>C. Rojas</v>
      </c>
      <c r="P10" s="356">
        <f>E14</f>
        <v>11</v>
      </c>
      <c r="Q10" s="356">
        <f t="shared" ref="Q10:S10" si="21">F14</f>
        <v>11.1</v>
      </c>
      <c r="R10" s="356">
        <f t="shared" si="21"/>
        <v>4</v>
      </c>
      <c r="S10" s="356">
        <f t="shared" si="21"/>
        <v>4.99</v>
      </c>
      <c r="V10" s="179" t="str">
        <f t="shared" si="11"/>
        <v>C. Rojas</v>
      </c>
      <c r="W10" s="356">
        <f t="shared" si="12"/>
        <v>11</v>
      </c>
      <c r="X10" s="356">
        <f t="shared" si="13"/>
        <v>11.1</v>
      </c>
      <c r="Y10" s="356">
        <f t="shared" si="14"/>
        <v>4</v>
      </c>
      <c r="Z10" s="356">
        <f t="shared" si="15"/>
        <v>4.99</v>
      </c>
    </row>
    <row r="11" spans="1:26" x14ac:dyDescent="0.25">
      <c r="A11" s="359" t="str">
        <f>PLANTILLA!D13</f>
        <v>K. Helms</v>
      </c>
      <c r="B11" s="165">
        <f>PLANTILLA!E13</f>
        <v>30</v>
      </c>
      <c r="C11" s="165">
        <f>PLANTILLA!H13</f>
        <v>2</v>
      </c>
      <c r="D11" s="361">
        <f>PLANTILLA!I13</f>
        <v>10.3</v>
      </c>
      <c r="E11" s="354">
        <f t="shared" si="4"/>
        <v>10.3</v>
      </c>
      <c r="F11" s="354">
        <f t="shared" si="5"/>
        <v>10.4</v>
      </c>
      <c r="G11" s="354">
        <f t="shared" si="6"/>
        <v>2</v>
      </c>
      <c r="H11" s="354">
        <f t="shared" si="7"/>
        <v>2.99</v>
      </c>
      <c r="I11" s="358">
        <f t="shared" si="8"/>
        <v>41.2</v>
      </c>
      <c r="J11" s="358">
        <f t="shared" si="9"/>
        <v>92.977040000000017</v>
      </c>
      <c r="K11" s="355"/>
      <c r="O11" t="str">
        <f>A11</f>
        <v>K. Helms</v>
      </c>
      <c r="P11" s="356">
        <f>E11</f>
        <v>10.3</v>
      </c>
      <c r="Q11" s="356">
        <f t="shared" ref="Q11:S11" si="22">F11</f>
        <v>10.4</v>
      </c>
      <c r="R11" s="356">
        <f t="shared" si="22"/>
        <v>2</v>
      </c>
      <c r="S11" s="356">
        <f t="shared" si="22"/>
        <v>2.99</v>
      </c>
      <c r="V11" s="179" t="str">
        <f t="shared" si="11"/>
        <v>K. Helms</v>
      </c>
      <c r="W11" s="356">
        <f t="shared" si="12"/>
        <v>10.3</v>
      </c>
      <c r="X11" s="356">
        <f t="shared" si="13"/>
        <v>10.4</v>
      </c>
      <c r="Y11" s="356">
        <f t="shared" si="14"/>
        <v>2</v>
      </c>
      <c r="Z11" s="356">
        <f t="shared" si="15"/>
        <v>2.99</v>
      </c>
    </row>
    <row r="12" spans="1:26" x14ac:dyDescent="0.25">
      <c r="A12" s="359" t="str">
        <f>PLANTILLA!D14</f>
        <v>S. Zobbe</v>
      </c>
      <c r="B12" s="165">
        <f>PLANTILLA!E14</f>
        <v>27</v>
      </c>
      <c r="C12" s="165">
        <f>PLANTILLA!H14</f>
        <v>2</v>
      </c>
      <c r="D12" s="361">
        <f>PLANTILLA!I14</f>
        <v>8.6999999999999993</v>
      </c>
      <c r="E12" s="354">
        <f t="shared" si="4"/>
        <v>8.6999999999999993</v>
      </c>
      <c r="F12" s="354">
        <f t="shared" si="5"/>
        <v>8.7999999999999989</v>
      </c>
      <c r="G12" s="354">
        <f t="shared" si="6"/>
        <v>2</v>
      </c>
      <c r="H12" s="354">
        <f t="shared" si="7"/>
        <v>2.99</v>
      </c>
      <c r="I12" s="358">
        <f t="shared" si="8"/>
        <v>34.799999999999997</v>
      </c>
      <c r="J12" s="358">
        <f t="shared" si="9"/>
        <v>78.672880000000006</v>
      </c>
      <c r="K12" s="355"/>
      <c r="O12" t="str">
        <f>A21</f>
        <v>L. Calosso</v>
      </c>
      <c r="P12" s="356">
        <f>E21</f>
        <v>10.199999999999999</v>
      </c>
      <c r="Q12" s="356">
        <f t="shared" ref="Q12:S12" si="23">F21</f>
        <v>10.299999999999999</v>
      </c>
      <c r="R12" s="356">
        <f t="shared" si="23"/>
        <v>3</v>
      </c>
      <c r="S12" s="356">
        <f t="shared" si="23"/>
        <v>3.99</v>
      </c>
      <c r="V12" s="179" t="str">
        <f t="shared" si="11"/>
        <v>L. Calosso</v>
      </c>
      <c r="W12" s="356">
        <f t="shared" si="12"/>
        <v>10.199999999999999</v>
      </c>
      <c r="X12" s="356">
        <f t="shared" si="13"/>
        <v>10.299999999999999</v>
      </c>
      <c r="Y12" s="356">
        <f t="shared" si="14"/>
        <v>3</v>
      </c>
      <c r="Z12" s="356">
        <f t="shared" si="15"/>
        <v>3.99</v>
      </c>
    </row>
    <row r="13" spans="1:26" x14ac:dyDescent="0.25">
      <c r="A13" s="359" t="str">
        <f>PLANTILLA!D15</f>
        <v>S. Buschelman</v>
      </c>
      <c r="B13" s="165">
        <f>PLANTILLA!E15</f>
        <v>29</v>
      </c>
      <c r="C13" s="165">
        <f>PLANTILLA!H15</f>
        <v>3</v>
      </c>
      <c r="D13" s="361">
        <f>PLANTILLA!I15</f>
        <v>10.4</v>
      </c>
      <c r="E13" s="354">
        <f t="shared" si="4"/>
        <v>10.4</v>
      </c>
      <c r="F13" s="354">
        <f t="shared" si="5"/>
        <v>10.5</v>
      </c>
      <c r="G13" s="354">
        <f t="shared" si="6"/>
        <v>3</v>
      </c>
      <c r="H13" s="354">
        <f t="shared" si="7"/>
        <v>3.99</v>
      </c>
      <c r="I13" s="358">
        <f t="shared" si="8"/>
        <v>93.600000000000009</v>
      </c>
      <c r="J13" s="358">
        <f t="shared" si="9"/>
        <v>167.16105000000002</v>
      </c>
      <c r="K13" s="355"/>
      <c r="O13" t="str">
        <f>A20</f>
        <v>J. Limon</v>
      </c>
      <c r="P13" s="356">
        <f>E20</f>
        <v>10</v>
      </c>
      <c r="Q13" s="356">
        <f t="shared" ref="Q13:S13" si="24">F20</f>
        <v>10.1</v>
      </c>
      <c r="R13" s="356">
        <f t="shared" si="24"/>
        <v>3</v>
      </c>
      <c r="S13" s="356">
        <f t="shared" si="24"/>
        <v>3.99</v>
      </c>
      <c r="V13" s="179" t="str">
        <f t="shared" si="11"/>
        <v>J. Limon</v>
      </c>
      <c r="W13" s="356">
        <f t="shared" si="12"/>
        <v>10</v>
      </c>
      <c r="X13" s="356">
        <f t="shared" si="13"/>
        <v>10.1</v>
      </c>
      <c r="Y13" s="356">
        <f t="shared" si="14"/>
        <v>3</v>
      </c>
      <c r="Z13" s="356">
        <f t="shared" si="15"/>
        <v>3.99</v>
      </c>
    </row>
    <row r="14" spans="1:26" x14ac:dyDescent="0.25">
      <c r="A14" s="359" t="str">
        <f>PLANTILLA!D16</f>
        <v>C. Rojas</v>
      </c>
      <c r="B14" s="165">
        <f>PLANTILLA!E16</f>
        <v>31</v>
      </c>
      <c r="C14" s="165">
        <f>PLANTILLA!H16</f>
        <v>4</v>
      </c>
      <c r="D14" s="361">
        <f>PLANTILLA!I16</f>
        <v>11</v>
      </c>
      <c r="E14" s="354">
        <f t="shared" si="4"/>
        <v>11</v>
      </c>
      <c r="F14" s="354">
        <f t="shared" si="5"/>
        <v>11.1</v>
      </c>
      <c r="G14" s="354">
        <f t="shared" si="6"/>
        <v>4</v>
      </c>
      <c r="H14" s="354">
        <f t="shared" si="7"/>
        <v>4.99</v>
      </c>
      <c r="I14" s="358">
        <f t="shared" si="8"/>
        <v>176</v>
      </c>
      <c r="J14" s="358">
        <f t="shared" si="9"/>
        <v>276.39111000000003</v>
      </c>
      <c r="K14" s="355"/>
      <c r="P14" s="159">
        <f>SUM(P4:P13)/10</f>
        <v>10.77</v>
      </c>
      <c r="Q14" s="159">
        <f>SUM(Q4:Q13)/10</f>
        <v>10.87</v>
      </c>
      <c r="R14" s="159"/>
      <c r="S14" s="159"/>
      <c r="W14" s="159">
        <f>SUM(W4:W13)/10</f>
        <v>10.77</v>
      </c>
      <c r="X14" s="159">
        <f>SUM(X4:X13)/10</f>
        <v>10.87</v>
      </c>
      <c r="Y14" s="159"/>
      <c r="Z14" s="159"/>
    </row>
    <row r="15" spans="1:26" x14ac:dyDescent="0.25">
      <c r="A15" s="359" t="str">
        <f>PLANTILLA!D17</f>
        <v>E. Gross</v>
      </c>
      <c r="B15" s="165">
        <f>PLANTILLA!E17</f>
        <v>30</v>
      </c>
      <c r="C15" s="165">
        <f>PLANTILLA!H17</f>
        <v>3</v>
      </c>
      <c r="D15" s="361">
        <f>PLANTILLA!I17</f>
        <v>9.1</v>
      </c>
      <c r="E15" s="354">
        <f t="shared" si="4"/>
        <v>9.1</v>
      </c>
      <c r="F15" s="354">
        <f t="shared" si="5"/>
        <v>9.1999999999999993</v>
      </c>
      <c r="G15" s="354">
        <f t="shared" si="6"/>
        <v>3</v>
      </c>
      <c r="H15" s="354">
        <f t="shared" si="7"/>
        <v>3.99</v>
      </c>
      <c r="I15" s="358">
        <f t="shared" si="8"/>
        <v>81.899999999999991</v>
      </c>
      <c r="J15" s="358">
        <f t="shared" si="9"/>
        <v>146.46492000000001</v>
      </c>
      <c r="K15" s="355"/>
    </row>
    <row r="16" spans="1:26" x14ac:dyDescent="0.25">
      <c r="A16" s="359" t="str">
        <f>PLANTILLA!D18</f>
        <v>L. Bauman</v>
      </c>
      <c r="B16" s="165">
        <f>PLANTILLA!E18</f>
        <v>30</v>
      </c>
      <c r="C16" s="165">
        <f>PLANTILLA!H18</f>
        <v>0</v>
      </c>
      <c r="D16" s="361">
        <f>PLANTILLA!I18</f>
        <v>8.1</v>
      </c>
      <c r="E16" s="354">
        <f t="shared" si="4"/>
        <v>8.1</v>
      </c>
      <c r="F16" s="354">
        <f t="shared" si="5"/>
        <v>8.1999999999999993</v>
      </c>
      <c r="G16" s="354">
        <f t="shared" si="6"/>
        <v>0</v>
      </c>
      <c r="H16" s="354">
        <f t="shared" si="7"/>
        <v>0.99</v>
      </c>
      <c r="I16" s="358">
        <f t="shared" si="8"/>
        <v>0</v>
      </c>
      <c r="J16" s="358">
        <f t="shared" si="9"/>
        <v>8.0368199999999987</v>
      </c>
      <c r="K16" s="355"/>
      <c r="L16" s="184" t="s">
        <v>520</v>
      </c>
      <c r="O16" t="s">
        <v>521</v>
      </c>
      <c r="P16" s="265">
        <f>SUM(P3:P13)</f>
        <v>125.8</v>
      </c>
      <c r="Q16" s="265">
        <f>SUM(Q3:Q13)</f>
        <v>126.9</v>
      </c>
      <c r="R16" s="265"/>
      <c r="V16" s="179" t="s">
        <v>521</v>
      </c>
      <c r="W16" s="265">
        <f>SUM(W3:W13)</f>
        <v>125.8</v>
      </c>
      <c r="X16" s="265">
        <f>SUM(X3:X13)</f>
        <v>126.9</v>
      </c>
      <c r="Y16" s="265"/>
    </row>
    <row r="17" spans="1:25" x14ac:dyDescent="0.25">
      <c r="A17" s="359" t="str">
        <f>PLANTILLA!D19</f>
        <v>W. Gelifini</v>
      </c>
      <c r="B17" s="165">
        <f>PLANTILLA!E19</f>
        <v>28</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7.624242424242424</v>
      </c>
      <c r="Q17" s="159">
        <f>Q16/16.5</f>
        <v>7.6909090909090914</v>
      </c>
      <c r="R17" s="159"/>
      <c r="V17" s="179" t="s">
        <v>522</v>
      </c>
      <c r="W17" s="159">
        <f>W16/17</f>
        <v>7.3999999999999995</v>
      </c>
      <c r="X17" s="159">
        <f>X16/17</f>
        <v>7.4647058823529413</v>
      </c>
      <c r="Y17" s="159"/>
    </row>
    <row r="18" spans="1:25" x14ac:dyDescent="0.25">
      <c r="A18" s="359" t="str">
        <f>PLANTILLA!D20</f>
        <v>M. Amico</v>
      </c>
      <c r="B18" s="165">
        <f>PLANTILLA!E20</f>
        <v>29</v>
      </c>
      <c r="C18" s="165">
        <f>PLANTILLA!H20</f>
        <v>4</v>
      </c>
      <c r="D18" s="361">
        <f>PLANTILLA!I20</f>
        <v>1.2</v>
      </c>
      <c r="E18" s="354">
        <f t="shared" ref="E18" si="25">D18</f>
        <v>1.2</v>
      </c>
      <c r="F18" s="354">
        <f t="shared" ref="F18" si="26">E18+0.1</f>
        <v>1.3</v>
      </c>
      <c r="G18" s="354">
        <f t="shared" ref="G18" si="27">C18</f>
        <v>4</v>
      </c>
      <c r="H18" s="354">
        <f t="shared" ref="H18" si="28">G18+0.99</f>
        <v>4.99</v>
      </c>
      <c r="I18" s="358">
        <f t="shared" ref="I18" si="29">G18*G18*E18</f>
        <v>19.2</v>
      </c>
      <c r="J18" s="358">
        <f t="shared" ref="J18" si="30">H18*H18*F18</f>
        <v>32.370130000000003</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PLANTILLA!D21</f>
        <v>G. Kerschl</v>
      </c>
      <c r="B19" s="165">
        <f>PLANTILLA!E21</f>
        <v>28</v>
      </c>
      <c r="C19" s="165">
        <f>PLANTILLA!H21</f>
        <v>1</v>
      </c>
      <c r="D19" s="361">
        <f>PLANTILLA!I21</f>
        <v>8.6</v>
      </c>
      <c r="E19" s="354">
        <f t="shared" ref="E19" si="31">D19</f>
        <v>8.6</v>
      </c>
      <c r="F19" s="354">
        <f t="shared" ref="F19" si="32">E19+0.1</f>
        <v>8.6999999999999993</v>
      </c>
      <c r="G19" s="354">
        <f t="shared" ref="G19" si="33">C19</f>
        <v>1</v>
      </c>
      <c r="H19" s="354">
        <f t="shared" ref="H19" si="34">G19+0.99</f>
        <v>1.99</v>
      </c>
      <c r="I19" s="358">
        <f t="shared" ref="I19" si="35">G19*G19*E19</f>
        <v>8.6</v>
      </c>
      <c r="J19" s="358">
        <f t="shared" ref="J19" si="36">H19*H19*F19</f>
        <v>34.452869999999997</v>
      </c>
      <c r="K19" s="355"/>
      <c r="L19" s="184" t="s">
        <v>525</v>
      </c>
      <c r="O19" s="246" t="s">
        <v>526</v>
      </c>
      <c r="P19" s="265">
        <f>P18*P3</f>
        <v>651.6</v>
      </c>
      <c r="Q19" s="265">
        <f>Q18*Q3</f>
        <v>889.25382000000013</v>
      </c>
      <c r="R19" s="265"/>
      <c r="V19" s="179" t="s">
        <v>526</v>
      </c>
      <c r="W19" s="265">
        <f>W18*W3</f>
        <v>651.6</v>
      </c>
      <c r="X19" s="265">
        <f>X18*X3</f>
        <v>889.25382000000013</v>
      </c>
      <c r="Y19" s="265"/>
    </row>
    <row r="20" spans="1:25" x14ac:dyDescent="0.25">
      <c r="A20" s="359" t="str">
        <f>PLANTILLA!D22</f>
        <v>J. Limon</v>
      </c>
      <c r="B20" s="165">
        <f>PLANTILLA!E22</f>
        <v>29</v>
      </c>
      <c r="C20" s="165">
        <f>PLANTILLA!H22</f>
        <v>3</v>
      </c>
      <c r="D20" s="361">
        <f>PLANTILLA!I22</f>
        <v>10</v>
      </c>
      <c r="E20" s="354">
        <f t="shared" si="4"/>
        <v>10</v>
      </c>
      <c r="F20" s="354">
        <f t="shared" si="5"/>
        <v>10.1</v>
      </c>
      <c r="G20" s="354">
        <f t="shared" si="6"/>
        <v>3</v>
      </c>
      <c r="H20" s="354">
        <f t="shared" si="7"/>
        <v>3.99</v>
      </c>
      <c r="I20" s="358">
        <f t="shared" si="8"/>
        <v>90</v>
      </c>
      <c r="J20" s="358">
        <f t="shared" si="9"/>
        <v>160.79301000000001</v>
      </c>
      <c r="K20" s="355"/>
      <c r="L20" s="184" t="s">
        <v>527</v>
      </c>
      <c r="O20" s="318" t="s">
        <v>876</v>
      </c>
      <c r="P20" s="159">
        <f>(P19^(2/3))/27</f>
        <v>2.7837076285616571</v>
      </c>
      <c r="Q20" s="159">
        <f>(Q19^(2/3))/27</f>
        <v>3.4249433737932482</v>
      </c>
      <c r="R20" s="159"/>
      <c r="V20" s="179" t="s">
        <v>528</v>
      </c>
      <c r="W20" s="159">
        <f>(W19^(2/3))/30</f>
        <v>2.5053368657054915</v>
      </c>
      <c r="X20" s="159">
        <f>(X19^(2/3))/30</f>
        <v>3.0824490364139234</v>
      </c>
      <c r="Y20" s="159"/>
    </row>
    <row r="21" spans="1:25" x14ac:dyDescent="0.25">
      <c r="A21" s="359" t="str">
        <f>PLANTILLA!D23</f>
        <v>L. Calosso</v>
      </c>
      <c r="B21" s="165">
        <f>PLANTILLA!E23</f>
        <v>30</v>
      </c>
      <c r="C21" s="165">
        <f>PLANTILLA!H23</f>
        <v>3</v>
      </c>
      <c r="D21" s="361">
        <f>PLANTILLA!I23</f>
        <v>10.199999999999999</v>
      </c>
      <c r="E21" s="354">
        <f t="shared" si="4"/>
        <v>10.199999999999999</v>
      </c>
      <c r="F21" s="354">
        <f t="shared" si="5"/>
        <v>10.299999999999999</v>
      </c>
      <c r="G21" s="354">
        <f t="shared" si="6"/>
        <v>3</v>
      </c>
      <c r="H21" s="354">
        <f t="shared" si="7"/>
        <v>3.99</v>
      </c>
      <c r="I21" s="358">
        <f t="shared" si="8"/>
        <v>91.8</v>
      </c>
      <c r="J21" s="358">
        <f t="shared" si="9"/>
        <v>163.97702999999998</v>
      </c>
      <c r="K21" s="355"/>
      <c r="L21" s="184" t="s">
        <v>529</v>
      </c>
      <c r="O21" s="179" t="s">
        <v>530</v>
      </c>
      <c r="P21" s="672">
        <f>P17+P20</f>
        <v>10.407950052804081</v>
      </c>
      <c r="Q21" s="672">
        <f>Q17+Q20</f>
        <v>11.115852464702339</v>
      </c>
      <c r="V21" s="179" t="s">
        <v>530</v>
      </c>
      <c r="W21" s="672">
        <f>W17+W20</f>
        <v>9.9053368657054914</v>
      </c>
      <c r="X21" s="672">
        <f>X17+X20</f>
        <v>10.547154918766864</v>
      </c>
    </row>
    <row r="22" spans="1:25" x14ac:dyDescent="0.25">
      <c r="A22" s="359" t="str">
        <f>PLANTILLA!D24</f>
        <v>P .Trivadi</v>
      </c>
      <c r="B22" s="165">
        <f>PLANTILLA!E24</f>
        <v>27</v>
      </c>
      <c r="C22" s="165">
        <f>PLANTILLA!H24</f>
        <v>5</v>
      </c>
      <c r="D22" s="361">
        <f>PLANTILLA!I24</f>
        <v>5.3</v>
      </c>
      <c r="E22" s="354">
        <f t="shared" si="4"/>
        <v>5.3</v>
      </c>
      <c r="F22" s="354">
        <f t="shared" si="5"/>
        <v>5.3999999999999995</v>
      </c>
      <c r="G22" s="354">
        <f t="shared" si="6"/>
        <v>5</v>
      </c>
      <c r="H22" s="354">
        <f t="shared" si="7"/>
        <v>5.99</v>
      </c>
      <c r="I22" s="358">
        <f t="shared" si="8"/>
        <v>132.5</v>
      </c>
      <c r="J22" s="358">
        <f t="shared" si="9"/>
        <v>193.75254000000001</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57900</v>
      </c>
      <c r="S2" s="228">
        <v>2068800</v>
      </c>
      <c r="T2" s="228">
        <f ca="1">S2+Q2+P2+R2</f>
        <v>2905342.8571428573</v>
      </c>
      <c r="U2" s="233">
        <f ca="1">T2/((O2-N2)/112)</f>
        <v>566896.16724738677</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33300</v>
      </c>
      <c r="S4" s="228">
        <v>2059800</v>
      </c>
      <c r="T4" s="228">
        <f>S4+Q4+P4</f>
        <v>3126540</v>
      </c>
      <c r="U4" s="233">
        <f>T4/((O4-N4)/112)</f>
        <v>580717.21393034828</v>
      </c>
      <c r="V4" s="163">
        <f ca="1">(A7-N4)/112</f>
        <v>6.9375</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43082</v>
      </c>
    </row>
    <row r="8" spans="1:22" x14ac:dyDescent="0.25">
      <c r="A8" s="177">
        <v>41757</v>
      </c>
    </row>
    <row r="9" spans="1:22" x14ac:dyDescent="0.25">
      <c r="A9" s="179">
        <f ca="1">A7-A8</f>
        <v>1325</v>
      </c>
    </row>
    <row r="10" spans="1:22" x14ac:dyDescent="0.25">
      <c r="A10" s="417">
        <f ca="1">A9/112</f>
        <v>11.830357142857142</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43082</v>
      </c>
      <c r="P13" s="623">
        <v>1800000</v>
      </c>
      <c r="Q13" s="228">
        <v>372</v>
      </c>
      <c r="R13" s="228">
        <f t="shared" ref="R13" ca="1" si="4">((TODAY()-N13)/7)*L13</f>
        <v>21476.571428571428</v>
      </c>
      <c r="S13" s="623">
        <v>2553000</v>
      </c>
      <c r="T13" s="228">
        <f t="shared" ref="T13" si="5">S13+Q13+P13</f>
        <v>4353372</v>
      </c>
      <c r="U13" s="233">
        <f t="shared" ref="U13" ca="1" si="6">T13/((O13-N13)/112)</f>
        <v>2802170.4827586208</v>
      </c>
      <c r="V13" s="163">
        <v>7</v>
      </c>
    </row>
    <row r="17" spans="1:22" ht="18" x14ac:dyDescent="0.25">
      <c r="A17" s="608">
        <v>42908</v>
      </c>
      <c r="B17" s="290"/>
      <c r="C17">
        <v>112</v>
      </c>
      <c r="D17">
        <v>0</v>
      </c>
    </row>
    <row r="18" spans="1:22" x14ac:dyDescent="0.25">
      <c r="A18" s="290">
        <f ca="1">TODAY()</f>
        <v>43082</v>
      </c>
      <c r="B18" s="290"/>
      <c r="C18">
        <v>400</v>
      </c>
      <c r="D18">
        <v>1</v>
      </c>
    </row>
    <row r="19" spans="1:22" x14ac:dyDescent="0.25">
      <c r="A19">
        <f ca="1">A18-A17</f>
        <v>174</v>
      </c>
      <c r="C19">
        <f>C18-C17</f>
        <v>288</v>
      </c>
      <c r="D19" s="609">
        <f ca="1">(A19-C17)/C19</f>
        <v>0.21527777777777779</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8" t="s">
        <v>326</v>
      </c>
      <c r="B28" s="688"/>
      <c r="C28" s="688"/>
      <c r="D28" s="688"/>
    </row>
    <row r="29" spans="1:22" x14ac:dyDescent="0.25">
      <c r="A29" s="689" t="s">
        <v>257</v>
      </c>
      <c r="B29" s="690" t="s">
        <v>327</v>
      </c>
      <c r="C29" s="690" t="s">
        <v>328</v>
      </c>
      <c r="D29" s="690" t="s">
        <v>329</v>
      </c>
    </row>
    <row r="30" spans="1:22" x14ac:dyDescent="0.25">
      <c r="A30" s="689"/>
      <c r="B30" s="690"/>
      <c r="C30" s="690"/>
      <c r="D30" s="690"/>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zoomScaleNormal="100" workbookViewId="0">
      <pane xSplit="30" ySplit="4" topLeftCell="AE5" activePane="bottomRight" state="frozen"/>
      <selection pane="topRight" activeCell="T1" sqref="T1"/>
      <selection pane="bottomLeft" activeCell="A4" sqref="A4"/>
      <selection pane="bottomRight" activeCell="C10" sqref="C10"/>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9.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AVERAGE(C5,C8,C9,C10,C11,C12,C13,C14,C15,C16,C17,C18,C19,C22,C24)</f>
        <v>4.1571428571428566</v>
      </c>
      <c r="D1" s="345">
        <f ca="1">TODAY()</f>
        <v>43082</v>
      </c>
      <c r="E1" s="681">
        <v>41471</v>
      </c>
      <c r="F1" s="681"/>
      <c r="G1" s="681"/>
      <c r="H1" s="251"/>
      <c r="I1" s="251"/>
      <c r="J1" s="251"/>
      <c r="K1" s="252"/>
      <c r="L1" s="251"/>
      <c r="M1" s="252"/>
      <c r="N1" s="252"/>
      <c r="O1" s="252"/>
      <c r="P1" s="252"/>
      <c r="Q1" s="631">
        <f>AVERAGE(Q5,Q8,Q9,Q10,Q11,Q12,Q13,Q14,Q15,Q16,Q17,Q18,Q19,Q22,Q24)</f>
        <v>5.5333333333333332</v>
      </c>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AVERAGE(I5:I24)</f>
        <v>9.1549999999999994</v>
      </c>
      <c r="J2" s="297"/>
      <c r="K2" s="297"/>
      <c r="M2" s="347">
        <f>AVERAGE(M5:M24)</f>
        <v>7.2750000000000004</v>
      </c>
      <c r="N2" s="297"/>
      <c r="O2" s="297"/>
      <c r="P2" s="297"/>
      <c r="Q2" s="347">
        <f>AVERAGE(Q5:Q24)</f>
        <v>5.5</v>
      </c>
      <c r="R2" s="502">
        <f>AVERAGE(R5:R24)</f>
        <v>0.87915005970790516</v>
      </c>
      <c r="S2" s="502">
        <f>AVERAGE(S5:S24)</f>
        <v>0.94037208816858797</v>
      </c>
      <c r="T2" s="348">
        <f>AVERAGE(T5:T24)</f>
        <v>108343</v>
      </c>
      <c r="U2" s="348"/>
      <c r="V2" s="348">
        <f>AVERAGE(V5:V24)</f>
        <v>14648.7</v>
      </c>
      <c r="W2" s="293"/>
      <c r="X2" s="346">
        <f>(X5+X6)/2</f>
        <v>13.483333333333334</v>
      </c>
      <c r="Y2" s="346">
        <f>AVERAGE(Y5:Y11)</f>
        <v>11.588199134199133</v>
      </c>
      <c r="Z2" s="346">
        <f>AVERAGE(Z12:Z20)</f>
        <v>11.909314315108759</v>
      </c>
      <c r="AA2" s="346">
        <f>AVERAGE(AA12:AA14)</f>
        <v>12.923888888888889</v>
      </c>
      <c r="AB2" s="346">
        <f>AVERAGE(AB6:AB24)</f>
        <v>9.729766081871345</v>
      </c>
      <c r="AC2" s="346">
        <f>AVERAGE(AC22:AC24)</f>
        <v>8.9823333333333348</v>
      </c>
      <c r="AD2" s="346">
        <f>AVERAGE(AD5:AD24)</f>
        <v>14.188833333333331</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3.9642857142857144</v>
      </c>
      <c r="D5" s="658" t="s">
        <v>782</v>
      </c>
      <c r="E5" s="387">
        <v>30</v>
      </c>
      <c r="F5" s="395">
        <f ca="1">-42406+$D$1-112-112-112-112-112-112</f>
        <v>4</v>
      </c>
      <c r="G5" s="388"/>
      <c r="H5" s="403">
        <v>6</v>
      </c>
      <c r="I5" s="308">
        <v>18.100000000000001</v>
      </c>
      <c r="J5" s="487">
        <f>LOG(I5+1)*4/3</f>
        <v>1.7080444896636369</v>
      </c>
      <c r="K5" s="303">
        <f t="shared" ref="K5" si="0">(H5)*(H5)*(I5)</f>
        <v>651.6</v>
      </c>
      <c r="L5" s="303">
        <f t="shared" ref="L5" si="1">(H5+1)*(H5+1)*I5</f>
        <v>886.90000000000009</v>
      </c>
      <c r="M5" s="389">
        <v>7.7</v>
      </c>
      <c r="N5" s="446">
        <f>M5*10+19</f>
        <v>96</v>
      </c>
      <c r="O5" s="678">
        <v>42468</v>
      </c>
      <c r="P5" s="679">
        <f ca="1">IF((TODAY()-O5)&gt;335,1,((TODAY()-O5)^0.64)/(336^0.64))</f>
        <v>1</v>
      </c>
      <c r="Q5" s="446">
        <v>6</v>
      </c>
      <c r="R5" s="501">
        <f>(Q5/7)^0.5</f>
        <v>0.92582009977255142</v>
      </c>
      <c r="S5" s="501">
        <f>IF(Q5=7,1,((Q5+0.99)/7)^0.5)</f>
        <v>0.99928545900129484</v>
      </c>
      <c r="T5" s="324">
        <v>97700</v>
      </c>
      <c r="U5" s="627">
        <f t="shared" ref="U5:U24" si="2">T5-AR5</f>
        <v>3880</v>
      </c>
      <c r="V5" s="324">
        <v>39696</v>
      </c>
      <c r="W5" s="316">
        <f t="shared" ref="W5:W25" si="3">T5/V5</f>
        <v>2.4612051592099959</v>
      </c>
      <c r="X5" s="486">
        <f>16+12/18</f>
        <v>16.666666666666668</v>
      </c>
      <c r="Y5" s="487">
        <f>10.45+0.11+0.11+0.11+0.11+0.11+1/11+1/11*0.16+1/11+1/11+1/11+1/11+1/11+1/11+1/11+1/11</f>
        <v>11.832727272727276</v>
      </c>
      <c r="Z5" s="486">
        <f>2+0.01+0.01+0.01+0.01</f>
        <v>2.0399999999999991</v>
      </c>
      <c r="AA5" s="487">
        <f>1.94+0.03+0.03+0.03+0.03+0.03+0.03+0.02</f>
        <v>2.1399999999999992</v>
      </c>
      <c r="AB5" s="486">
        <f>0.6+0.04+0.04+0.04+0.04+0.04+0.04+0.03+0.03+0.02+0.02+0.02+0.02+0.02+0.02+0.01+0.01</f>
        <v>1.0400000000000003</v>
      </c>
      <c r="AC5" s="487">
        <f>0+0.05+0.05*37/90+0.04+0.02+0.01</f>
        <v>0.14055555555555557</v>
      </c>
      <c r="AD5" s="486">
        <f>13.8+0.5+0.5+0.5+0.34+0.34+0.34+0.34+0.34+0.25+0.2+0.2+0.2</f>
        <v>17.849999999999998</v>
      </c>
      <c r="AE5" s="324">
        <v>1371</v>
      </c>
      <c r="AF5" s="604">
        <f ca="1">(Z5+P5+J5)*(Q5/7)^0.5</f>
        <v>4.3958350231449002</v>
      </c>
      <c r="AG5" s="604">
        <f ca="1">(Z5+P5+J5)*(IF(Q5=7, (Q5/7)^0.5, ((Q5+1)/7)^0.5))</f>
        <v>4.748044489663636</v>
      </c>
      <c r="AH5" s="316">
        <f ca="1">(((Y5+P5+J5)+(AB5+P5+J5)*2)/8)*(Q5/7)^0.5</f>
        <v>2.5502710763214189</v>
      </c>
      <c r="AI5" s="316">
        <f ca="1">(1.66*(AC5+J5+P5)+0.55*(AD5+J5+P5)-7.6)*(Q5/7)^0.5</f>
        <v>7.8098485376382243</v>
      </c>
      <c r="AJ5" s="316">
        <f ca="1">((AD5+J5+P5)*0.7+(AC5+J5+P5)*0.3)*(Q5/7)^0.5</f>
        <v>14.114322913807333</v>
      </c>
      <c r="AK5" s="316">
        <f ca="1">(0.5*(AC5+P5+J5)+ 0.3*(AD5+P5+J5))/10</f>
        <v>0.75917133695086869</v>
      </c>
      <c r="AL5" s="316">
        <f ca="1">(0.4*(Y5+P5+J5)+0.3*(AD5+P5+J5))/10</f>
        <v>1.1983722051855454</v>
      </c>
      <c r="AM5" s="311">
        <f ca="1">(AD5+P5+(LOG(I5)*4/3))*(Q5/7)^0.5</f>
        <v>19.00422101893551</v>
      </c>
      <c r="AN5" s="311">
        <f ca="1">(AD5+P5+(LOG(I5)*4/3))*(IF(Q5=7, (Q5/7)^0.5, ((Q5+1)/7)^0.5))</f>
        <v>20.526904766492244</v>
      </c>
      <c r="AO5" s="446">
        <v>2</v>
      </c>
      <c r="AP5" s="446">
        <v>2</v>
      </c>
      <c r="AQ5" s="591">
        <f>IF(AO5=4,IF(AP5=0,0.137+0.0697,0.137+0.02),IF(AO5=3,IF(AP5=0,0.0958+0.0697,0.0958+0.02),IF(AO5=2,IF(AP5=0,0.0415+0.0697,0.0415+0.02),IF(AO5=1,IF(AP5=0,0.0294+0.0697,0.0294+0.02),IF(AO5=0,IF(AP5=0,0.0063+0.0697,0.0063+0.02))))))</f>
        <v>6.1499999999999999E-2</v>
      </c>
      <c r="AR5">
        <v>93820</v>
      </c>
      <c r="AS5">
        <f>AR5</f>
        <v>93820</v>
      </c>
      <c r="AT5" s="390">
        <f>AS5-T5</f>
        <v>-3880</v>
      </c>
    </row>
    <row r="6" spans="1:46" s="263" customFormat="1" x14ac:dyDescent="0.25">
      <c r="A6" s="384" t="s">
        <v>484</v>
      </c>
      <c r="B6" s="384" t="s">
        <v>1</v>
      </c>
      <c r="C6" s="385">
        <f t="shared" ref="C6:C24" ca="1" si="4">((34*112)-(E6*112)-(F6))/112</f>
        <v>-0.11607142857142858</v>
      </c>
      <c r="D6" s="658" t="s">
        <v>267</v>
      </c>
      <c r="E6" s="387">
        <v>34</v>
      </c>
      <c r="F6" s="395">
        <f ca="1">82-41471+$D$1-112-112-112-112-112-112-112-112-112-112-112-112-112-112-112</f>
        <v>13</v>
      </c>
      <c r="G6" s="388" t="s">
        <v>502</v>
      </c>
      <c r="H6" s="371">
        <v>3</v>
      </c>
      <c r="I6" s="308">
        <v>7.8</v>
      </c>
      <c r="J6" s="487">
        <f t="shared" ref="J6:J24" si="5">LOG(I6+1)*4/3</f>
        <v>1.2593102295335583</v>
      </c>
      <c r="K6" s="303">
        <f t="shared" ref="K6:K24" si="6">(H6)*(H6)*(I6)</f>
        <v>70.2</v>
      </c>
      <c r="L6" s="303">
        <f t="shared" ref="L6:L24" si="7">(H6+1)*(H6+1)*I6</f>
        <v>124.8</v>
      </c>
      <c r="M6" s="389">
        <v>5.2</v>
      </c>
      <c r="N6" s="446">
        <f t="shared" ref="N6:N24" si="8">M6*10+19</f>
        <v>71</v>
      </c>
      <c r="O6" s="446" t="s">
        <v>557</v>
      </c>
      <c r="P6" s="679">
        <v>1.5</v>
      </c>
      <c r="Q6" s="446">
        <v>5</v>
      </c>
      <c r="R6" s="501">
        <f t="shared" ref="R6:R24" si="9">(Q6/7)^0.5</f>
        <v>0.84515425472851657</v>
      </c>
      <c r="S6" s="501">
        <f t="shared" ref="S6:S24" si="10">IF(Q6=7,1,((Q6+0.99)/7)^0.5)</f>
        <v>0.92504826128926143</v>
      </c>
      <c r="T6" s="324">
        <v>1700</v>
      </c>
      <c r="U6" s="627">
        <f t="shared" si="2"/>
        <v>-190</v>
      </c>
      <c r="V6" s="324">
        <v>2770</v>
      </c>
      <c r="W6" s="316">
        <f t="shared" si="3"/>
        <v>0.61371841155234652</v>
      </c>
      <c r="X6" s="486">
        <v>10.3</v>
      </c>
      <c r="Y6" s="487">
        <f>9.5+0.13+0.13/2+0.13+0.13+0.13+0.13+0.13+0.12+0.12+0.02+0.02+0.02+0.02+0.02+0.02+0.02+0.02+0.02+0.01+0.01+0.01</f>
        <v>10.794999999999998</v>
      </c>
      <c r="Z6" s="486">
        <f>4.2+0.04+0.04+0.04+0.03+0.03+0.03+0.03+0.03+0.03+0.03+0.03+0.02+0.02+0.01+0.01+0.01</f>
        <v>4.6300000000000008</v>
      </c>
      <c r="AA6" s="487">
        <v>4.95</v>
      </c>
      <c r="AB6" s="486">
        <f>4.99+0.05+0.32+0.32+0.32+0.05+0.16+0.05+0.03+0.25*31/90+0.03+0.02+0.02+0.01+0.01+0.01+0.15*29/90+0.01+0.01</f>
        <v>6.5444444444444434</v>
      </c>
      <c r="AC6" s="487">
        <v>3.99</v>
      </c>
      <c r="AD6" s="486">
        <f>11.8+0.67+0.5*1.25+0.35+0.35+0.35+0.35*8/90+0.35*80/90+0.35+0.35*75/90+0.35+0.3</f>
        <v>15.778888888888888</v>
      </c>
      <c r="AE6" s="324">
        <v>1166</v>
      </c>
      <c r="AF6" s="604">
        <f t="shared" ref="AF6:AF24" si="11">(Z6+P6+J6)*(Q6/7)^0.5</f>
        <v>6.2451069799992389</v>
      </c>
      <c r="AG6" s="604">
        <f t="shared" ref="AG6:AG24" si="12">(Z6+P6+J6)*(IF(Q6=7, (Q6/7)^0.5, ((Q6+1)/7)^0.5))</f>
        <v>6.8411719339570949</v>
      </c>
      <c r="AH6" s="316">
        <f t="shared" ref="AH6:AH24" si="13">(((Y6+P6+J6)+(AB6+P6+J6)*2)/8)*(Q6/7)^0.5</f>
        <v>3.3977123319657752</v>
      </c>
      <c r="AI6" s="316">
        <f t="shared" ref="AI6:AI24" si="14">(1.66*(AC6+J6+P6)+0.55*(AD6+J6+P6)-7.6)*(Q6/7)^0.5</f>
        <v>11.663014193604974</v>
      </c>
      <c r="AJ6" s="316">
        <f t="shared" ref="AJ6:AJ24" si="15">((AD6+J6+P6)*0.7+(AC6+J6+P6)*0.3)*(Q6/7)^0.5</f>
        <v>12.678608979049312</v>
      </c>
      <c r="AK6" s="316">
        <f t="shared" ref="AK6:AK24" si="16">(0.5*(AC6+P6+J6)+ 0.3*(AD6+P6+J6))/10</f>
        <v>0.89361148502935117</v>
      </c>
      <c r="AL6" s="316">
        <f t="shared" ref="AL6:AL24" si="17">(0.4*(Y6+P6+J6)+0.3*(AD6+P6+J6))/10</f>
        <v>1.0983183827340155</v>
      </c>
      <c r="AM6" s="311">
        <f t="shared" ref="AM6:AM24" si="18">(AD6+P6+(LOG(I6)*4/3))*(Q6/7)^0.5</f>
        <v>15.608603193538004</v>
      </c>
      <c r="AN6" s="311">
        <f t="shared" ref="AN6:AN24" si="19">(AD6+P6+(LOG(I6)*4/3))*(IF(Q6=7, (Q6/7)^0.5, ((Q6+1)/7)^0.5))</f>
        <v>17.098368120495877</v>
      </c>
      <c r="AO6" s="446">
        <v>4</v>
      </c>
      <c r="AP6" s="446">
        <v>3</v>
      </c>
      <c r="AQ6" s="591">
        <f t="shared" ref="AQ6:AQ24" si="20">IF(AO6=4,IF(AP6=0,0.137+0.0697,0.137+0.02),IF(AO6=3,IF(AP6=0,0.0958+0.0697,0.0958+0.02),IF(AO6=2,IF(AP6=0,0.0415+0.0697,0.0415+0.02),IF(AO6=1,IF(AP6=0,0.0294+0.0697,0.0294+0.02),IF(AO6=0,IF(AP6=0,0.0063+0.0697,0.0063+0.02))))))</f>
        <v>0.157</v>
      </c>
      <c r="AR6" s="263">
        <v>1890</v>
      </c>
      <c r="AS6">
        <f t="shared" ref="AS6:AS24" si="21">AR6</f>
        <v>1890</v>
      </c>
      <c r="AT6" s="390">
        <f t="shared" ref="AT6:AT23" si="22">AS6-T6</f>
        <v>190</v>
      </c>
    </row>
    <row r="7" spans="1:46" s="248" customFormat="1" x14ac:dyDescent="0.25">
      <c r="A7" s="384" t="s">
        <v>582</v>
      </c>
      <c r="B7" s="384" t="s">
        <v>2</v>
      </c>
      <c r="C7" s="385">
        <f t="shared" ca="1" si="4"/>
        <v>3.8571428571428572</v>
      </c>
      <c r="D7" s="658" t="s">
        <v>857</v>
      </c>
      <c r="E7" s="387">
        <v>30</v>
      </c>
      <c r="F7" s="395">
        <f ca="1">82-41471+$D$1-112-112-112-112-112-112-112-112-112-112-112+3-112-112-112-112</f>
        <v>16</v>
      </c>
      <c r="G7" s="388" t="s">
        <v>502</v>
      </c>
      <c r="H7" s="394">
        <v>2</v>
      </c>
      <c r="I7" s="308">
        <v>14.1</v>
      </c>
      <c r="J7" s="487">
        <f t="shared" si="5"/>
        <v>1.5719692630575592</v>
      </c>
      <c r="K7" s="303">
        <f>(H7)*(H7)*(I7)</f>
        <v>56.4</v>
      </c>
      <c r="L7" s="303">
        <f>(H7+1)*(H7+1)*I7</f>
        <v>126.89999999999999</v>
      </c>
      <c r="M7" s="389">
        <v>7.7</v>
      </c>
      <c r="N7" s="446">
        <f>M7*10+19</f>
        <v>96</v>
      </c>
      <c r="O7" s="678">
        <v>42716</v>
      </c>
      <c r="P7" s="679">
        <f ca="1">IF((TODAY()-O7)&gt;335,1,((TODAY()-O7)^0.64)/(336^0.64))</f>
        <v>1</v>
      </c>
      <c r="Q7" s="446">
        <v>7</v>
      </c>
      <c r="R7" s="501">
        <f>(Q7/7)^0.5</f>
        <v>1</v>
      </c>
      <c r="S7" s="501">
        <f>IF(Q7=7,1,((Q7+0.99)/7)^0.5)</f>
        <v>1</v>
      </c>
      <c r="T7" s="324">
        <v>252850</v>
      </c>
      <c r="U7" s="627">
        <f t="shared" si="2"/>
        <v>-730</v>
      </c>
      <c r="V7" s="324">
        <v>29520</v>
      </c>
      <c r="W7" s="316">
        <f>T7/V7</f>
        <v>8.5653794037940383</v>
      </c>
      <c r="X7" s="486">
        <v>0</v>
      </c>
      <c r="Y7" s="487">
        <f>14+1/20+1/20+1/20+1/20</f>
        <v>14.200000000000003</v>
      </c>
      <c r="Z7" s="486">
        <f>9+1/9*0.5+1/9*0.16+0.1*0.5+0.1*0.5+0.1*0.5+0.01+0.1*0.5+0.1*0.16+0.01</f>
        <v>9.3093333333333348</v>
      </c>
      <c r="AA7" s="487">
        <f>14+1/12*0.5+1/12*0.5+1/12*0.5+1/12*0.5+1/12*0.5+1/12*0.5+1/12*0.5</f>
        <v>14.291666666666663</v>
      </c>
      <c r="AB7" s="486">
        <f>8.45+0.15+0.15+0.02+0.12+0.12+0.11+0.01+0.08+0.07+0.07+0.07</f>
        <v>9.4199999999999982</v>
      </c>
      <c r="AC7" s="487">
        <f>1+1/7</f>
        <v>1.1428571428571428</v>
      </c>
      <c r="AD7" s="486">
        <f>9+0.4</f>
        <v>9.4</v>
      </c>
      <c r="AE7" s="324">
        <v>1902</v>
      </c>
      <c r="AF7" s="604">
        <f t="shared" ca="1" si="11"/>
        <v>11.881302596390894</v>
      </c>
      <c r="AG7" s="604">
        <f t="shared" ca="1" si="12"/>
        <v>11.881302596390894</v>
      </c>
      <c r="AH7" s="316">
        <f t="shared" ca="1" si="13"/>
        <v>5.0944884736465852</v>
      </c>
      <c r="AI7" s="316">
        <f t="shared" ca="1" si="14"/>
        <v>5.1511949285000629</v>
      </c>
      <c r="AJ7" s="316">
        <f t="shared" ca="1" si="15"/>
        <v>9.4948264059147007</v>
      </c>
      <c r="AK7" s="316">
        <f t="shared" ca="1" si="16"/>
        <v>0.54490039818746183</v>
      </c>
      <c r="AL7" s="316">
        <f t="shared" ca="1" si="17"/>
        <v>1.0300378484140293</v>
      </c>
      <c r="AM7" s="311">
        <f t="shared" ca="1" si="18"/>
        <v>11.932292150207173</v>
      </c>
      <c r="AN7" s="311">
        <f t="shared" ca="1" si="19"/>
        <v>11.932292150207173</v>
      </c>
      <c r="AO7" s="446">
        <v>1</v>
      </c>
      <c r="AP7" s="446">
        <v>2</v>
      </c>
      <c r="AQ7" s="591">
        <f>IF(AO7=4,IF(AP7=0,0.137+0.0697,0.137+0.02),IF(AO7=3,IF(AP7=0,0.0958+0.0697,0.0958+0.02),IF(AO7=2,IF(AP7=0,0.0415+0.0697,0.0415+0.02),IF(AO7=1,IF(AP7=0,0.0294+0.0697,0.0294+0.02),IF(AO7=0,IF(AP7=0,0.0063+0.0697,0.0063+0.02))))))</f>
        <v>4.9399999999999999E-2</v>
      </c>
      <c r="AR7" s="248">
        <v>253580</v>
      </c>
      <c r="AS7">
        <f t="shared" si="21"/>
        <v>253580</v>
      </c>
      <c r="AT7" s="390">
        <f t="shared" si="22"/>
        <v>730</v>
      </c>
    </row>
    <row r="8" spans="1:46" s="254" customFormat="1" x14ac:dyDescent="0.25">
      <c r="A8" s="305" t="s">
        <v>412</v>
      </c>
      <c r="B8" s="260" t="s">
        <v>2</v>
      </c>
      <c r="C8" s="385">
        <f t="shared" ca="1" si="4"/>
        <v>2.4553571428571428</v>
      </c>
      <c r="D8" s="659" t="s">
        <v>275</v>
      </c>
      <c r="E8" s="210">
        <v>31</v>
      </c>
      <c r="F8" s="211">
        <f ca="1">18-41471+$D$1-112-112-112-112-112-112-112-112-112-112-112-112-112-112</f>
        <v>61</v>
      </c>
      <c r="G8" s="262" t="s">
        <v>502</v>
      </c>
      <c r="H8" s="394">
        <v>4</v>
      </c>
      <c r="I8" s="214">
        <v>7.5</v>
      </c>
      <c r="J8" s="487">
        <f t="shared" si="5"/>
        <v>1.2392252342857237</v>
      </c>
      <c r="K8" s="303">
        <f t="shared" si="6"/>
        <v>120</v>
      </c>
      <c r="L8" s="303">
        <f t="shared" si="7"/>
        <v>187.5</v>
      </c>
      <c r="M8" s="296">
        <v>6.7</v>
      </c>
      <c r="N8" s="446">
        <f t="shared" si="8"/>
        <v>86</v>
      </c>
      <c r="O8" s="446" t="s">
        <v>557</v>
      </c>
      <c r="P8" s="679">
        <v>1.5</v>
      </c>
      <c r="Q8" s="447">
        <v>4</v>
      </c>
      <c r="R8" s="501">
        <f t="shared" si="9"/>
        <v>0.7559289460184544</v>
      </c>
      <c r="S8" s="501">
        <f t="shared" si="10"/>
        <v>0.84430867747355465</v>
      </c>
      <c r="T8" s="628">
        <v>16300</v>
      </c>
      <c r="U8" s="627">
        <f t="shared" si="2"/>
        <v>-1330</v>
      </c>
      <c r="V8" s="628">
        <v>3510</v>
      </c>
      <c r="W8" s="316">
        <f t="shared" si="3"/>
        <v>4.6438746438746437</v>
      </c>
      <c r="X8" s="486">
        <v>0</v>
      </c>
      <c r="Y8" s="487">
        <v>11</v>
      </c>
      <c r="Z8" s="486">
        <f>4.61+0.04+0.04+0.04+0.04+0.25+0.14+0.13+0.13+0.12+0.12+0.12+0.04*55/90+0.025+0.13+0.02+0.02+0.02+0.02+0.02+0.01+0.01+0.01+0.12*0.5+0.01+0.02+0.01</f>
        <v>6.1894444444444412</v>
      </c>
      <c r="AA8" s="487">
        <f>5.98+0.12*0.5</f>
        <v>6.04</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6.7494398595894252</v>
      </c>
      <c r="AG8" s="604">
        <f t="shared" si="12"/>
        <v>7.5461031680442963</v>
      </c>
      <c r="AH8" s="316">
        <f t="shared" si="13"/>
        <v>3.2753674838457347</v>
      </c>
      <c r="AI8" s="316">
        <f t="shared" si="14"/>
        <v>10.713418938382441</v>
      </c>
      <c r="AJ8" s="316">
        <f t="shared" si="15"/>
        <v>11.187162733243317</v>
      </c>
      <c r="AK8" s="316">
        <f t="shared" si="16"/>
        <v>0.89880468540952452</v>
      </c>
      <c r="AL8" s="316">
        <f t="shared" si="17"/>
        <v>1.0922457664000007</v>
      </c>
      <c r="AM8" s="311">
        <f t="shared" si="18"/>
        <v>13.619381591793974</v>
      </c>
      <c r="AN8" s="311">
        <f t="shared" si="19"/>
        <v>15.22693152538031</v>
      </c>
      <c r="AO8" s="447">
        <v>2</v>
      </c>
      <c r="AP8" s="447">
        <v>3</v>
      </c>
      <c r="AQ8" s="591">
        <f t="shared" si="20"/>
        <v>6.1499999999999999E-2</v>
      </c>
      <c r="AR8" s="254">
        <v>17630</v>
      </c>
      <c r="AS8">
        <f t="shared" si="21"/>
        <v>17630</v>
      </c>
      <c r="AT8" s="390">
        <f t="shared" si="22"/>
        <v>1330</v>
      </c>
    </row>
    <row r="9" spans="1:46" s="246" customFormat="1" x14ac:dyDescent="0.25">
      <c r="A9" s="384" t="s">
        <v>504</v>
      </c>
      <c r="B9" s="384" t="s">
        <v>2</v>
      </c>
      <c r="C9" s="385">
        <f t="shared" ca="1" si="4"/>
        <v>2.8660714285714284</v>
      </c>
      <c r="D9" s="658" t="s">
        <v>269</v>
      </c>
      <c r="E9" s="387">
        <v>31</v>
      </c>
      <c r="F9" s="395">
        <f ca="1">84-41471+$D$1-112-112-112-112-112-112-112-112-112-112-112-112-112-112-112</f>
        <v>15</v>
      </c>
      <c r="G9" s="388"/>
      <c r="H9" s="394">
        <v>4</v>
      </c>
      <c r="I9" s="308">
        <v>12.2</v>
      </c>
      <c r="J9" s="487">
        <f t="shared" si="5"/>
        <v>1.4940985749411331</v>
      </c>
      <c r="K9" s="303">
        <f t="shared" si="6"/>
        <v>195.2</v>
      </c>
      <c r="L9" s="303">
        <f t="shared" si="7"/>
        <v>305</v>
      </c>
      <c r="M9" s="389">
        <v>7.3</v>
      </c>
      <c r="N9" s="446">
        <f t="shared" si="8"/>
        <v>92</v>
      </c>
      <c r="O9" s="446" t="s">
        <v>557</v>
      </c>
      <c r="P9" s="679">
        <v>1.5</v>
      </c>
      <c r="Q9" s="446">
        <v>5</v>
      </c>
      <c r="R9" s="501">
        <f t="shared" si="9"/>
        <v>0.84515425472851657</v>
      </c>
      <c r="S9" s="501">
        <f t="shared" si="10"/>
        <v>0.92504826128926143</v>
      </c>
      <c r="T9" s="324">
        <v>113360</v>
      </c>
      <c r="U9" s="627">
        <f t="shared" si="2"/>
        <v>3340</v>
      </c>
      <c r="V9" s="324">
        <v>14670</v>
      </c>
      <c r="W9" s="316">
        <f t="shared" si="3"/>
        <v>7.7273346966598497</v>
      </c>
      <c r="X9" s="486">
        <v>0</v>
      </c>
      <c r="Y9" s="487">
        <f>9.9+0.14+0.14+0.14+0.14+0.13+0.13+0.13+0.12+0.12+0.09+0.09+0.09+0.09+0.08+0.08+0.08+0.08+0.08+0.07+0.07+0.07</f>
        <v>12.060000000000004</v>
      </c>
      <c r="Z9" s="486">
        <f>10.72+0.15+0.15+0.15+0.14+0.14+0.11+0.11+0.11+0.11+0.11+0.11+0.11+0.11*0.5+0.11*0.5+0.11*0.5+0.1+0.1*0.5+0.1*0.5+0.1*0.5+0.1*0.16+0.09+0.08+0.08+0.08*0.5+0.08+1/18+0.08*0.5</f>
        <v>13.116555555555554</v>
      </c>
      <c r="AA9" s="487">
        <f>8.8+0.14+0.14+0.14+0.13+0.12*0.5+0.12*0.5+0.12*0.5+0.12*0.5+0.12*0.5+0.12*0.5+0.11</f>
        <v>9.8200000000000056</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13.615987884848826</v>
      </c>
      <c r="AG9" s="604">
        <f t="shared" si="12"/>
        <v>14.915567414497511</v>
      </c>
      <c r="AH9" s="316">
        <f t="shared" si="13"/>
        <v>4.2513684314847113</v>
      </c>
      <c r="AI9" s="316">
        <f t="shared" si="14"/>
        <v>12.063564740827296</v>
      </c>
      <c r="AJ9" s="316">
        <f t="shared" si="15"/>
        <v>13.301074018934147</v>
      </c>
      <c r="AK9" s="316">
        <f t="shared" si="16"/>
        <v>0.92244455266195724</v>
      </c>
      <c r="AL9" s="316">
        <f t="shared" si="17"/>
        <v>1.1908202335792126</v>
      </c>
      <c r="AM9" s="311">
        <f t="shared" si="18"/>
        <v>16.544957361743155</v>
      </c>
      <c r="AN9" s="311">
        <f t="shared" si="19"/>
        <v>18.124092719975774</v>
      </c>
      <c r="AO9" s="446">
        <v>2</v>
      </c>
      <c r="AP9" s="446">
        <v>3</v>
      </c>
      <c r="AQ9" s="591">
        <f t="shared" si="20"/>
        <v>6.1499999999999999E-2</v>
      </c>
      <c r="AR9" s="246">
        <v>110020</v>
      </c>
      <c r="AS9">
        <f t="shared" si="21"/>
        <v>110020</v>
      </c>
      <c r="AT9" s="390">
        <f t="shared" si="22"/>
        <v>-3340</v>
      </c>
    </row>
    <row r="10" spans="1:46" s="247" customFormat="1" x14ac:dyDescent="0.25">
      <c r="A10" s="384" t="s">
        <v>405</v>
      </c>
      <c r="B10" s="260" t="s">
        <v>2</v>
      </c>
      <c r="C10" s="385">
        <f t="shared" ca="1" si="4"/>
        <v>3</v>
      </c>
      <c r="D10" s="659" t="s">
        <v>273</v>
      </c>
      <c r="E10" s="210">
        <v>30</v>
      </c>
      <c r="F10" s="211">
        <f ca="1">69-41471+$D$1-112-112-112-112-112-112-112-112-112-112-112-112-112-112</f>
        <v>112</v>
      </c>
      <c r="G10" s="262"/>
      <c r="H10" s="371">
        <v>3</v>
      </c>
      <c r="I10" s="214">
        <v>9.3000000000000007</v>
      </c>
      <c r="J10" s="487">
        <f t="shared" si="5"/>
        <v>1.3504496329402296</v>
      </c>
      <c r="K10" s="303">
        <f t="shared" si="6"/>
        <v>83.7</v>
      </c>
      <c r="L10" s="303">
        <f t="shared" si="7"/>
        <v>148.80000000000001</v>
      </c>
      <c r="M10" s="296">
        <v>7.1</v>
      </c>
      <c r="N10" s="446">
        <f t="shared" si="8"/>
        <v>90</v>
      </c>
      <c r="O10" s="446" t="s">
        <v>557</v>
      </c>
      <c r="P10" s="679">
        <v>1.5</v>
      </c>
      <c r="Q10" s="447">
        <v>7</v>
      </c>
      <c r="R10" s="501">
        <f t="shared" si="9"/>
        <v>1</v>
      </c>
      <c r="S10" s="501">
        <f t="shared" si="10"/>
        <v>1</v>
      </c>
      <c r="T10" s="324">
        <v>48470</v>
      </c>
      <c r="U10" s="627">
        <f t="shared" si="2"/>
        <v>-270</v>
      </c>
      <c r="V10" s="628">
        <v>5870</v>
      </c>
      <c r="W10" s="316">
        <f t="shared" si="3"/>
        <v>8.2572402044293014</v>
      </c>
      <c r="X10" s="486">
        <v>0</v>
      </c>
      <c r="Y10" s="487">
        <f>9+0.15+0.15+0.15+0.15+0.15+0.15+0.15+0.15+0.15+0.12+0.12+0.12+0.12+0.12+0.1+0.1+0.1+0.1+0.1+0.1+0.1</f>
        <v>11.649999999999997</v>
      </c>
      <c r="Z10" s="486">
        <f>5.75+0.04+0.04+(0.04/90*75)+(0.25*15/90)+0.03+0.03+(0.03*20/90)+0.03+0.03+(0.22*0.5*30/90)+(0.22/16*60/90)+0.03+0.03+0.22*0.5+0.2*0.5+0.03+0.22*0.5+0.03+0.03+0.03+0.01+0.01+0.01+0.01+0.01+1/8*0.5+0.01</f>
        <v>6.700000000000002</v>
      </c>
      <c r="AA10" s="487">
        <f>6.18+0.2+0.2+0.2+0.15*0.5+0.15*0.5+0.15*0.5+0.15*0.5+0.14*0.5+0.14*0.5+0.14+0.14*0.5</f>
        <v>7.4300000000000015</v>
      </c>
      <c r="AB10" s="486">
        <f>4.3+0.35+0.35+0.35+0.33+0.32+0.3+0.27+0.27+0.26+0.2+0.2+0.2+0.2+0.15+0.15+0.14+0.12+0.12+0.11+0.11+0.08+0.07+0.07</f>
        <v>9.0199999999999978</v>
      </c>
      <c r="AC10" s="487">
        <f>4.06+0.06+0.06+0.06+0.06+0.06*75/90+0.05+0.05+0.05+0.02+0.2*0.5</f>
        <v>4.6199999999999966</v>
      </c>
      <c r="AD10" s="486">
        <f>8.4+0.67+0.67+0.67+0.67+0.67+0.5+0.45+0.35+0.35+0.35+0.3+0.3+0.3+0.25+0.25+0.25+0.2</f>
        <v>15.6</v>
      </c>
      <c r="AE10" s="324">
        <v>1268</v>
      </c>
      <c r="AF10" s="604">
        <f t="shared" si="11"/>
        <v>9.5504496329402322</v>
      </c>
      <c r="AG10" s="604">
        <f t="shared" si="12"/>
        <v>9.5504496329402322</v>
      </c>
      <c r="AH10" s="316">
        <f t="shared" si="13"/>
        <v>4.7801686123525853</v>
      </c>
      <c r="AI10" s="316">
        <f t="shared" si="14"/>
        <v>14.948693688797904</v>
      </c>
      <c r="AJ10" s="316">
        <f t="shared" si="15"/>
        <v>15.156449632940229</v>
      </c>
      <c r="AK10" s="316">
        <f t="shared" si="16"/>
        <v>0.92703597063521814</v>
      </c>
      <c r="AL10" s="316">
        <f t="shared" si="17"/>
        <v>1.133531474305816</v>
      </c>
      <c r="AM10" s="311">
        <f t="shared" si="18"/>
        <v>18.391310598071914</v>
      </c>
      <c r="AN10" s="311">
        <f t="shared" si="19"/>
        <v>18.391310598071914</v>
      </c>
      <c r="AO10" s="447">
        <v>3</v>
      </c>
      <c r="AP10" s="447">
        <v>2</v>
      </c>
      <c r="AQ10" s="591">
        <f t="shared" si="20"/>
        <v>0.1158</v>
      </c>
      <c r="AR10" s="247">
        <v>48740</v>
      </c>
      <c r="AS10">
        <f t="shared" si="21"/>
        <v>48740</v>
      </c>
      <c r="AT10" s="390">
        <f t="shared" si="22"/>
        <v>270</v>
      </c>
    </row>
    <row r="11" spans="1:46" s="264" customFormat="1" x14ac:dyDescent="0.25">
      <c r="A11" s="304" t="s">
        <v>495</v>
      </c>
      <c r="B11" s="260" t="s">
        <v>2</v>
      </c>
      <c r="C11" s="385">
        <f t="shared" ca="1" si="4"/>
        <v>6.7946428571428568</v>
      </c>
      <c r="D11" s="659" t="s">
        <v>567</v>
      </c>
      <c r="E11" s="210">
        <v>27</v>
      </c>
      <c r="F11" s="211">
        <f ca="1">75-41471+$D$1-24-112-10-112-112+6-112-112-112+45-112-112-112-112-112-112-112-112-112</f>
        <v>23</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6</v>
      </c>
      <c r="R11" s="501">
        <f t="shared" si="9"/>
        <v>0.92582009977255142</v>
      </c>
      <c r="S11" s="501">
        <f t="shared" si="10"/>
        <v>0.99928545900129484</v>
      </c>
      <c r="T11" s="628">
        <v>38020</v>
      </c>
      <c r="U11" s="627">
        <f t="shared" si="2"/>
        <v>290</v>
      </c>
      <c r="V11" s="628">
        <v>2510</v>
      </c>
      <c r="W11" s="316">
        <f t="shared" si="3"/>
        <v>15.147410358565738</v>
      </c>
      <c r="X11" s="486">
        <v>0</v>
      </c>
      <c r="Y11" s="487">
        <f>6.51+0.25+0.25+0.25+0.2+0.2+0.2+0.2+0.19+0.19+0.17+0.16+0.16+0.03+0.16+0.15*33/90+0.14+0.13+0.13*36/90+0.02+0.12*32/90+0.02</f>
        <v>9.5796666666666663</v>
      </c>
      <c r="Z11" s="486">
        <f>6.92+0.04+0.04+0.04+0.13+0.04+0.03+0.03+(0.25*30/90*0.5)+(0.25*60/90*0.16)+0.03+0.03+0.25*0.5*1/90+0.026+0.03+0.03+0.03+0.03+0.25*0.5+0.02+0.02+0.02+0.01</f>
        <v>7.7407222222222227</v>
      </c>
      <c r="AA11" s="487">
        <f>5.8+0.05+0.05+0.05+0.05+0.04+0.04+0.03+0.02+0.02</f>
        <v>6.1499999999999986</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9.506806751519413</v>
      </c>
      <c r="AG11" s="604">
        <f t="shared" si="12"/>
        <v>10.268524904411748</v>
      </c>
      <c r="AH11" s="316">
        <f t="shared" si="13"/>
        <v>4.0377029806724121</v>
      </c>
      <c r="AI11" s="316">
        <f t="shared" si="14"/>
        <v>9.8821106844932327</v>
      </c>
      <c r="AJ11" s="316">
        <f t="shared" si="15"/>
        <v>11.824597371299996</v>
      </c>
      <c r="AK11" s="316">
        <f t="shared" si="16"/>
        <v>0.7622242145751621</v>
      </c>
      <c r="AL11" s="316">
        <f t="shared" si="17"/>
        <v>0.9572995210866001</v>
      </c>
      <c r="AM11" s="311">
        <f t="shared" si="18"/>
        <v>14.497556119880491</v>
      </c>
      <c r="AN11" s="311">
        <f t="shared" si="19"/>
        <v>15.659150328926907</v>
      </c>
      <c r="AO11" s="447">
        <v>3</v>
      </c>
      <c r="AP11" s="447">
        <v>2</v>
      </c>
      <c r="AQ11" s="591">
        <f t="shared" si="20"/>
        <v>0.1158</v>
      </c>
      <c r="AR11" s="264">
        <v>37730</v>
      </c>
      <c r="AS11">
        <f t="shared" si="21"/>
        <v>37730</v>
      </c>
      <c r="AT11" s="390">
        <f t="shared" si="22"/>
        <v>-290</v>
      </c>
    </row>
    <row r="12" spans="1:46" s="264" customFormat="1" x14ac:dyDescent="0.25">
      <c r="A12" s="384" t="s">
        <v>408</v>
      </c>
      <c r="B12" s="384" t="s">
        <v>65</v>
      </c>
      <c r="C12" s="385">
        <f t="shared" ca="1" si="4"/>
        <v>3.2053571428571428</v>
      </c>
      <c r="D12" s="658" t="s">
        <v>817</v>
      </c>
      <c r="E12" s="387">
        <v>30</v>
      </c>
      <c r="F12" s="211">
        <f ca="1">46-41471+$D$1-112-112-112-112-112-112-112-112-112-112-112-112-112-112</f>
        <v>89</v>
      </c>
      <c r="G12" s="388" t="s">
        <v>271</v>
      </c>
      <c r="H12" s="371">
        <v>0</v>
      </c>
      <c r="I12" s="308">
        <v>12.3</v>
      </c>
      <c r="J12" s="487">
        <f t="shared" si="5"/>
        <v>1.4984688546227811</v>
      </c>
      <c r="K12" s="303">
        <f t="shared" si="6"/>
        <v>0</v>
      </c>
      <c r="L12" s="303">
        <f t="shared" si="7"/>
        <v>12.3</v>
      </c>
      <c r="M12" s="389">
        <v>7.4</v>
      </c>
      <c r="N12" s="446">
        <f t="shared" si="8"/>
        <v>93</v>
      </c>
      <c r="O12" s="446" t="s">
        <v>557</v>
      </c>
      <c r="P12" s="679">
        <v>1.5</v>
      </c>
      <c r="Q12" s="446">
        <v>4</v>
      </c>
      <c r="R12" s="501">
        <f t="shared" si="9"/>
        <v>0.7559289460184544</v>
      </c>
      <c r="S12" s="501">
        <f t="shared" si="10"/>
        <v>0.84430867747355465</v>
      </c>
      <c r="T12" s="324">
        <v>190790</v>
      </c>
      <c r="U12" s="627">
        <f t="shared" si="2"/>
        <v>-7650</v>
      </c>
      <c r="V12" s="324">
        <v>15530</v>
      </c>
      <c r="W12" s="316">
        <f t="shared" si="3"/>
        <v>12.285254346426271</v>
      </c>
      <c r="X12" s="486">
        <v>0</v>
      </c>
      <c r="Y12" s="487">
        <v>11.95</v>
      </c>
      <c r="Z12" s="486">
        <f>9.9+0.17+(0.17/90*26)+0.17+0.15+0.15+0.15+0.13+0.13+(1/8)+0.13+0.13+0.13*0.5+0.11+0.11+0.11*0.5+0.11*0.5+0.1*0.5+0.1*0.5+0.1+0.1+0.1*0.5+0.09+0.09*0.5+0.09*0.5+0.09*0.5+0.09*0.5+0.09*0.5+0.09*0.5</f>
        <v>12.489111111111114</v>
      </c>
      <c r="AA12" s="487">
        <f>13.05+1/12</f>
        <v>13.133333333333335</v>
      </c>
      <c r="AB12" s="486">
        <f>10.7+0.07+0.07+0.07</f>
        <v>10.91</v>
      </c>
      <c r="AC12" s="487">
        <f>5.71+0.29+0.29+0.29+0.25+0.25+0.2+0.2+0.2+0.015+0.15*0.5</f>
        <v>7.7700000000000005</v>
      </c>
      <c r="AD12" s="486">
        <f>10.8+0.67+0.55+0.55+0.45+0.45+0.4+0.4+0.35+0.35+0.33+0.33+0.3+0.3+0.25+0.25+0.2+0.2</f>
        <v>17.13</v>
      </c>
      <c r="AE12" s="324">
        <v>2108</v>
      </c>
      <c r="AF12" s="604">
        <f t="shared" si="11"/>
        <v>11.707509999873754</v>
      </c>
      <c r="AG12" s="604">
        <f t="shared" si="12"/>
        <v>13.089394103488134</v>
      </c>
      <c r="AH12" s="316">
        <f t="shared" si="13"/>
        <v>4.0409510887344604</v>
      </c>
      <c r="AI12" s="316">
        <f t="shared" si="14"/>
        <v>16.136298282794442</v>
      </c>
      <c r="AJ12" s="316">
        <f t="shared" si="15"/>
        <v>13.093043765820465</v>
      </c>
      <c r="AK12" s="316">
        <f t="shared" si="16"/>
        <v>1.1422775083698222</v>
      </c>
      <c r="AL12" s="316">
        <f t="shared" si="17"/>
        <v>1.2017928198235945</v>
      </c>
      <c r="AM12" s="311">
        <f t="shared" si="18"/>
        <v>15.181477360524486</v>
      </c>
      <c r="AN12" s="311">
        <f t="shared" si="19"/>
        <v>16.973407688503418</v>
      </c>
      <c r="AO12" s="446">
        <v>1</v>
      </c>
      <c r="AP12" s="446">
        <v>2</v>
      </c>
      <c r="AQ12" s="591">
        <f t="shared" si="20"/>
        <v>4.9399999999999999E-2</v>
      </c>
      <c r="AR12" s="264">
        <v>198440</v>
      </c>
      <c r="AS12">
        <f t="shared" si="21"/>
        <v>198440</v>
      </c>
      <c r="AT12" s="390">
        <f t="shared" si="22"/>
        <v>7650</v>
      </c>
    </row>
    <row r="13" spans="1:46" s="254" customFormat="1" x14ac:dyDescent="0.25">
      <c r="A13" s="384" t="s">
        <v>410</v>
      </c>
      <c r="B13" s="384" t="s">
        <v>65</v>
      </c>
      <c r="C13" s="385">
        <f t="shared" ca="1" si="4"/>
        <v>3.6785714285714284</v>
      </c>
      <c r="D13" s="658" t="s">
        <v>298</v>
      </c>
      <c r="E13" s="387">
        <v>30</v>
      </c>
      <c r="F13" s="395">
        <f ca="1">75-41471+$D$1-24-112-10-112-40-8-112-112-112-112-112-112-112-112-112-112-112-112</f>
        <v>36</v>
      </c>
      <c r="G13" s="388" t="s">
        <v>268</v>
      </c>
      <c r="H13" s="371">
        <v>2</v>
      </c>
      <c r="I13" s="308">
        <v>10.3</v>
      </c>
      <c r="J13" s="487">
        <f t="shared" si="5"/>
        <v>1.4041045913112262</v>
      </c>
      <c r="K13" s="303">
        <f t="shared" si="6"/>
        <v>41.2</v>
      </c>
      <c r="L13" s="303">
        <f t="shared" si="7"/>
        <v>92.7</v>
      </c>
      <c r="M13" s="389">
        <v>7.6</v>
      </c>
      <c r="N13" s="446">
        <f t="shared" si="8"/>
        <v>95</v>
      </c>
      <c r="O13" s="446" t="s">
        <v>557</v>
      </c>
      <c r="P13" s="679">
        <v>1.5</v>
      </c>
      <c r="Q13" s="446">
        <v>5</v>
      </c>
      <c r="R13" s="501">
        <f t="shared" si="9"/>
        <v>0.84515425472851657</v>
      </c>
      <c r="S13" s="501">
        <f t="shared" si="10"/>
        <v>0.92504826128926143</v>
      </c>
      <c r="T13" s="324">
        <v>99190</v>
      </c>
      <c r="U13" s="627">
        <f t="shared" si="2"/>
        <v>-1730</v>
      </c>
      <c r="V13" s="324">
        <v>10060</v>
      </c>
      <c r="W13" s="316">
        <f t="shared" si="3"/>
        <v>9.8598409542743539</v>
      </c>
      <c r="X13" s="486">
        <v>0</v>
      </c>
      <c r="Y13" s="487">
        <f>7+0.11</f>
        <v>7.11</v>
      </c>
      <c r="Z13" s="486">
        <f>10+0.1*0.5+0.1*0.5+0.1*0.5+0.1*0.5+0.1*0.5+0.1+0.1</f>
        <v>10.450000000000003</v>
      </c>
      <c r="AA13" s="487">
        <f>12+0.165+0.15+0.15+0.15+0.13+0.13+0.12+0.11+0.1+0.1+1/12</f>
        <v>13.388333333333334</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11.286278313436304</v>
      </c>
      <c r="AG13" s="604">
        <f t="shared" si="12"/>
        <v>12.363498445100848</v>
      </c>
      <c r="AH13" s="316">
        <f t="shared" si="13"/>
        <v>3.8604864954580647</v>
      </c>
      <c r="AI13" s="316">
        <f t="shared" si="14"/>
        <v>14.625708054372277</v>
      </c>
      <c r="AJ13" s="316">
        <f t="shared" si="15"/>
        <v>14.059652000327929</v>
      </c>
      <c r="AK13" s="316">
        <f t="shared" si="16"/>
        <v>1.0215783673048981</v>
      </c>
      <c r="AL13" s="316">
        <f t="shared" si="17"/>
        <v>1.006687321391786</v>
      </c>
      <c r="AM13" s="311">
        <f t="shared" si="18"/>
        <v>17.030238241972114</v>
      </c>
      <c r="AN13" s="311">
        <f t="shared" si="19"/>
        <v>18.6556912896305</v>
      </c>
      <c r="AO13" s="446">
        <v>4</v>
      </c>
      <c r="AP13" s="446">
        <v>4</v>
      </c>
      <c r="AQ13" s="591">
        <f t="shared" si="20"/>
        <v>0.157</v>
      </c>
      <c r="AR13" s="254">
        <v>100920</v>
      </c>
      <c r="AS13">
        <f t="shared" si="21"/>
        <v>100920</v>
      </c>
      <c r="AT13" s="390">
        <f t="shared" si="22"/>
        <v>1730</v>
      </c>
    </row>
    <row r="14" spans="1:46" s="263" customFormat="1" x14ac:dyDescent="0.25">
      <c r="A14" s="384" t="s">
        <v>409</v>
      </c>
      <c r="B14" s="384" t="s">
        <v>65</v>
      </c>
      <c r="C14" s="385">
        <f t="shared" ca="1" si="4"/>
        <v>6.5446428571428568</v>
      </c>
      <c r="D14" s="658" t="s">
        <v>507</v>
      </c>
      <c r="E14" s="387">
        <v>27</v>
      </c>
      <c r="F14" s="211">
        <f ca="1">7-41471+$D$1-112-111-112+4-112-116-112-112-112-112-112-112-112-112-112</f>
        <v>51</v>
      </c>
      <c r="G14" s="388" t="s">
        <v>502</v>
      </c>
      <c r="H14" s="371">
        <v>2</v>
      </c>
      <c r="I14" s="308">
        <v>8.6999999999999993</v>
      </c>
      <c r="J14" s="487">
        <f t="shared" si="5"/>
        <v>1.3156956456883264</v>
      </c>
      <c r="K14" s="303">
        <f t="shared" si="6"/>
        <v>34.799999999999997</v>
      </c>
      <c r="L14" s="303">
        <f t="shared" si="7"/>
        <v>78.3</v>
      </c>
      <c r="M14" s="389">
        <v>8.1</v>
      </c>
      <c r="N14" s="446">
        <f t="shared" si="8"/>
        <v>100</v>
      </c>
      <c r="O14" s="446" t="s">
        <v>557</v>
      </c>
      <c r="P14" s="679">
        <v>1.5</v>
      </c>
      <c r="Q14" s="446">
        <v>4</v>
      </c>
      <c r="R14" s="501">
        <f t="shared" si="9"/>
        <v>0.7559289460184544</v>
      </c>
      <c r="S14" s="501">
        <f t="shared" si="10"/>
        <v>0.84430867747355465</v>
      </c>
      <c r="T14" s="324">
        <v>174540</v>
      </c>
      <c r="U14" s="627">
        <f t="shared" si="2"/>
        <v>2720</v>
      </c>
      <c r="V14" s="324">
        <v>12550</v>
      </c>
      <c r="W14" s="316">
        <f t="shared" si="3"/>
        <v>13.907569721115538</v>
      </c>
      <c r="X14" s="486">
        <v>0</v>
      </c>
      <c r="Y14" s="487">
        <f>8+0.12</f>
        <v>8.1199999999999992</v>
      </c>
      <c r="Z14" s="486">
        <f>8.4+0.22+0.22+(0.22*75/90)+(0.05*15/90)+0.17+0.17+0.17+0.17+0.17+1/7+0.16+0.16+0.16+0.125+0.16+0.16+0.14+0.14+0.05*61/90+0.11+0.11*0.5+0.11+0.11+0.11+0.1+0.1+0.1*0.5+0.1*0.5</f>
        <v>12.058412698412699</v>
      </c>
      <c r="AA14" s="487">
        <f>10.6+0.21+0.2+0.18+0.17+0.17+0.03+0.15+0.15+0.14+0.13+0.12</f>
        <v>12.25</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11.243769043520585</v>
      </c>
      <c r="AG14" s="604">
        <f t="shared" si="12"/>
        <v>12.570915952309912</v>
      </c>
      <c r="AH14" s="316">
        <f t="shared" si="13"/>
        <v>3.5006206726736973</v>
      </c>
      <c r="AI14" s="316">
        <f t="shared" si="14"/>
        <v>14.689554503759226</v>
      </c>
      <c r="AJ14" s="316">
        <f t="shared" si="15"/>
        <v>11.904138971664581</v>
      </c>
      <c r="AK14" s="316">
        <f t="shared" si="16"/>
        <v>1.0571889849883995</v>
      </c>
      <c r="AL14" s="316">
        <f t="shared" si="17"/>
        <v>0.97999869519818295</v>
      </c>
      <c r="AM14" s="311">
        <f t="shared" si="18"/>
        <v>13.623874822590867</v>
      </c>
      <c r="AN14" s="311">
        <f t="shared" si="19"/>
        <v>15.231955110130535</v>
      </c>
      <c r="AO14" s="446">
        <v>3</v>
      </c>
      <c r="AP14" s="446">
        <v>2</v>
      </c>
      <c r="AQ14" s="591">
        <f t="shared" si="20"/>
        <v>0.1158</v>
      </c>
      <c r="AR14" s="263">
        <v>171820</v>
      </c>
      <c r="AS14">
        <f t="shared" si="21"/>
        <v>171820</v>
      </c>
      <c r="AT14" s="390">
        <f t="shared" si="22"/>
        <v>-2720</v>
      </c>
    </row>
    <row r="15" spans="1:46" s="264" customFormat="1" x14ac:dyDescent="0.25">
      <c r="A15" s="384" t="s">
        <v>406</v>
      </c>
      <c r="B15" s="260" t="s">
        <v>64</v>
      </c>
      <c r="C15" s="385">
        <f t="shared" ca="1" si="4"/>
        <v>4.5714285714285712</v>
      </c>
      <c r="D15" s="659" t="s">
        <v>618</v>
      </c>
      <c r="E15" s="210">
        <v>29</v>
      </c>
      <c r="F15" s="211">
        <f ca="1">7-41471+$D$1-112-111-3-112-112-112-112-112-112-112-112-112-112-112-112</f>
        <v>48</v>
      </c>
      <c r="G15" s="388" t="s">
        <v>268</v>
      </c>
      <c r="H15" s="371">
        <v>3</v>
      </c>
      <c r="I15" s="214">
        <v>10.4</v>
      </c>
      <c r="J15" s="487">
        <f t="shared" si="5"/>
        <v>1.4092064684486303</v>
      </c>
      <c r="K15" s="303">
        <f t="shared" si="6"/>
        <v>93.600000000000009</v>
      </c>
      <c r="L15" s="303">
        <f t="shared" si="7"/>
        <v>166.4</v>
      </c>
      <c r="M15" s="296">
        <v>7.8</v>
      </c>
      <c r="N15" s="446">
        <f t="shared" si="8"/>
        <v>97</v>
      </c>
      <c r="O15" s="446" t="s">
        <v>557</v>
      </c>
      <c r="P15" s="679">
        <v>1.5</v>
      </c>
      <c r="Q15" s="447">
        <v>6</v>
      </c>
      <c r="R15" s="501">
        <f t="shared" si="9"/>
        <v>0.92582009977255142</v>
      </c>
      <c r="S15" s="501">
        <f t="shared" si="10"/>
        <v>0.99928545900129484</v>
      </c>
      <c r="T15" s="324">
        <v>219600</v>
      </c>
      <c r="U15" s="627">
        <f t="shared" si="2"/>
        <v>910</v>
      </c>
      <c r="V15" s="628">
        <v>21080</v>
      </c>
      <c r="W15" s="316">
        <f t="shared" si="3"/>
        <v>10.417457305502847</v>
      </c>
      <c r="X15" s="486">
        <v>0</v>
      </c>
      <c r="Y15" s="487">
        <f>5.6+0.26+0.26+0.26+(0.26*23/90)+(0.05*(90-23)/90)+0.26+0.26+0.23+0.23+0.22+0.15+0.15+0.14+0.13+0.13+0.13+0.12+0.12+0.12+0.02+0.1+0.1+0.1</f>
        <v>9.1936666666666653</v>
      </c>
      <c r="Z15" s="486">
        <f>13+0.1+0.1+0.1+0.1+0.1+0.1+0.08</f>
        <v>13.679999999999998</v>
      </c>
      <c r="AA15" s="487">
        <f>11.58+0.17+(0.17/2)+0.17+0.15+0.03+0.15+0.14+0.13+0.12+0.11</f>
        <v>12.835000000000001</v>
      </c>
      <c r="AB15" s="486">
        <f>5.21+0.4+0.4+0.33+0.33+0.33+0.33+0.3+0.3+0.23+0.23+0.22*30/90+0.15+0.15+0.15+0.13+0.12+0.11+0.11+0.08+0.07+0.07+0.07</f>
        <v>9.6733333333333356</v>
      </c>
      <c r="AC15" s="487">
        <f>2.9+0.33+(0.33*46/90)+0.03+0.07+0.07+(0.33*33/90)+0.33+0.33+0.33+0.25+0.2*0.5</f>
        <v>5.0296666666666656</v>
      </c>
      <c r="AD15" s="486">
        <f>15+0.2</f>
        <v>15.2</v>
      </c>
      <c r="AE15" s="324">
        <v>1791</v>
      </c>
      <c r="AF15" s="604">
        <f t="shared" si="11"/>
        <v>15.358620787766567</v>
      </c>
      <c r="AG15" s="604">
        <f t="shared" si="12"/>
        <v>16.58920646844863</v>
      </c>
      <c r="AH15" s="316">
        <f t="shared" si="13"/>
        <v>4.312927465355342</v>
      </c>
      <c r="AI15" s="316">
        <f t="shared" si="14"/>
        <v>14.385941686346632</v>
      </c>
      <c r="AJ15" s="316">
        <f t="shared" si="15"/>
        <v>13.94109763300481</v>
      </c>
      <c r="AK15" s="316">
        <f t="shared" si="16"/>
        <v>0.94021985080922366</v>
      </c>
      <c r="AL15" s="316">
        <f t="shared" si="17"/>
        <v>1.0273911194580709</v>
      </c>
      <c r="AM15" s="311">
        <f t="shared" si="18"/>
        <v>16.716648876417086</v>
      </c>
      <c r="AN15" s="311">
        <f t="shared" si="19"/>
        <v>18.056044452398375</v>
      </c>
      <c r="AO15" s="447">
        <v>3</v>
      </c>
      <c r="AP15" s="447">
        <v>3</v>
      </c>
      <c r="AQ15" s="591">
        <f t="shared" si="20"/>
        <v>0.1158</v>
      </c>
      <c r="AR15" s="264">
        <v>218690</v>
      </c>
      <c r="AS15">
        <f t="shared" si="21"/>
        <v>218690</v>
      </c>
      <c r="AT15" s="390">
        <f t="shared" si="22"/>
        <v>-910</v>
      </c>
    </row>
    <row r="16" spans="1:46" x14ac:dyDescent="0.25">
      <c r="A16" s="305" t="s">
        <v>407</v>
      </c>
      <c r="B16" s="384" t="s">
        <v>64</v>
      </c>
      <c r="C16" s="385">
        <f t="shared" ca="1" si="4"/>
        <v>2.2678571428571428</v>
      </c>
      <c r="D16" s="658" t="s">
        <v>285</v>
      </c>
      <c r="E16" s="387">
        <v>31</v>
      </c>
      <c r="F16" s="395">
        <f ca="1">33-41471+$D$1-112+6-112-112-112-112-112-112-112-112-112-112-112-112-112</f>
        <v>82</v>
      </c>
      <c r="G16" s="388" t="s">
        <v>268</v>
      </c>
      <c r="H16" s="394">
        <v>4</v>
      </c>
      <c r="I16" s="308">
        <v>11</v>
      </c>
      <c r="J16" s="487">
        <f t="shared" si="5"/>
        <v>1.4389083280634998</v>
      </c>
      <c r="K16" s="303">
        <f t="shared" si="6"/>
        <v>176</v>
      </c>
      <c r="L16" s="303">
        <f t="shared" si="7"/>
        <v>275</v>
      </c>
      <c r="M16" s="389">
        <v>7.1</v>
      </c>
      <c r="N16" s="446">
        <f t="shared" si="8"/>
        <v>90</v>
      </c>
      <c r="O16" s="446" t="s">
        <v>557</v>
      </c>
      <c r="P16" s="679">
        <v>1.5</v>
      </c>
      <c r="Q16" s="446">
        <v>5</v>
      </c>
      <c r="R16" s="501">
        <f t="shared" si="9"/>
        <v>0.84515425472851657</v>
      </c>
      <c r="S16" s="501">
        <f t="shared" si="10"/>
        <v>0.92504826128926143</v>
      </c>
      <c r="T16" s="324">
        <v>95800</v>
      </c>
      <c r="U16" s="627">
        <f t="shared" si="2"/>
        <v>-5760</v>
      </c>
      <c r="V16" s="324">
        <v>16970</v>
      </c>
      <c r="W16" s="316">
        <f t="shared" si="3"/>
        <v>5.6452563347083089</v>
      </c>
      <c r="X16" s="486">
        <v>0</v>
      </c>
      <c r="Y16" s="487">
        <f>5.25+0.25+0.25+0.25+0.24+0.24+0.24+0.24+0.23+0.22+0.17+(0.17*25/90)+0.16+0.16+0.03+0.15+0.14+0.14+0.13+0.02+0.11*33/90+0.01</f>
        <v>8.6075555555555585</v>
      </c>
      <c r="Z16" s="486">
        <f>11.65+0.13+0.13+0.13+0.11+0.11+0.11+0.1+0.1+0.1+0.1+0.1+0.1+0.1+0.1+0.1+0.1+0.091*83/90+0.091+0.091+0.091+0.091+0.091+0.091+1/21+1/21+1/21+1/21</f>
        <v>14.190398412698405</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1778</v>
      </c>
      <c r="AF16" s="604">
        <f t="shared" si="11"/>
        <v>14.476906472504783</v>
      </c>
      <c r="AG16" s="604">
        <f t="shared" si="12"/>
        <v>15.858656475766825</v>
      </c>
      <c r="AH16" s="316">
        <f t="shared" si="13"/>
        <v>3.972677211771392</v>
      </c>
      <c r="AI16" s="316">
        <f t="shared" si="14"/>
        <v>12.929534768249406</v>
      </c>
      <c r="AJ16" s="316">
        <f t="shared" si="15"/>
        <v>13.38725982400083</v>
      </c>
      <c r="AK16" s="316">
        <f t="shared" si="16"/>
        <v>0.95144599957841314</v>
      </c>
      <c r="AL16" s="316">
        <f t="shared" si="17"/>
        <v>1.0463591385200004</v>
      </c>
      <c r="AM16" s="311">
        <f t="shared" si="18"/>
        <v>16.423855608040736</v>
      </c>
      <c r="AN16" s="311">
        <f t="shared" si="19"/>
        <v>17.991432395463271</v>
      </c>
      <c r="AO16" s="446">
        <v>2</v>
      </c>
      <c r="AP16" s="446">
        <v>2</v>
      </c>
      <c r="AQ16" s="591">
        <f t="shared" si="20"/>
        <v>6.1499999999999999E-2</v>
      </c>
      <c r="AR16">
        <v>101560</v>
      </c>
      <c r="AS16">
        <f t="shared" si="21"/>
        <v>101560</v>
      </c>
      <c r="AT16" s="390">
        <f t="shared" si="22"/>
        <v>5760</v>
      </c>
    </row>
    <row r="17" spans="1:46" s="4" customFormat="1" x14ac:dyDescent="0.25">
      <c r="A17" s="384" t="s">
        <v>404</v>
      </c>
      <c r="B17" s="384" t="s">
        <v>64</v>
      </c>
      <c r="C17" s="385">
        <f t="shared" ca="1" si="4"/>
        <v>3.3214285714285716</v>
      </c>
      <c r="D17" s="658" t="s">
        <v>272</v>
      </c>
      <c r="E17" s="387">
        <v>30</v>
      </c>
      <c r="F17" s="395">
        <f ca="1">33-41471+$D$1-112-112-112-112-112-112-112-112-112-112-112-112-112-112</f>
        <v>76</v>
      </c>
      <c r="G17" s="388"/>
      <c r="H17" s="371">
        <v>3</v>
      </c>
      <c r="I17" s="308">
        <v>9.1</v>
      </c>
      <c r="J17" s="487">
        <f t="shared" si="5"/>
        <v>1.3390951650435234</v>
      </c>
      <c r="K17" s="303">
        <f t="shared" si="6"/>
        <v>81.899999999999991</v>
      </c>
      <c r="L17" s="303">
        <f t="shared" si="7"/>
        <v>145.6</v>
      </c>
      <c r="M17" s="389">
        <v>7.4</v>
      </c>
      <c r="N17" s="446">
        <f t="shared" si="8"/>
        <v>93</v>
      </c>
      <c r="O17" s="446" t="s">
        <v>557</v>
      </c>
      <c r="P17" s="679">
        <v>1.5</v>
      </c>
      <c r="Q17" s="446">
        <v>6</v>
      </c>
      <c r="R17" s="501">
        <f t="shared" si="9"/>
        <v>0.92582009977255142</v>
      </c>
      <c r="S17" s="501">
        <f t="shared" si="10"/>
        <v>0.99928545900129484</v>
      </c>
      <c r="T17" s="324">
        <v>85290</v>
      </c>
      <c r="U17" s="627">
        <f t="shared" si="2"/>
        <v>1840</v>
      </c>
      <c r="V17" s="324">
        <v>11270</v>
      </c>
      <c r="W17" s="316">
        <f t="shared" si="3"/>
        <v>7.5678793256433012</v>
      </c>
      <c r="X17" s="486">
        <v>0</v>
      </c>
      <c r="Y17" s="487">
        <f>7.5+0.2+0.2+0.2+0.2+0.2+0.16+0.16+0.14+0.14+0.13+0.13+0.12+0.12+0.12+0.12+0.11+0.1+0.1+0.1+0.1</f>
        <v>10.349999999999996</v>
      </c>
      <c r="Z17" s="486">
        <f>10.8+0.08+(0.16*77/90)+0.08+0.07+((0.07*37/90)+0.14*53/90)+(0.07*23/90)+0.06+0.06+0.06+0.06+0.06+0.12+0.1+0.1+0.1*0.5*32/90+0.1*0.5+0.1+0.1+0.1+0.1*0.16+0.1*0.5+0.1+0.1+0.1+0.1+0.1+0.01</f>
        <v>12.859777777777778</v>
      </c>
      <c r="AA17" s="487">
        <f>4.85+0.05+0.05+0.05+0.03+0.03+0.02+0.02+0.02+0.01</f>
        <v>5.1299999999999981</v>
      </c>
      <c r="AB17" s="486">
        <f>8.95+0.08+0.07+0.07+0.07</f>
        <v>9.24</v>
      </c>
      <c r="AC17" s="487">
        <v>2.98</v>
      </c>
      <c r="AD17" s="486">
        <f>11+0.5+0.5+0.5+0.45+0.45+0.45+0.4+0.35+0.33+0.33+0.3+0.3+0.3+0.2+0.2+0.2+0.2</f>
        <v>16.959999999999997</v>
      </c>
      <c r="AE17" s="324">
        <v>1451</v>
      </c>
      <c r="AF17" s="604">
        <f t="shared" si="11"/>
        <v>14.534332114239426</v>
      </c>
      <c r="AG17" s="604">
        <f t="shared" si="12"/>
        <v>15.698872942821302</v>
      </c>
      <c r="AH17" s="316">
        <f t="shared" si="13"/>
        <v>4.3221084479169685</v>
      </c>
      <c r="AI17" s="316">
        <f t="shared" si="14"/>
        <v>11.98862992737307</v>
      </c>
      <c r="AJ17" s="316">
        <f t="shared" si="15"/>
        <v>14.447510762660752</v>
      </c>
      <c r="AK17" s="316">
        <f t="shared" si="16"/>
        <v>0.88492761320348179</v>
      </c>
      <c r="AL17" s="316">
        <f t="shared" si="17"/>
        <v>1.1215366615530464</v>
      </c>
      <c r="AM17" s="311">
        <f t="shared" si="18"/>
        <v>18.274505438500924</v>
      </c>
      <c r="AN17" s="311">
        <f t="shared" si="19"/>
        <v>19.738721856428121</v>
      </c>
      <c r="AO17" s="446">
        <v>4</v>
      </c>
      <c r="AP17" s="446">
        <v>1</v>
      </c>
      <c r="AQ17" s="591">
        <f t="shared" si="20"/>
        <v>0.157</v>
      </c>
      <c r="AR17" s="4">
        <v>83450</v>
      </c>
      <c r="AS17">
        <f t="shared" si="21"/>
        <v>83450</v>
      </c>
      <c r="AT17" s="390">
        <f t="shared" si="22"/>
        <v>-1840</v>
      </c>
    </row>
    <row r="18" spans="1:46" s="263" customFormat="1" x14ac:dyDescent="0.25">
      <c r="A18" s="305" t="s">
        <v>411</v>
      </c>
      <c r="B18" s="260" t="s">
        <v>64</v>
      </c>
      <c r="C18" s="385">
        <f t="shared" ca="1" si="4"/>
        <v>3.5446428571428572</v>
      </c>
      <c r="D18" s="659" t="s">
        <v>400</v>
      </c>
      <c r="E18" s="210">
        <v>30</v>
      </c>
      <c r="F18" s="211">
        <f ca="1">7-41471+$D$1-112-111-112-112-112-112-112-112-112-112-112-112-112-112</f>
        <v>51</v>
      </c>
      <c r="G18" s="262"/>
      <c r="H18" s="371">
        <v>0</v>
      </c>
      <c r="I18" s="214">
        <v>8.1</v>
      </c>
      <c r="J18" s="487">
        <f t="shared" si="5"/>
        <v>1.2787218564281246</v>
      </c>
      <c r="K18" s="303">
        <f t="shared" si="6"/>
        <v>0</v>
      </c>
      <c r="L18" s="303">
        <f t="shared" si="7"/>
        <v>8.1</v>
      </c>
      <c r="M18" s="296">
        <v>7.5</v>
      </c>
      <c r="N18" s="446">
        <f t="shared" si="8"/>
        <v>94</v>
      </c>
      <c r="O18" s="446" t="s">
        <v>557</v>
      </c>
      <c r="P18" s="679">
        <v>1.5</v>
      </c>
      <c r="Q18" s="447">
        <v>7</v>
      </c>
      <c r="R18" s="501">
        <f t="shared" si="9"/>
        <v>1</v>
      </c>
      <c r="S18" s="501">
        <f t="shared" si="10"/>
        <v>1</v>
      </c>
      <c r="T18" s="324">
        <v>89400</v>
      </c>
      <c r="U18" s="627">
        <f t="shared" si="2"/>
        <v>920</v>
      </c>
      <c r="V18" s="628">
        <v>20790</v>
      </c>
      <c r="W18" s="316">
        <f t="shared" si="3"/>
        <v>4.3001443001443</v>
      </c>
      <c r="X18" s="486">
        <v>0</v>
      </c>
      <c r="Y18" s="487">
        <f>3.4+0.06+0.06+0.06+0.06+0.06+0.06+0.06+0.06+(0.06*40/90)+(0.25*35/90)+0.06+(0.25*35/90)+0.05+0.25+0.05+0.05+0.22+0.2+0.15+0.15</f>
        <v>5.2811111111111115</v>
      </c>
      <c r="Z18" s="486">
        <f>11.7+0.13+0.13+0.13+0.12+0.12+0.12+0.1+0.1+0.1+0.1+0.1+0.1+0.091+0.091*33/90+0.1+0.091+0.091+0.091+0.091+0.091+0.091+0.091+0.092+1/21+1/21+1/21+1/21+1/21*80/90+1/21</f>
        <v>14.283789947089938</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17.062511803518063</v>
      </c>
      <c r="AG18" s="604">
        <f t="shared" si="12"/>
        <v>17.062511803518063</v>
      </c>
      <c r="AH18" s="316">
        <f t="shared" si="13"/>
        <v>3.9871595850494366</v>
      </c>
      <c r="AI18" s="316">
        <f t="shared" si="14"/>
        <v>19.71641085826171</v>
      </c>
      <c r="AJ18" s="316">
        <f t="shared" si="15"/>
        <v>16.25728852309479</v>
      </c>
      <c r="AK18" s="316">
        <f t="shared" si="16"/>
        <v>1.0759921929586944</v>
      </c>
      <c r="AL18" s="316">
        <f t="shared" si="17"/>
        <v>0.8878549743944133</v>
      </c>
      <c r="AM18" s="311">
        <f t="shared" si="18"/>
        <v>18.781313358504867</v>
      </c>
      <c r="AN18" s="311">
        <f t="shared" si="19"/>
        <v>18.781313358504867</v>
      </c>
      <c r="AO18" s="447">
        <v>2</v>
      </c>
      <c r="AP18" s="447">
        <v>1</v>
      </c>
      <c r="AQ18" s="591">
        <f t="shared" si="20"/>
        <v>6.1499999999999999E-2</v>
      </c>
      <c r="AR18" s="263">
        <v>88480</v>
      </c>
      <c r="AS18">
        <f t="shared" si="21"/>
        <v>88480</v>
      </c>
      <c r="AT18" s="390">
        <f t="shared" si="22"/>
        <v>-920</v>
      </c>
    </row>
    <row r="19" spans="1:46" s="264" customFormat="1" ht="14.25" customHeight="1" x14ac:dyDescent="0.25">
      <c r="A19" s="305" t="s">
        <v>505</v>
      </c>
      <c r="B19" s="260" t="s">
        <v>64</v>
      </c>
      <c r="C19" s="385">
        <f t="shared" ca="1" si="4"/>
        <v>4.9910714285714288</v>
      </c>
      <c r="D19" s="659" t="s">
        <v>414</v>
      </c>
      <c r="E19" s="210">
        <v>28</v>
      </c>
      <c r="F19" s="211">
        <f ca="1">59-41471+$D$1-325-112-112-112-112-112-112-112-112-112-112-112</f>
        <v>113</v>
      </c>
      <c r="G19" s="262"/>
      <c r="H19" s="371">
        <v>2</v>
      </c>
      <c r="I19" s="214">
        <v>4</v>
      </c>
      <c r="J19" s="487">
        <f t="shared" si="5"/>
        <v>0.93196000578135851</v>
      </c>
      <c r="K19" s="303">
        <f t="shared" si="6"/>
        <v>16</v>
      </c>
      <c r="L19" s="303">
        <f t="shared" si="7"/>
        <v>36</v>
      </c>
      <c r="M19" s="296">
        <v>6.8</v>
      </c>
      <c r="N19" s="446">
        <f t="shared" si="8"/>
        <v>87</v>
      </c>
      <c r="O19" s="446" t="s">
        <v>557</v>
      </c>
      <c r="P19" s="679">
        <v>1.5</v>
      </c>
      <c r="Q19" s="447">
        <v>6</v>
      </c>
      <c r="R19" s="501">
        <f t="shared" si="9"/>
        <v>0.92582009977255142</v>
      </c>
      <c r="S19" s="501">
        <f t="shared" si="10"/>
        <v>0.99928545900129484</v>
      </c>
      <c r="T19" s="324">
        <v>34170</v>
      </c>
      <c r="U19" s="627">
        <f t="shared" si="2"/>
        <v>1920</v>
      </c>
      <c r="V19" s="628">
        <v>3310</v>
      </c>
      <c r="W19" s="316">
        <f t="shared" si="3"/>
        <v>10.323262839879154</v>
      </c>
      <c r="X19" s="486">
        <v>0</v>
      </c>
      <c r="Y19" s="487">
        <f>4.45+0.06+0.2+0.06+0.06+(0.06*68/90)+0.06+0.06+0.06+0.04+(0.22*35/90)+0.04+0.04+0.04+0.04+0.04+0.04*0.5+0.2*66/90+0.02+0.12*33/90+0.02</f>
        <v>5.6315555555555523</v>
      </c>
      <c r="Z19" s="486">
        <f>8.7+0.13+0.13+0.13+0.08+(0.08*53/90)+0.02+0.01+0.02+(0.13*30/90)+(0.13*60/90*0.16)+0.02+0.02+0.143*0.5+0.143*57/90+0.143*61/90*0.5+0.02+0.143*0.5+0.14+0.01+0.01+0.12*12/90+0.01</f>
        <v>9.8523388888888874</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11.37305082829945</v>
      </c>
      <c r="AG19" s="604">
        <f t="shared" si="12"/>
        <v>12.284298894670245</v>
      </c>
      <c r="AH19" s="316">
        <f t="shared" si="13"/>
        <v>3.6408765259612221</v>
      </c>
      <c r="AI19" s="316">
        <f t="shared" si="14"/>
        <v>9.7224837831896327</v>
      </c>
      <c r="AJ19" s="316">
        <f t="shared" si="15"/>
        <v>11.303794341391464</v>
      </c>
      <c r="AK19" s="316">
        <f t="shared" si="16"/>
        <v>0.74514568935139747</v>
      </c>
      <c r="AL19" s="316">
        <f t="shared" si="17"/>
        <v>0.76899942262691712</v>
      </c>
      <c r="AM19" s="311">
        <f t="shared" si="18"/>
        <v>13.658389380147515</v>
      </c>
      <c r="AN19" s="311">
        <f t="shared" si="19"/>
        <v>14.752746655103952</v>
      </c>
      <c r="AO19" s="447">
        <v>1</v>
      </c>
      <c r="AP19" s="447">
        <v>2</v>
      </c>
      <c r="AQ19" s="591">
        <f t="shared" si="20"/>
        <v>4.9399999999999999E-2</v>
      </c>
      <c r="AR19" s="264">
        <v>32250</v>
      </c>
      <c r="AS19">
        <f t="shared" si="21"/>
        <v>32250</v>
      </c>
      <c r="AT19" s="390">
        <f t="shared" si="22"/>
        <v>-1920</v>
      </c>
    </row>
    <row r="20" spans="1:46" s="263" customFormat="1" x14ac:dyDescent="0.25">
      <c r="A20" s="304" t="s">
        <v>584</v>
      </c>
      <c r="B20" s="260" t="s">
        <v>64</v>
      </c>
      <c r="C20" s="385">
        <f t="shared" ca="1" si="4"/>
        <v>4.9285714285714288</v>
      </c>
      <c r="D20" s="659" t="s">
        <v>401</v>
      </c>
      <c r="E20" s="210">
        <v>29</v>
      </c>
      <c r="F20" s="211">
        <f ca="1">7-41471+$D$1-112-111-43-112-112-112-112-112-112-112-112-112-112-112-112</f>
        <v>8</v>
      </c>
      <c r="G20" s="262" t="s">
        <v>271</v>
      </c>
      <c r="H20" s="394">
        <v>4</v>
      </c>
      <c r="I20" s="214">
        <v>1.2</v>
      </c>
      <c r="J20" s="487">
        <f t="shared" si="5"/>
        <v>0.45656357442960838</v>
      </c>
      <c r="K20" s="303">
        <f t="shared" si="6"/>
        <v>19.2</v>
      </c>
      <c r="L20" s="303">
        <f t="shared" si="7"/>
        <v>30</v>
      </c>
      <c r="M20" s="296">
        <v>6.9</v>
      </c>
      <c r="N20" s="446">
        <f t="shared" si="8"/>
        <v>88</v>
      </c>
      <c r="O20" s="446" t="s">
        <v>557</v>
      </c>
      <c r="P20" s="679">
        <v>1.5</v>
      </c>
      <c r="Q20" s="447">
        <v>6</v>
      </c>
      <c r="R20" s="501">
        <f t="shared" si="9"/>
        <v>0.92582009977255142</v>
      </c>
      <c r="S20" s="501">
        <f t="shared" si="10"/>
        <v>0.99928545900129484</v>
      </c>
      <c r="T20" s="628">
        <v>5220</v>
      </c>
      <c r="U20" s="627">
        <f t="shared" si="2"/>
        <v>-630</v>
      </c>
      <c r="V20" s="628">
        <v>690</v>
      </c>
      <c r="W20" s="316">
        <f t="shared" si="3"/>
        <v>7.5652173913043477</v>
      </c>
      <c r="X20" s="486">
        <v>0</v>
      </c>
      <c r="Y20" s="487">
        <f>2+0.05+0.05+0.05+0.05+0.05+(0.25*31/90)+0.05+0.04+0.03+0.02</f>
        <v>2.47611111111111</v>
      </c>
      <c r="Z20" s="486">
        <f>7.1+0.01+0.02+0.04+0.04+0.04+0.02+0.02+0.02+0.01</f>
        <v>7.3199999999999976</v>
      </c>
      <c r="AA20" s="487">
        <f>4.16+0.01</f>
        <v>4.17</v>
      </c>
      <c r="AB20" s="486">
        <f>6+(0.35/3)+(0.35/3)+0.32+(0.3*60/90)+0.3*61/90+0.04+0.04+0.06+0.15*29/90+0.12</f>
        <v>7.2649999999999988</v>
      </c>
      <c r="AC20" s="487">
        <f>4+0.06+0.06+0.06+0.06+0.06+0.03</f>
        <v>4.3299999999999983</v>
      </c>
      <c r="AD20" s="486">
        <f>9+0.5</f>
        <v>9.5</v>
      </c>
      <c r="AE20" s="324">
        <v>634</v>
      </c>
      <c r="AF20" s="604">
        <f t="shared" si="11"/>
        <v>8.5884290140248343</v>
      </c>
      <c r="AG20" s="604">
        <f t="shared" si="12"/>
        <v>9.2765635744296056</v>
      </c>
      <c r="AH20" s="316">
        <f t="shared" si="13"/>
        <v>2.6473596420876575</v>
      </c>
      <c r="AI20" s="316">
        <f t="shared" si="14"/>
        <v>8.4590381791397018</v>
      </c>
      <c r="AJ20" s="316">
        <f t="shared" si="15"/>
        <v>9.170769856781769</v>
      </c>
      <c r="AK20" s="316">
        <f t="shared" si="16"/>
        <v>0.65802508595436859</v>
      </c>
      <c r="AL20" s="316">
        <f t="shared" si="17"/>
        <v>0.52100389465451702</v>
      </c>
      <c r="AM20" s="311">
        <f t="shared" si="18"/>
        <v>10.281764549652634</v>
      </c>
      <c r="AN20" s="311">
        <f t="shared" si="19"/>
        <v>11.105574994730166</v>
      </c>
      <c r="AO20" s="447">
        <v>0</v>
      </c>
      <c r="AP20" s="447">
        <v>2</v>
      </c>
      <c r="AQ20" s="591">
        <f t="shared" si="20"/>
        <v>2.63E-2</v>
      </c>
      <c r="AR20" s="263">
        <v>5850</v>
      </c>
      <c r="AS20">
        <f t="shared" si="21"/>
        <v>5850</v>
      </c>
      <c r="AT20" s="390">
        <f t="shared" si="22"/>
        <v>630</v>
      </c>
    </row>
    <row r="21" spans="1:46" s="263" customFormat="1" x14ac:dyDescent="0.25">
      <c r="A21" s="304" t="s">
        <v>623</v>
      </c>
      <c r="B21" s="384" t="s">
        <v>66</v>
      </c>
      <c r="C21" s="385">
        <f t="shared" ca="1" si="4"/>
        <v>5.3035714285714288</v>
      </c>
      <c r="D21" s="659" t="s">
        <v>873</v>
      </c>
      <c r="E21" s="210">
        <v>28</v>
      </c>
      <c r="F21" s="211">
        <f ca="1">64-41471+$D$1-112-112-29-112-112-112-112-112-112-112-112-112-112-112-112</f>
        <v>78</v>
      </c>
      <c r="G21" s="262" t="s">
        <v>502</v>
      </c>
      <c r="H21" s="394">
        <v>1</v>
      </c>
      <c r="I21" s="214">
        <v>8.6</v>
      </c>
      <c r="J21" s="487">
        <f t="shared" si="5"/>
        <v>1.3096949773860913</v>
      </c>
      <c r="K21" s="303">
        <f t="shared" si="6"/>
        <v>8.6</v>
      </c>
      <c r="L21" s="303">
        <f t="shared" si="7"/>
        <v>34.4</v>
      </c>
      <c r="M21" s="296">
        <v>6.8</v>
      </c>
      <c r="N21" s="446">
        <f t="shared" si="8"/>
        <v>87</v>
      </c>
      <c r="O21" s="678">
        <v>43060</v>
      </c>
      <c r="P21" s="679">
        <f ca="1">IF((TODAY()-O21)&gt;335,1,((TODAY()-O21)^0.64)/(336^0.64))</f>
        <v>0.17470019035584383</v>
      </c>
      <c r="Q21" s="447">
        <v>2</v>
      </c>
      <c r="R21" s="501">
        <f t="shared" si="9"/>
        <v>0.53452248382484879</v>
      </c>
      <c r="S21" s="501">
        <f t="shared" si="10"/>
        <v>0.65356167049702141</v>
      </c>
      <c r="T21" s="628">
        <v>231480</v>
      </c>
      <c r="U21" s="627">
        <f t="shared" si="2"/>
        <v>-45330</v>
      </c>
      <c r="V21" s="628">
        <f>42600</f>
        <v>42600</v>
      </c>
      <c r="W21" s="316">
        <f t="shared" si="3"/>
        <v>5.4338028169014088</v>
      </c>
      <c r="X21" s="486">
        <v>0</v>
      </c>
      <c r="Y21" s="487">
        <v>2</v>
      </c>
      <c r="Z21" s="486">
        <f>14.5+1/20</f>
        <v>14.55</v>
      </c>
      <c r="AA21" s="487">
        <f>12+0.01</f>
        <v>12.01</v>
      </c>
      <c r="AB21" s="486">
        <v>12</v>
      </c>
      <c r="AC21" s="487">
        <v>8</v>
      </c>
      <c r="AD21" s="486">
        <v>2</v>
      </c>
      <c r="AE21" s="324">
        <v>1782</v>
      </c>
      <c r="AF21" s="604">
        <f t="shared" ca="1" si="11"/>
        <v>8.5707447316905743</v>
      </c>
      <c r="AG21" s="604">
        <f t="shared" ca="1" si="12"/>
        <v>10.49697565414451</v>
      </c>
      <c r="AH21" s="316">
        <f t="shared" ca="1" si="13"/>
        <v>2.0347390444453919</v>
      </c>
      <c r="AI21" s="316">
        <f t="shared" ca="1" si="14"/>
        <v>5.3775705687387134</v>
      </c>
      <c r="AJ21" s="316">
        <f t="shared" ca="1" si="15"/>
        <v>2.8246280305734475</v>
      </c>
      <c r="AK21" s="316">
        <f t="shared" ca="1" si="16"/>
        <v>0.57875161341935477</v>
      </c>
      <c r="AL21" s="316">
        <f t="shared" ca="1" si="17"/>
        <v>0.24390766174193548</v>
      </c>
      <c r="AM21" s="311">
        <f t="shared" ca="1" si="18"/>
        <v>1.8284400583756253</v>
      </c>
      <c r="AN21" s="311">
        <f t="shared" ca="1" si="19"/>
        <v>2.2393725841424845</v>
      </c>
      <c r="AO21" s="447">
        <v>3</v>
      </c>
      <c r="AP21" s="447">
        <v>3</v>
      </c>
      <c r="AQ21" s="591">
        <f t="shared" si="20"/>
        <v>0.1158</v>
      </c>
      <c r="AR21" s="263">
        <v>276810</v>
      </c>
      <c r="AS21">
        <f t="shared" si="21"/>
        <v>276810</v>
      </c>
      <c r="AT21" s="390">
        <f t="shared" si="22"/>
        <v>45330</v>
      </c>
    </row>
    <row r="22" spans="1:46" s="254" customFormat="1" x14ac:dyDescent="0.25">
      <c r="A22" s="384" t="s">
        <v>506</v>
      </c>
      <c r="B22" s="384" t="s">
        <v>66</v>
      </c>
      <c r="C22" s="385">
        <f t="shared" ca="1" si="4"/>
        <v>4.2142857142857144</v>
      </c>
      <c r="D22" s="658" t="s">
        <v>287</v>
      </c>
      <c r="E22" s="387">
        <v>29</v>
      </c>
      <c r="F22" s="395">
        <f ca="1">74-41471+$D$1-112-112-29-112-112-112-112-112-112-112-112-112-112-112-112</f>
        <v>88</v>
      </c>
      <c r="G22" s="388" t="s">
        <v>296</v>
      </c>
      <c r="H22" s="371">
        <v>3</v>
      </c>
      <c r="I22" s="308">
        <v>10</v>
      </c>
      <c r="J22" s="487">
        <f t="shared" si="5"/>
        <v>1.3885235802109668</v>
      </c>
      <c r="K22" s="303">
        <f t="shared" si="6"/>
        <v>90</v>
      </c>
      <c r="L22" s="303">
        <f t="shared" si="7"/>
        <v>160</v>
      </c>
      <c r="M22" s="389">
        <v>7.6</v>
      </c>
      <c r="N22" s="446">
        <f t="shared" si="8"/>
        <v>95</v>
      </c>
      <c r="O22" s="446" t="s">
        <v>557</v>
      </c>
      <c r="P22" s="679">
        <v>1.5</v>
      </c>
      <c r="Q22" s="446">
        <v>7</v>
      </c>
      <c r="R22" s="501">
        <f t="shared" si="9"/>
        <v>1</v>
      </c>
      <c r="S22" s="501">
        <f t="shared" si="10"/>
        <v>1</v>
      </c>
      <c r="T22" s="324">
        <v>52460</v>
      </c>
      <c r="U22" s="627">
        <f t="shared" si="2"/>
        <v>940</v>
      </c>
      <c r="V22" s="324">
        <v>2360</v>
      </c>
      <c r="W22" s="316">
        <f t="shared" si="3"/>
        <v>22.228813559322035</v>
      </c>
      <c r="X22" s="486">
        <v>0</v>
      </c>
      <c r="Y22" s="487">
        <f>5+(5/7)+0.07+0.21+0.07+0.07+0.07+0.07+0.07+0.07+0.06+0.03+0.03+0.03+0.03+0.03+0.2*33/90+0.03+0.03+0.02+0.02+0.01+0.01</f>
        <v>6.8176190476190497</v>
      </c>
      <c r="Z22" s="486">
        <f>8+1/8*0.5+1/8*0.5+1/8+1/8*0.5+1/8*0.5+1/8</f>
        <v>8.5</v>
      </c>
      <c r="AA22" s="487">
        <f>7.9+0.165+0.165+0.21+0.13+0.03+0.03+0.03+0.02+0.02+0.02+0.01</f>
        <v>8.7299999999999969</v>
      </c>
      <c r="AB22" s="486">
        <f>5.1+0.33+0.33+0.33+0.3+0.29+0.04+0.28+0.28+0.27+0.27+0.27+0.22+0.22+0.15+0.15+0.15+0.14+0.13+0.12+0.11+0.1+0.08+0.01+0.01+0.01</f>
        <v>9.6900000000000013</v>
      </c>
      <c r="AC22" s="487">
        <f>6.48+0.25+0.25+0.23+0.21+0.21+0.2+0.19+0.17+0.16+0.15+1/16</f>
        <v>8.5625000000000018</v>
      </c>
      <c r="AD22" s="486">
        <f>17.99+0.2+0.15+0.15+0.15</f>
        <v>18.639999999999993</v>
      </c>
      <c r="AE22" s="324">
        <v>1314</v>
      </c>
      <c r="AF22" s="604">
        <f t="shared" si="11"/>
        <v>11.388523580210967</v>
      </c>
      <c r="AG22" s="604">
        <f t="shared" si="12"/>
        <v>11.388523580210967</v>
      </c>
      <c r="AH22" s="316">
        <f t="shared" si="13"/>
        <v>4.3578987235314939</v>
      </c>
      <c r="AI22" s="316">
        <f t="shared" si="14"/>
        <v>23.249387112266234</v>
      </c>
      <c r="AJ22" s="316">
        <f t="shared" si="15"/>
        <v>18.505273580210961</v>
      </c>
      <c r="AK22" s="316">
        <f t="shared" si="16"/>
        <v>1.2184068864168771</v>
      </c>
      <c r="AL22" s="316">
        <f t="shared" si="17"/>
        <v>1.0341014125195296</v>
      </c>
      <c r="AM22" s="311">
        <f t="shared" si="18"/>
        <v>21.473333333333326</v>
      </c>
      <c r="AN22" s="311">
        <f t="shared" si="19"/>
        <v>21.473333333333326</v>
      </c>
      <c r="AO22" s="446">
        <v>4</v>
      </c>
      <c r="AP22" s="446">
        <v>2</v>
      </c>
      <c r="AQ22" s="591">
        <f t="shared" si="20"/>
        <v>0.157</v>
      </c>
      <c r="AR22" s="254">
        <v>51520</v>
      </c>
      <c r="AS22">
        <f t="shared" si="21"/>
        <v>51520</v>
      </c>
      <c r="AT22" s="390">
        <f t="shared" si="22"/>
        <v>-940</v>
      </c>
    </row>
    <row r="23" spans="1:46" s="259" customFormat="1" x14ac:dyDescent="0.25">
      <c r="A23" s="384" t="s">
        <v>568</v>
      </c>
      <c r="B23" s="384" t="s">
        <v>66</v>
      </c>
      <c r="C23" s="385">
        <f t="shared" ca="1" si="4"/>
        <v>3.5982142857142856</v>
      </c>
      <c r="D23" s="658" t="s">
        <v>862</v>
      </c>
      <c r="E23" s="387">
        <v>30</v>
      </c>
      <c r="F23" s="211">
        <f ca="1">-41471+$D$1-748-112-112-12-112-112-112-22-112-112</f>
        <v>45</v>
      </c>
      <c r="G23" s="388" t="s">
        <v>268</v>
      </c>
      <c r="H23" s="371">
        <v>3</v>
      </c>
      <c r="I23" s="308">
        <v>10.199999999999999</v>
      </c>
      <c r="J23" s="487">
        <f t="shared" si="5"/>
        <v>1.3989573635602419</v>
      </c>
      <c r="K23" s="303">
        <f t="shared" si="6"/>
        <v>91.8</v>
      </c>
      <c r="L23" s="303">
        <f t="shared" si="7"/>
        <v>163.19999999999999</v>
      </c>
      <c r="M23" s="389">
        <v>7.5</v>
      </c>
      <c r="N23" s="446">
        <f t="shared" si="8"/>
        <v>94</v>
      </c>
      <c r="O23" s="678">
        <v>42869</v>
      </c>
      <c r="P23" s="679">
        <f ca="1">IF((TODAY()-O23)&gt;335,1,((TODAY()-O23)^0.64)/(336^0.64))</f>
        <v>0.74697455576594451</v>
      </c>
      <c r="Q23" s="446">
        <v>7</v>
      </c>
      <c r="R23" s="501">
        <f t="shared" si="9"/>
        <v>1</v>
      </c>
      <c r="S23" s="501">
        <f t="shared" si="10"/>
        <v>1</v>
      </c>
      <c r="T23" s="324">
        <v>285310</v>
      </c>
      <c r="U23" s="627">
        <f t="shared" si="2"/>
        <v>5570</v>
      </c>
      <c r="V23" s="324">
        <v>34128</v>
      </c>
      <c r="W23" s="316">
        <f t="shared" si="3"/>
        <v>8.3599976558837312</v>
      </c>
      <c r="X23" s="486">
        <v>0</v>
      </c>
      <c r="Y23" s="487">
        <v>2</v>
      </c>
      <c r="Z23" s="486">
        <f>14+0.09*0.16+0.09*0.5+0.09*0.16+0.01+0.01+0.01+1/21*0.5</f>
        <v>14.127609523809523</v>
      </c>
      <c r="AA23" s="487">
        <f>3+0.02</f>
        <v>3.02</v>
      </c>
      <c r="AB23" s="486">
        <f>15+0.01+0.01</f>
        <v>15.02</v>
      </c>
      <c r="AC23" s="487">
        <v>10</v>
      </c>
      <c r="AD23" s="486">
        <f>9+0.3</f>
        <v>9.3000000000000007</v>
      </c>
      <c r="AE23" s="324">
        <v>1915</v>
      </c>
      <c r="AF23" s="604">
        <f t="shared" ca="1" si="11"/>
        <v>16.273541443135709</v>
      </c>
      <c r="AG23" s="604">
        <f t="shared" ca="1" si="12"/>
        <v>16.273541443135709</v>
      </c>
      <c r="AH23" s="316">
        <f t="shared" ca="1" si="13"/>
        <v>4.8097244697473203</v>
      </c>
      <c r="AI23" s="316">
        <f t="shared" ca="1" si="14"/>
        <v>18.857509541710876</v>
      </c>
      <c r="AJ23" s="316">
        <f t="shared" ca="1" si="15"/>
        <v>11.655931919326187</v>
      </c>
      <c r="AK23" s="316">
        <f t="shared" ca="1" si="16"/>
        <v>0.95067455354609509</v>
      </c>
      <c r="AL23" s="316">
        <f t="shared" ca="1" si="17"/>
        <v>0.50921523435283311</v>
      </c>
      <c r="AM23" s="311">
        <f t="shared" ca="1" si="18"/>
        <v>11.391774784781836</v>
      </c>
      <c r="AN23" s="311">
        <f t="shared" ca="1" si="19"/>
        <v>11.391774784781836</v>
      </c>
      <c r="AO23" s="446">
        <v>1</v>
      </c>
      <c r="AP23" s="446">
        <v>3</v>
      </c>
      <c r="AQ23" s="591">
        <f t="shared" si="20"/>
        <v>4.9399999999999999E-2</v>
      </c>
      <c r="AR23" s="259">
        <v>279740</v>
      </c>
      <c r="AS23">
        <f t="shared" si="21"/>
        <v>279740</v>
      </c>
      <c r="AT23" s="390">
        <f t="shared" si="22"/>
        <v>-5570</v>
      </c>
    </row>
    <row r="24" spans="1:46" s="264" customFormat="1" x14ac:dyDescent="0.25">
      <c r="A24" s="384" t="s">
        <v>540</v>
      </c>
      <c r="B24" s="384" t="s">
        <v>66</v>
      </c>
      <c r="C24" s="385">
        <f t="shared" ca="1" si="4"/>
        <v>6.9375</v>
      </c>
      <c r="D24" s="659" t="s">
        <v>541</v>
      </c>
      <c r="E24" s="210">
        <v>27</v>
      </c>
      <c r="F24" s="211">
        <f ca="1">7-41471+$D$1-112-111-43-112-112-1-112-112-112-112-112-112-112-112-112-112</f>
        <v>7</v>
      </c>
      <c r="G24" s="262"/>
      <c r="H24" s="396">
        <v>5</v>
      </c>
      <c r="I24" s="214">
        <v>5.3</v>
      </c>
      <c r="J24" s="487">
        <f t="shared" si="5"/>
        <v>1.0657873992714422</v>
      </c>
      <c r="K24" s="303">
        <f t="shared" si="6"/>
        <v>132.5</v>
      </c>
      <c r="L24" s="303">
        <f t="shared" si="7"/>
        <v>190.79999999999998</v>
      </c>
      <c r="M24" s="296">
        <v>8</v>
      </c>
      <c r="N24" s="446">
        <f t="shared" si="8"/>
        <v>99</v>
      </c>
      <c r="O24" s="446" t="s">
        <v>557</v>
      </c>
      <c r="P24" s="679">
        <v>1.5</v>
      </c>
      <c r="Q24" s="447">
        <v>5</v>
      </c>
      <c r="R24" s="501">
        <f t="shared" si="9"/>
        <v>0.84515425472851657</v>
      </c>
      <c r="S24" s="501">
        <f t="shared" si="10"/>
        <v>0.92504826128926143</v>
      </c>
      <c r="T24" s="628">
        <v>35210</v>
      </c>
      <c r="U24" s="627">
        <f t="shared" si="2"/>
        <v>2580</v>
      </c>
      <c r="V24" s="628">
        <v>3090</v>
      </c>
      <c r="W24" s="316">
        <f t="shared" si="3"/>
        <v>11.394822006472491</v>
      </c>
      <c r="X24" s="486">
        <v>0</v>
      </c>
      <c r="Y24" s="487">
        <v>4</v>
      </c>
      <c r="Z24" s="486">
        <f>4.6+0.05+0.05+0.05+0.04+0.04+0.16+(0.16*30/90)+(0.16*60/90*0.16)+0.04+0.04+0.04+0.25/8+0.04+0.04+0.04+0.04+0.04+0.04+0.02+0.02*10/90+0.02+0.02+0.02+0.01</f>
        <v>5.5438722222222205</v>
      </c>
      <c r="AA24" s="487">
        <f>4.9+0.25+0.05+0.05+0.05+0.04+0.03+0.03+0.03+0.02+0.02+0.02</f>
        <v>5.4899999999999993</v>
      </c>
      <c r="AB24" s="486">
        <f>7.1+0.31+0.31+0.31+0.25+0.25+0.25+0.23+0.2+0.2+0.2+0.17+0.15+0.15+0.13+0.13+0.13+0.11+0.1+0.1+0.01+0.01</f>
        <v>10.799999999999999</v>
      </c>
      <c r="AC24" s="487">
        <f>6.5+0.25+0.25+0.25+0.24+0.24+0.22+0.21+0.18*1/90+0.16+1/16</f>
        <v>8.384500000000001</v>
      </c>
      <c r="AD24" s="486">
        <f>9+1*5/90+0.65+0.65*61/90+0.65*52/90+0.55+0.55*27/90+0.55+0.5+0.5+0.3+0.25*0.6+0.25+(0.2*36/90)</f>
        <v>13.566666666666668</v>
      </c>
      <c r="AE24" s="324">
        <v>962</v>
      </c>
      <c r="AF24" s="604">
        <f t="shared" si="11"/>
        <v>6.8539133335054201</v>
      </c>
      <c r="AG24" s="604">
        <f t="shared" si="12"/>
        <v>7.5080858798926942</v>
      </c>
      <c r="AH24" s="316">
        <f t="shared" si="13"/>
        <v>3.5176759165899054</v>
      </c>
      <c r="AI24" s="316">
        <f t="shared" si="14"/>
        <v>16.438526466985824</v>
      </c>
      <c r="AJ24" s="316">
        <f t="shared" si="15"/>
        <v>12.320493130926264</v>
      </c>
      <c r="AK24" s="316">
        <f t="shared" si="16"/>
        <v>1.0314879919417155</v>
      </c>
      <c r="AL24" s="316">
        <f t="shared" si="17"/>
        <v>0.74660511794900086</v>
      </c>
      <c r="AM24" s="311">
        <f t="shared" si="18"/>
        <v>13.549823881630054</v>
      </c>
      <c r="AN24" s="311">
        <f t="shared" si="19"/>
        <v>14.843088380381982</v>
      </c>
      <c r="AO24" s="447">
        <v>2</v>
      </c>
      <c r="AP24" s="447">
        <v>1</v>
      </c>
      <c r="AQ24" s="591">
        <f t="shared" si="20"/>
        <v>6.1499999999999999E-2</v>
      </c>
      <c r="AR24" s="264">
        <v>32630</v>
      </c>
      <c r="AS24">
        <f t="shared" si="21"/>
        <v>32630</v>
      </c>
      <c r="AT24" s="390">
        <f>AS24-T24</f>
        <v>-2580</v>
      </c>
    </row>
    <row r="25" spans="1:46" x14ac:dyDescent="0.25">
      <c r="G25" s="4"/>
      <c r="H25"/>
      <c r="I25" s="284"/>
      <c r="J25" s="488"/>
      <c r="K25"/>
      <c r="T25" s="244">
        <f>SUM(T5:T24)+T3</f>
        <v>2166970</v>
      </c>
      <c r="U25" s="244">
        <f>SUM(U5:U24)</f>
        <v>-38710</v>
      </c>
      <c r="V25" s="244">
        <f>SUM(V5:V24)+V3</f>
        <v>293298</v>
      </c>
      <c r="W25" s="315">
        <f t="shared" si="3"/>
        <v>7.3882876801069219</v>
      </c>
      <c r="X25"/>
      <c r="AD25" s="312"/>
      <c r="AE25" s="244">
        <f>AVERAGE(AE5:AE24)</f>
        <v>1465.75</v>
      </c>
      <c r="AH25" s="244"/>
      <c r="AI25" s="244"/>
      <c r="AJ25" s="244"/>
      <c r="AK25" s="244"/>
      <c r="AL25" s="244"/>
      <c r="AM25" s="244"/>
      <c r="AN25" s="244"/>
    </row>
    <row r="26" spans="1:46" x14ac:dyDescent="0.25">
      <c r="G26" s="456"/>
      <c r="K26" s="456"/>
      <c r="M26" s="456"/>
      <c r="N26" s="456"/>
      <c r="Q26" s="456"/>
      <c r="T26" s="313"/>
      <c r="U26" s="313"/>
      <c r="V26" s="313">
        <f>V25-V3</f>
        <v>292974</v>
      </c>
      <c r="W26" s="293"/>
      <c r="AE26" s="293"/>
      <c r="AH26" s="293"/>
      <c r="AI26" s="293"/>
      <c r="AJ26" s="293"/>
      <c r="AK26" s="293"/>
      <c r="AL26" s="293"/>
      <c r="AM26" s="293"/>
      <c r="AN26" s="293"/>
    </row>
    <row r="27" spans="1:46" x14ac:dyDescent="0.25">
      <c r="I27" s="265"/>
      <c r="Y27" s="159"/>
    </row>
    <row r="28" spans="1:46" x14ac:dyDescent="0.25">
      <c r="D28" s="606"/>
      <c r="I28" s="265"/>
      <c r="Y28" s="159"/>
      <c r="AE28" s="661"/>
    </row>
    <row r="29" spans="1:46" x14ac:dyDescent="0.25">
      <c r="D29" s="606"/>
      <c r="I29" s="265"/>
      <c r="V29" s="675"/>
      <c r="Y29" s="159"/>
    </row>
    <row r="30" spans="1:46" x14ac:dyDescent="0.25">
      <c r="D30" s="607"/>
      <c r="I30" s="265"/>
      <c r="V30" s="675"/>
      <c r="Y30" s="159"/>
    </row>
    <row r="31" spans="1:46" x14ac:dyDescent="0.25">
      <c r="I31" s="265"/>
      <c r="Y31" s="159"/>
    </row>
    <row r="32" spans="1:46" x14ac:dyDescent="0.25">
      <c r="I32" s="265"/>
      <c r="V32" s="675"/>
      <c r="Y32" s="159"/>
    </row>
    <row r="33" spans="3:40" x14ac:dyDescent="0.25">
      <c r="I33" s="265"/>
      <c r="Y33" s="159"/>
    </row>
    <row r="34" spans="3:40" x14ac:dyDescent="0.25">
      <c r="I34" s="265"/>
      <c r="Y34" s="159"/>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row r="38" spans="3:40" x14ac:dyDescent="0.25">
      <c r="C38"/>
      <c r="D38"/>
      <c r="G38"/>
      <c r="H38"/>
      <c r="I38" s="265"/>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4</v>
      </c>
      <c r="D3" s="488"/>
      <c r="E3" s="290">
        <v>42468</v>
      </c>
      <c r="F3" s="341">
        <f>PLANTILLA!Q5</f>
        <v>6</v>
      </c>
      <c r="G3" s="407">
        <f>(F3/7)^0.5</f>
        <v>0.92582009977255142</v>
      </c>
      <c r="H3" s="407">
        <f>IF(F3=7,1,((F3+0.99)/7)^0.5)</f>
        <v>0.99928545900129484</v>
      </c>
      <c r="I3" s="497">
        <v>1</v>
      </c>
      <c r="J3" s="498">
        <f>PLANTILLA!I5</f>
        <v>18.100000000000001</v>
      </c>
      <c r="K3" s="163">
        <f>PLANTILLA!X5</f>
        <v>16.666666666666668</v>
      </c>
      <c r="L3" s="163">
        <f>PLANTILLA!Y5</f>
        <v>11.832727272727276</v>
      </c>
      <c r="M3" s="163">
        <f>PLANTILLA!Z5</f>
        <v>2.0399999999999991</v>
      </c>
      <c r="N3" s="163">
        <f>PLANTILLA!AA5</f>
        <v>2.1399999999999992</v>
      </c>
      <c r="O3" s="163">
        <f>PLANTILLA!AB5</f>
        <v>1.0400000000000003</v>
      </c>
      <c r="P3" s="163">
        <f>PLANTILLA!AC5</f>
        <v>0.14055555555555557</v>
      </c>
      <c r="Q3" s="163">
        <f>PLANTILLA!AD5</f>
        <v>17.849999999999998</v>
      </c>
      <c r="R3" s="163">
        <f>((2*(O3+1))+(L3+1))/8</f>
        <v>2.1140909090909092</v>
      </c>
      <c r="S3" s="163">
        <f>1.66*(P3+(LOG(J3)*4/3)+I3)+0.55*(Q3+(LOG(J3)*4/3)+I3)-7.6</f>
        <v>8.3667817561700861</v>
      </c>
      <c r="T3" s="163">
        <f>(0.5*P3+ 0.3*Q3)/10</f>
        <v>0.54252777777777772</v>
      </c>
      <c r="U3" s="163">
        <f>(0.4*L3+0.3*Q3)/10</f>
        <v>1.008809090909091</v>
      </c>
      <c r="V3" s="163">
        <f ca="1">IF(TODAY()-E3&gt;335,(Q3+1+(LOG(J3)*4/3))*(F3/7)^0.5,(Q3+((TODAY()-E3)^0.5)/(336^0.5)+(LOG(J3)*4/3))*(F3/7)^0.5)</f>
        <v>19.00422101893551</v>
      </c>
      <c r="W3" s="163">
        <f ca="1">IF(F3=7,V3,IF(TODAY()-E3&gt;335,(Q3+1+(LOG(J3)*4/3))*((F3+0.99)/7)^0.5,(Q3+((TODAY()-E3)^0.5)/(336^0.5)+(LOG(J3)*4/3))*((F3+0.99)/7)^0.5))</f>
        <v>20.51223745146007</v>
      </c>
      <c r="X3" s="159">
        <f>((K3+I3+(LOG(J3)*4/3))*0.597)+((L3+I3+(LOG(J3)*4/3))*0.276)</f>
        <v>15.55277058842046</v>
      </c>
      <c r="Y3" s="159">
        <f>((K3+I3+(LOG(J3)*4/3))*0.866)+((L3+I3+(LOG(J3)*4/3))*0.425)</f>
        <v>22.918126477783918</v>
      </c>
      <c r="Z3" s="159">
        <f>X3</f>
        <v>15.55277058842046</v>
      </c>
      <c r="AA3" s="159">
        <f>((L3+I3+(LOG(J3)*4/3))*0.516)</f>
        <v>7.486970132237273</v>
      </c>
      <c r="AB3" s="159">
        <f>(L3+I3+(LOG(J3)*4/3))*1</f>
        <v>14.509632039219522</v>
      </c>
      <c r="AC3" s="159">
        <f>AA3/2</f>
        <v>3.7434850661186365</v>
      </c>
      <c r="AD3" s="159">
        <f>(M3+I3+(LOG(J3)*4/3))*0.238</f>
        <v>1.1226233344251544</v>
      </c>
      <c r="AE3" s="159">
        <f>((L3+I3+(LOG(J3)*4/3))*0.378)</f>
        <v>5.4846409108249796</v>
      </c>
      <c r="AF3" s="159">
        <f>(L3+I3+(LOG(J3)*4/3))*0.723</f>
        <v>10.490463964355714</v>
      </c>
      <c r="AG3" s="159">
        <f>AE3/2</f>
        <v>2.7423204554124898</v>
      </c>
      <c r="AH3" s="159">
        <f>(M3+I3+(LOG(J3)*4/3))*0.385</f>
        <v>1.8160083350995144</v>
      </c>
      <c r="AI3" s="159">
        <f>((L3+I3+(LOG(J3)*4/3))*0.92)</f>
        <v>13.348861476081961</v>
      </c>
      <c r="AJ3" s="159">
        <f>(L3+I3+(LOG(J3)*4/3))*0.414</f>
        <v>6.006987664236882</v>
      </c>
      <c r="AK3" s="159">
        <f>((M3+I3+(LOG(J3)*4/3))*0.167)</f>
        <v>0.78772309600420498</v>
      </c>
      <c r="AL3" s="159">
        <f>(N3+I3+(LOG(J3)*4/3))*0.588</f>
        <v>2.8323400026974399</v>
      </c>
      <c r="AM3" s="159">
        <f>((L3+I3+(LOG(J3)*4/3))*0.754)</f>
        <v>10.94026255757152</v>
      </c>
      <c r="AN3" s="159">
        <f>((L3+I3+(LOG(J3)*4/3))*0.708)</f>
        <v>10.272819483767421</v>
      </c>
      <c r="AO3" s="159">
        <f>((Q3+I3+(LOG(J3)*4/3))*0.167)</f>
        <v>3.4279930960042049</v>
      </c>
      <c r="AP3" s="159">
        <f>((R3+I3+(LOG(J3)*4/3))*0.288)</f>
        <v>1.3798067545679487</v>
      </c>
      <c r="AQ3" s="159">
        <f>((L3+I3+(LOG(J3)*4/3))*0.27)</f>
        <v>3.9176006505892711</v>
      </c>
      <c r="AR3" s="159">
        <f>((L3+I3+(LOG(J3)*4/3))*0.594)</f>
        <v>8.6187214312963949</v>
      </c>
      <c r="AS3" s="159">
        <f>AQ3/2</f>
        <v>1.9588003252946355</v>
      </c>
      <c r="AT3" s="159">
        <f>((M3+I3+(LOG(J3)*4/3))*0.944)</f>
        <v>4.4527580995686789</v>
      </c>
      <c r="AU3" s="159">
        <f>((O3+I3+(LOG(J3)*4/3))*0.13)</f>
        <v>0.48319761964399199</v>
      </c>
      <c r="AV3" s="159">
        <f>((P3+I3+(LOG(J3)*4/3))*0.173)+((O3+I3+(LOG(J3)*4/3))*0.12)</f>
        <v>0.93344920769333917</v>
      </c>
      <c r="AW3" s="159">
        <f>AU3/2</f>
        <v>0.241598809821996</v>
      </c>
      <c r="AX3" s="159">
        <f>((L3+I3+(LOG(J3)*4/3))*0.189)</f>
        <v>2.7423204554124898</v>
      </c>
      <c r="AY3" s="159">
        <f>((L3+I3+(LOG(J3)*4/3))*0.4)</f>
        <v>5.8038528156878089</v>
      </c>
      <c r="AZ3" s="159">
        <f>AX3/2</f>
        <v>1.3711602277062449</v>
      </c>
      <c r="BA3" s="159">
        <f>((M3+I3+(LOG(J3)*4/3))*1)</f>
        <v>4.7169047664922452</v>
      </c>
      <c r="BB3" s="159">
        <f>((O3+I3+(LOG(J3)*4/3))*0.253)</f>
        <v>0.94037690592253831</v>
      </c>
      <c r="BC3" s="159">
        <f>((P3+I3+(LOG(J3)*4/3))*0.21)+((O3+I3+(LOG(J3)*4/3))*0.341)</f>
        <v>1.8591311930038943</v>
      </c>
      <c r="BD3" s="159">
        <f>BB3/2</f>
        <v>0.47018845296126915</v>
      </c>
      <c r="BE3" s="159">
        <f>((L3+I3+(LOG(J3)*4/3))*0.291)</f>
        <v>4.2223029234128804</v>
      </c>
      <c r="BF3" s="159">
        <f>((L3+I3+(LOG(J3)*4/3))*0.348)</f>
        <v>5.0493519496483934</v>
      </c>
      <c r="BG3" s="159">
        <f>((M3+I3+(LOG(J3)*4/3))*0.881)</f>
        <v>4.1555930992796677</v>
      </c>
      <c r="BH3" s="159">
        <f>((N3+I3+(LOG(J3)*4/3))*0.574)+((O3+I3+(LOG(J3)*4/3))*0.315)</f>
        <v>3.9357283374116059</v>
      </c>
      <c r="BI3" s="159">
        <f>((O3+I3+(LOG(J3)*4/3))*0.241)</f>
        <v>0.89577404872463129</v>
      </c>
      <c r="BJ3" s="159">
        <f>((L3+I3+(LOG(J3)*4/3))*0.485)</f>
        <v>7.0371715390214682</v>
      </c>
      <c r="BK3" s="159">
        <f>((L3+I3+(LOG(J3)*4/3))*0.264)</f>
        <v>3.830542858353954</v>
      </c>
      <c r="BL3" s="159">
        <f>((M3+I3+(LOG(J3)*4/3))*0.381)</f>
        <v>1.7971407160335455</v>
      </c>
      <c r="BM3" s="159">
        <f>((N3+I3+(LOG(J3)*4/3))*0.673)+((O3+I3+(LOG(J3)*4/3))*0.201)</f>
        <v>3.9888747659142223</v>
      </c>
      <c r="BN3" s="159">
        <f>((O3+I3+(LOG(J3)*4/3))*0.052)</f>
        <v>0.19327904785759678</v>
      </c>
      <c r="BO3" s="159">
        <f>((L3+I3+(LOG(J3)*4/3))*0.18)</f>
        <v>2.6117337670595138</v>
      </c>
      <c r="BP3" s="159">
        <f>(L3+I3+(LOG(J3)*4/3))*0.068</f>
        <v>0.98665497866692753</v>
      </c>
      <c r="BQ3" s="159">
        <f>((M3+I3+(LOG(J3)*4/3))*0.305)</f>
        <v>1.4386559537801347</v>
      </c>
      <c r="BR3" s="159">
        <f>((N3+I3+(LOG(J3)*4/3))*1)+((O3+I3+(LOG(J3)*4/3))*0.286)</f>
        <v>5.8799395297090271</v>
      </c>
      <c r="BS3" s="159">
        <f>((O3+I3+(LOG(J3)*4/3))*0.135)</f>
        <v>0.50178214347645322</v>
      </c>
      <c r="BT3" s="159">
        <f>((L3+I3+(LOG(J3)*4/3))*0.284)</f>
        <v>4.1207354991383438</v>
      </c>
      <c r="BU3" s="159">
        <f>(L3+I3+(LOG(J3)*4/3))*0.244</f>
        <v>3.5403502175695634</v>
      </c>
      <c r="BV3" s="159">
        <f>((M3+I3+(LOG(J3)*4/3))*0.455)</f>
        <v>2.1461916687539717</v>
      </c>
      <c r="BW3" s="159">
        <f>((N3+I3+(LOG(J3)*4/3))*0.864)+((O3+I3+(LOG(J3)*4/3))*0.244)</f>
        <v>5.0687304812734073</v>
      </c>
      <c r="BX3" s="159">
        <f>((O3+I3+(LOG(J3)*4/3))*0.121)</f>
        <v>0.44974547674556176</v>
      </c>
      <c r="BY3" s="159">
        <f>((L3+I3+(LOG(J3)*4/3))*0.284)</f>
        <v>4.1207354991383438</v>
      </c>
      <c r="BZ3" s="159">
        <f>((L3+I3+(LOG(J3)*4/3))*0.244)</f>
        <v>3.5403502175695634</v>
      </c>
      <c r="CA3" s="159">
        <f>((M3+I3+(LOG(J3)*4/3))*0.631)</f>
        <v>2.9763669076566068</v>
      </c>
      <c r="CB3" s="159">
        <f>((N3+I3+(LOG(J3)*4/3))*0.702)+((O3+I3+(LOG(J3)*4/3))*0.193)</f>
        <v>4.0988297660105593</v>
      </c>
      <c r="CC3" s="159">
        <f>((O3+I3+(LOG(J3)*4/3))*0.148)</f>
        <v>0.55010190544085236</v>
      </c>
      <c r="CD3" s="159">
        <f>((M3+I3+(LOG(J3)*4/3))*0.406)</f>
        <v>1.9150633351958517</v>
      </c>
      <c r="CE3" s="159">
        <f>IF(D3="TEC",((N3+I3+(LOG(J3)*4/3))*0.15)+((O3+I3+(LOG(J3)*4/3))*0.324)+((P3+I3+(LOG(J3)*4/3))*0.127),(((N3+I3+(LOG(J3)*4/3))*0.144)+((O3+I3+(LOG(J3)*4/3))*0.25)+((P3+I3+(LOG(J3)*4/3))*0.127)))</f>
        <v>1.9806779388980156</v>
      </c>
      <c r="CF3" s="159">
        <f>((O3+I3+(LOG(J3)*4/3))*0.543)+((P3+I3+(LOG(J3)*4/3))*0.583)</f>
        <v>3.6608586559591574</v>
      </c>
      <c r="CG3" s="159">
        <f>CE3</f>
        <v>1.9806779388980156</v>
      </c>
      <c r="CH3" s="159">
        <f>((P3+1+(LOG(J3)*4/3))*0.26)+((N3+I3+(LOG(J3)*4/3))*0.221)+((O3+I3+(LOG(J3)*4/3))*0.142)</f>
        <v>2.3248761139691134</v>
      </c>
      <c r="CI3" s="159">
        <f>((P3+I3+(LOG(J3)*4/3))*1)+((O3+I3+(LOG(J3)*4/3))*0.369)</f>
        <v>4.1889981808834404</v>
      </c>
      <c r="CJ3" s="159">
        <f>CH3</f>
        <v>2.3248761139691134</v>
      </c>
      <c r="CK3" s="159">
        <f>((M3+I3+(LOG(J3)*4/3))*0.25)</f>
        <v>1.1792261916230613</v>
      </c>
    </row>
    <row r="4" spans="1:89" x14ac:dyDescent="0.25">
      <c r="A4" t="str">
        <f>PLANTILLA!D6</f>
        <v>T. Hammond</v>
      </c>
      <c r="B4" s="488">
        <f>PLANTILLA!E6</f>
        <v>34</v>
      </c>
      <c r="C4" s="488">
        <f ca="1">PLANTILLA!F6</f>
        <v>13</v>
      </c>
      <c r="D4" s="488" t="str">
        <f>PLANTILLA!G6</f>
        <v>CAB</v>
      </c>
      <c r="E4" s="290">
        <v>41400</v>
      </c>
      <c r="F4" s="341">
        <f>PLANTILLA!Q6</f>
        <v>5</v>
      </c>
      <c r="G4" s="407">
        <f t="shared" ref="G4:G5" si="0">(F4/7)^0.5</f>
        <v>0.84515425472851657</v>
      </c>
      <c r="H4" s="407">
        <f t="shared" ref="H4:H5" si="1">IF(F4=7,1,((F4+0.99)/7)^0.5)</f>
        <v>0.92504826128926143</v>
      </c>
      <c r="I4" s="497">
        <v>1.5</v>
      </c>
      <c r="J4" s="498">
        <f>PLANTILLA!I6</f>
        <v>7.8</v>
      </c>
      <c r="K4" s="163">
        <f>PLANTILLA!X6</f>
        <v>10.3</v>
      </c>
      <c r="L4" s="163">
        <f>PLANTILLA!Y6</f>
        <v>10.794999999999998</v>
      </c>
      <c r="M4" s="163">
        <f>PLANTILLA!Z6</f>
        <v>4.6300000000000008</v>
      </c>
      <c r="N4" s="163">
        <f>PLANTILLA!AA6</f>
        <v>4.95</v>
      </c>
      <c r="O4" s="163">
        <f>PLANTILLA!AB6</f>
        <v>6.5444444444444434</v>
      </c>
      <c r="P4" s="163">
        <f>PLANTILLA!AC6</f>
        <v>3.99</v>
      </c>
      <c r="Q4" s="163">
        <f>PLANTILLA!AD6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1.7420313539204459</v>
      </c>
      <c r="AE4" s="159">
        <f t="shared" ref="AE4:AE21" si="15">((L4+I4+(LOG(J4)*4/3))*0.378)</f>
        <v>5.0971256797560018</v>
      </c>
      <c r="AF4" s="159">
        <f t="shared" ref="AF4:AF21" si="16">(L4+I4+(LOG(J4)*4/3))*0.723</f>
        <v>9.7492641969936216</v>
      </c>
      <c r="AG4" s="159">
        <f t="shared" ref="AG4:AG21" si="17">AE4/2</f>
        <v>2.5485628398780009</v>
      </c>
      <c r="AH4" s="159">
        <f t="shared" ref="AH4:AH21" si="18">(M4+I4+(LOG(J4)*4/3))*0.385</f>
        <v>2.8179918960477801</v>
      </c>
      <c r="AI4" s="159">
        <f t="shared" ref="AI4:AI21" si="19">((L4+I4+(LOG(J4)*4/3))*0.92)</f>
        <v>12.405702712633655</v>
      </c>
      <c r="AJ4" s="159">
        <f t="shared" ref="AJ4:AJ21" si="20">(L4+I4+(LOG(J4)*4/3))*0.414</f>
        <v>5.5825662206851439</v>
      </c>
      <c r="AK4" s="159">
        <f t="shared" ref="AK4:AK21" si="21">((M4+I4+(LOG(J4)*4/3))*0.167)</f>
        <v>1.2223497315324139</v>
      </c>
      <c r="AL4" s="159">
        <f t="shared" ref="AL4:AL21" si="22">(N4+I4+(LOG(J4)*4/3))*0.588</f>
        <v>4.4920021685093365</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6.9095697399197515</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7.3194594702539746</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6.4484437932937517</v>
      </c>
      <c r="BH4" s="159">
        <f t="shared" ref="BH4:BH21" si="44">((N4+I4+(LOG(J4)*4/3))*0.574)+((O4+I4+(LOG(J4)*4/3))*0.315)</f>
        <v>7.2937294690557817</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2.7887140581667644</v>
      </c>
      <c r="BM4" s="159">
        <f t="shared" ref="BM4:BM21" si="49">((N4+I4+(LOG(J4)*4/3))*0.673)+((O4+I4+(LOG(J4)*4/3))*0.201)</f>
        <v>6.9973709103353068</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2.2324351384274621</v>
      </c>
      <c r="BR4" s="159">
        <f t="shared" ref="BR4:BR21" si="54">((N4+I4+(LOG(J4)*4/3))*1)+((O4+I4+(LOG(J4)*4/3))*0.286)</f>
        <v>10.280355989857721</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3.3303540589655585</v>
      </c>
      <c r="BW4" s="159">
        <f t="shared" ref="BW4:BW21" si="59">((N4+I4+(LOG(J4)*4/3))*0.864)+((O4+I4+(LOG(J4)*4/3))*0.244)</f>
        <v>8.8535655374858475</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4.6185789257302581</v>
      </c>
      <c r="CB4" s="159">
        <f t="shared" ref="CB4:CB21" si="64">((N4+I4+(LOG(J4)*4/3))*0.702)+((O4+I4+(LOG(J4)*4/3))*0.193)</f>
        <v>7.1450440036550837</v>
      </c>
      <c r="CC4" s="159">
        <f t="shared" ref="CC4:CC21" si="65">((O4+I4+(LOG(J4)*4/3))*0.148)</f>
        <v>1.3666177793753658</v>
      </c>
      <c r="CD4" s="159">
        <f t="shared" ref="CD4:CD21" si="66">((M4+I4+(LOG(J4)*4/3))*0.406)</f>
        <v>2.971700544923114</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1.8298648675634936</v>
      </c>
    </row>
    <row r="5" spans="1:89" x14ac:dyDescent="0.25">
      <c r="A5" t="str">
        <f>PLANTILLA!D8</f>
        <v>D. Toh</v>
      </c>
      <c r="B5" s="488">
        <f>PLANTILLA!E8</f>
        <v>31</v>
      </c>
      <c r="C5" s="488">
        <f ca="1">PLANTILLA!F8</f>
        <v>61</v>
      </c>
      <c r="D5" s="488" t="str">
        <f>PLANTILLA!G8</f>
        <v>CAB</v>
      </c>
      <c r="E5" s="290">
        <v>41519</v>
      </c>
      <c r="F5" s="341">
        <f>PLANTILLA!Q8</f>
        <v>4</v>
      </c>
      <c r="G5" s="407">
        <f t="shared" si="0"/>
        <v>0.7559289460184544</v>
      </c>
      <c r="H5" s="407">
        <f t="shared" si="1"/>
        <v>0.84430867747355465</v>
      </c>
      <c r="I5" s="497">
        <v>1.5</v>
      </c>
      <c r="J5" s="498">
        <f>PLANTILLA!I8</f>
        <v>7.5</v>
      </c>
      <c r="K5" s="163">
        <f>PLANTILLA!X8</f>
        <v>0</v>
      </c>
      <c r="L5" s="163">
        <f>PLANTILLA!Y8</f>
        <v>11</v>
      </c>
      <c r="M5" s="163">
        <f>PLANTILLA!Z8</f>
        <v>6.1894444444444412</v>
      </c>
      <c r="N5" s="163">
        <f>PLANTILLA!AA8</f>
        <v>6.04</v>
      </c>
      <c r="O5" s="163">
        <f>PLANTILLA!AB8</f>
        <v>7.7227777777777789</v>
      </c>
      <c r="P5" s="163">
        <f>PLANTILLA!AC8</f>
        <v>4.383333333333332</v>
      </c>
      <c r="Q5" s="163">
        <f>PLANTILLA!AD8</f>
        <v>15.349999999999998</v>
      </c>
      <c r="R5" s="163">
        <f t="shared" si="2"/>
        <v>3.6806944444444447</v>
      </c>
      <c r="S5" s="163">
        <f t="shared" si="3"/>
        <v>14.01234718946087</v>
      </c>
      <c r="T5" s="163">
        <f t="shared" si="4"/>
        <v>0.67966666666666653</v>
      </c>
      <c r="U5" s="163">
        <f t="shared" si="5"/>
        <v>0.90049999999999986</v>
      </c>
      <c r="V5" s="163">
        <f t="shared" ca="1" si="6"/>
        <v>13.241417118784748</v>
      </c>
      <c r="W5" s="163">
        <f t="shared" ca="1" si="7"/>
        <v>14.789542634029395</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2.1077738853607428</v>
      </c>
      <c r="AE5" s="159">
        <f t="shared" si="15"/>
        <v>5.1660308767494172</v>
      </c>
      <c r="AF5" s="159">
        <f t="shared" si="16"/>
        <v>9.8810590579095994</v>
      </c>
      <c r="AG5" s="159">
        <f t="shared" si="17"/>
        <v>2.5830154383747086</v>
      </c>
      <c r="AH5" s="159">
        <f t="shared" si="18"/>
        <v>3.409634226318849</v>
      </c>
      <c r="AI5" s="159">
        <f t="shared" si="19"/>
        <v>12.57340848309382</v>
      </c>
      <c r="AJ5" s="159">
        <f t="shared" si="20"/>
        <v>5.6580338173922184</v>
      </c>
      <c r="AK5" s="159">
        <f t="shared" si="21"/>
        <v>1.4789841968707735</v>
      </c>
      <c r="AL5" s="159">
        <f t="shared" si="22"/>
        <v>5.1195680304990923</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8.3602459990779057</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8.8561927956333744</v>
      </c>
      <c r="BB5" s="159">
        <f t="shared" si="38"/>
        <v>2.6285501106285785</v>
      </c>
      <c r="BC5" s="159">
        <f t="shared" si="39"/>
        <v>5.0233455637273252</v>
      </c>
      <c r="BD5" s="159">
        <f t="shared" si="40"/>
        <v>1.3142750553142892</v>
      </c>
      <c r="BE5" s="159">
        <f t="shared" si="41"/>
        <v>3.9770237701959794</v>
      </c>
      <c r="BF5" s="159">
        <f t="shared" si="42"/>
        <v>4.7560284262137484</v>
      </c>
      <c r="BG5" s="159">
        <f t="shared" si="43"/>
        <v>7.8023058529530029</v>
      </c>
      <c r="BH5" s="159">
        <f t="shared" si="44"/>
        <v>8.2703742842069623</v>
      </c>
      <c r="BI5" s="159">
        <f t="shared" si="45"/>
        <v>2.5038757970809775</v>
      </c>
      <c r="BJ5" s="159">
        <f t="shared" si="46"/>
        <v>6.6283729503266331</v>
      </c>
      <c r="BK5" s="159">
        <f t="shared" si="47"/>
        <v>3.6080215647138787</v>
      </c>
      <c r="BL5" s="159">
        <f t="shared" si="48"/>
        <v>3.3742094551363158</v>
      </c>
      <c r="BM5" s="159">
        <f t="shared" si="49"/>
        <v>7.947936392272462</v>
      </c>
      <c r="BN5" s="159">
        <f t="shared" si="50"/>
        <v>0.54025535870626906</v>
      </c>
      <c r="BO5" s="159">
        <f t="shared" si="51"/>
        <v>2.4600147032140081</v>
      </c>
      <c r="BP5" s="159">
        <f t="shared" si="52"/>
        <v>0.92933888788084762</v>
      </c>
      <c r="BQ5" s="159">
        <f t="shared" si="53"/>
        <v>2.7011388026681793</v>
      </c>
      <c r="BR5" s="159">
        <f t="shared" si="54"/>
        <v>11.678152824073413</v>
      </c>
      <c r="BS5" s="159">
        <f t="shared" si="55"/>
        <v>1.4025860274105064</v>
      </c>
      <c r="BT5" s="159">
        <f t="shared" si="56"/>
        <v>3.8813565317376568</v>
      </c>
      <c r="BU5" s="159">
        <f t="shared" si="57"/>
        <v>3.3346865976900997</v>
      </c>
      <c r="BV5" s="159">
        <f t="shared" si="58"/>
        <v>4.0295677220131854</v>
      </c>
      <c r="BW5" s="159">
        <f t="shared" si="59"/>
        <v>10.057674950895116</v>
      </c>
      <c r="BX5" s="159">
        <f t="shared" si="60"/>
        <v>1.2571326616049723</v>
      </c>
      <c r="BY5" s="159">
        <f t="shared" si="61"/>
        <v>3.8813565317376568</v>
      </c>
      <c r="BZ5" s="159">
        <f t="shared" si="62"/>
        <v>3.3346865976900997</v>
      </c>
      <c r="CA5" s="159">
        <f t="shared" si="63"/>
        <v>5.5882576540446589</v>
      </c>
      <c r="CB5" s="159">
        <f t="shared" si="64"/>
        <v>8.1173158854252065</v>
      </c>
      <c r="CC5" s="159">
        <f t="shared" si="65"/>
        <v>1.5376498670870735</v>
      </c>
      <c r="CD5" s="159">
        <f t="shared" si="66"/>
        <v>3.5956142750271503</v>
      </c>
      <c r="CE5" s="159">
        <f t="shared" si="67"/>
        <v>4.7465136687472125</v>
      </c>
      <c r="CF5" s="159">
        <f t="shared" si="68"/>
        <v>9.7517103101054055</v>
      </c>
      <c r="CG5" s="159">
        <f t="shared" si="69"/>
        <v>4.7465136687472125</v>
      </c>
      <c r="CH5" s="159">
        <f t="shared" si="70"/>
        <v>5.1025253339018164</v>
      </c>
      <c r="CI5" s="159">
        <f t="shared" si="71"/>
        <v>10.883816826110982</v>
      </c>
      <c r="CJ5" s="159">
        <f t="shared" si="72"/>
        <v>5.1025253339018164</v>
      </c>
      <c r="CK5" s="159">
        <f t="shared" si="73"/>
        <v>2.2140481989083436</v>
      </c>
    </row>
    <row r="6" spans="1:89" x14ac:dyDescent="0.25">
      <c r="A6" t="str">
        <f>PLANTILLA!D9</f>
        <v>E. Toney</v>
      </c>
      <c r="B6" s="488">
        <f>PLANTILLA!E9</f>
        <v>31</v>
      </c>
      <c r="C6" s="488">
        <f ca="1">PLANTILLA!F9</f>
        <v>15</v>
      </c>
      <c r="D6" s="488"/>
      <c r="E6" s="290">
        <v>41539</v>
      </c>
      <c r="F6" s="341">
        <f>PLANTILLA!Q9</f>
        <v>5</v>
      </c>
      <c r="G6" s="407">
        <f t="shared" ref="G6:G10" si="74">(F6/7)^0.5</f>
        <v>0.84515425472851657</v>
      </c>
      <c r="H6" s="407">
        <f>IF(F6=7,1,((F6+0.99)/7)^0.5)</f>
        <v>0.92504826128926143</v>
      </c>
      <c r="I6" s="497">
        <v>1.5</v>
      </c>
      <c r="J6" s="498">
        <f>PLANTILLA!I9</f>
        <v>12.2</v>
      </c>
      <c r="K6" s="163">
        <f>PLANTILLA!X9</f>
        <v>0</v>
      </c>
      <c r="L6" s="163">
        <f>PLANTILLA!Y9</f>
        <v>12.060000000000004</v>
      </c>
      <c r="M6" s="163">
        <f>PLANTILLA!Z9</f>
        <v>13.116555555555554</v>
      </c>
      <c r="N6" s="163">
        <f>PLANTILLA!AA9</f>
        <v>9.8200000000000056</v>
      </c>
      <c r="O6" s="163">
        <f>PLANTILLA!AB9</f>
        <v>9.6</v>
      </c>
      <c r="P6" s="163">
        <f>PLANTILLA!AC9</f>
        <v>3.6816666666666658</v>
      </c>
      <c r="Q6" s="163">
        <f>PLANTILLA!AD9</f>
        <v>16.627777777777773</v>
      </c>
      <c r="R6" s="163">
        <f t="shared" si="2"/>
        <v>4.2825000000000006</v>
      </c>
      <c r="S6" s="163">
        <f t="shared" si="3"/>
        <v>14.172984745499365</v>
      </c>
      <c r="T6" s="163">
        <f t="shared" si="4"/>
        <v>0.68291666666666639</v>
      </c>
      <c r="U6" s="163">
        <f t="shared" si="5"/>
        <v>0.98123333333333329</v>
      </c>
      <c r="V6" s="163">
        <f t="shared" ca="1" si="6"/>
        <v>16.122380234378898</v>
      </c>
      <c r="W6" s="163">
        <f t="shared" ca="1" si="7"/>
        <v>17.646458880393705</v>
      </c>
      <c r="X6" s="159">
        <f t="shared" si="8"/>
        <v>5.9025828429054084</v>
      </c>
      <c r="Y6" s="159">
        <f t="shared" si="9"/>
        <v>8.931987388534802</v>
      </c>
      <c r="Z6" s="159">
        <f t="shared" si="10"/>
        <v>5.9025828429054084</v>
      </c>
      <c r="AA6" s="159">
        <f t="shared" si="11"/>
        <v>7.7443755635042297</v>
      </c>
      <c r="AB6" s="159">
        <f t="shared" si="12"/>
        <v>15.008479774233003</v>
      </c>
      <c r="AC6" s="159">
        <f t="shared" si="13"/>
        <v>3.8721877817521149</v>
      </c>
      <c r="AD6" s="159">
        <f t="shared" si="14"/>
        <v>3.8234784084896747</v>
      </c>
      <c r="AE6" s="159">
        <f t="shared" si="15"/>
        <v>5.6732053546600749</v>
      </c>
      <c r="AF6" s="159">
        <f t="shared" si="16"/>
        <v>10.85113087677046</v>
      </c>
      <c r="AG6" s="159">
        <f t="shared" si="17"/>
        <v>2.8366026773300375</v>
      </c>
      <c r="AH6" s="159">
        <f t="shared" si="18"/>
        <v>6.1850386019685919</v>
      </c>
      <c r="AI6" s="159">
        <f t="shared" si="19"/>
        <v>13.807801392294364</v>
      </c>
      <c r="AJ6" s="159">
        <f t="shared" si="20"/>
        <v>6.2135106265324627</v>
      </c>
      <c r="AK6" s="159">
        <f t="shared" si="21"/>
        <v>2.6828609000746879</v>
      </c>
      <c r="AL6" s="159">
        <f t="shared" si="22"/>
        <v>7.507866107249006</v>
      </c>
      <c r="AM6" s="159">
        <f t="shared" si="23"/>
        <v>11.316393749771684</v>
      </c>
      <c r="AN6" s="159">
        <f t="shared" si="24"/>
        <v>10.626003680156964</v>
      </c>
      <c r="AO6" s="159">
        <f t="shared" si="25"/>
        <v>3.2692350111857986</v>
      </c>
      <c r="AP6" s="159">
        <f t="shared" si="26"/>
        <v>2.0825221749791032</v>
      </c>
      <c r="AQ6" s="159">
        <f t="shared" si="27"/>
        <v>4.0522895390429108</v>
      </c>
      <c r="AR6" s="159">
        <f t="shared" si="28"/>
        <v>8.9150369858944032</v>
      </c>
      <c r="AS6" s="159">
        <f t="shared" si="29"/>
        <v>2.0261447695214554</v>
      </c>
      <c r="AT6" s="159">
        <f t="shared" si="30"/>
        <v>15.165393351320391</v>
      </c>
      <c r="AU6" s="159">
        <f t="shared" si="31"/>
        <v>1.6313023706502898</v>
      </c>
      <c r="AV6" s="159">
        <f t="shared" si="32"/>
        <v>2.6528329071836012</v>
      </c>
      <c r="AW6" s="159">
        <f t="shared" si="33"/>
        <v>0.81565118532514491</v>
      </c>
      <c r="AX6" s="159">
        <f t="shared" si="34"/>
        <v>2.8366026773300375</v>
      </c>
      <c r="AY6" s="159">
        <f t="shared" si="35"/>
        <v>6.0033919096932014</v>
      </c>
      <c r="AZ6" s="159">
        <f t="shared" si="36"/>
        <v>1.4183013386650187</v>
      </c>
      <c r="BA6" s="159">
        <f t="shared" si="37"/>
        <v>16.06503532978855</v>
      </c>
      <c r="BB6" s="159">
        <f t="shared" si="38"/>
        <v>3.1747653828809486</v>
      </c>
      <c r="BC6" s="159">
        <f t="shared" si="39"/>
        <v>5.6713623556023816</v>
      </c>
      <c r="BD6" s="159">
        <f t="shared" si="40"/>
        <v>1.5873826914404743</v>
      </c>
      <c r="BE6" s="159">
        <f t="shared" si="41"/>
        <v>4.3674676143018036</v>
      </c>
      <c r="BF6" s="159">
        <f t="shared" si="42"/>
        <v>5.2229509614330842</v>
      </c>
      <c r="BG6" s="159">
        <f t="shared" si="43"/>
        <v>14.153296125543713</v>
      </c>
      <c r="BH6" s="159">
        <f t="shared" si="44"/>
        <v>11.281878519293139</v>
      </c>
      <c r="BI6" s="159">
        <f t="shared" si="45"/>
        <v>3.0241836255901524</v>
      </c>
      <c r="BJ6" s="159">
        <f t="shared" si="46"/>
        <v>7.2791126905030064</v>
      </c>
      <c r="BK6" s="159">
        <f t="shared" si="47"/>
        <v>3.9622386603975128</v>
      </c>
      <c r="BL6" s="159">
        <f t="shared" si="48"/>
        <v>6.1207784606494373</v>
      </c>
      <c r="BM6" s="159">
        <f t="shared" si="49"/>
        <v>11.115431322679644</v>
      </c>
      <c r="BN6" s="159">
        <f t="shared" si="50"/>
        <v>0.65252094826011586</v>
      </c>
      <c r="BO6" s="159">
        <f t="shared" si="51"/>
        <v>2.7015263593619405</v>
      </c>
      <c r="BP6" s="159">
        <f t="shared" si="52"/>
        <v>1.0205766246478443</v>
      </c>
      <c r="BQ6" s="159">
        <f t="shared" si="53"/>
        <v>4.8998357755855073</v>
      </c>
      <c r="BR6" s="159">
        <f t="shared" si="54"/>
        <v>16.357344989663641</v>
      </c>
      <c r="BS6" s="159">
        <f t="shared" si="55"/>
        <v>1.6940447695214549</v>
      </c>
      <c r="BT6" s="159">
        <f t="shared" si="56"/>
        <v>4.2624082558821721</v>
      </c>
      <c r="BU6" s="159">
        <f t="shared" si="57"/>
        <v>3.6620690649128527</v>
      </c>
      <c r="BV6" s="159">
        <f t="shared" si="58"/>
        <v>7.3095910750537909</v>
      </c>
      <c r="BW6" s="159">
        <f t="shared" si="59"/>
        <v>14.093795589850167</v>
      </c>
      <c r="BX6" s="159">
        <f t="shared" si="60"/>
        <v>1.5183660526821927</v>
      </c>
      <c r="BY6" s="159">
        <f t="shared" si="61"/>
        <v>4.2624082558821721</v>
      </c>
      <c r="BZ6" s="159">
        <f t="shared" si="62"/>
        <v>3.6620690649128527</v>
      </c>
      <c r="CA6" s="159">
        <f t="shared" si="63"/>
        <v>10.137037293096576</v>
      </c>
      <c r="CB6" s="159">
        <f t="shared" si="64"/>
        <v>11.385329397938536</v>
      </c>
      <c r="CC6" s="159">
        <f t="shared" si="65"/>
        <v>1.8571750065864836</v>
      </c>
      <c r="CD6" s="159">
        <f t="shared" si="66"/>
        <v>6.5224043438941521</v>
      </c>
      <c r="CE6" s="159">
        <f t="shared" si="67"/>
        <v>5.8178096290420598</v>
      </c>
      <c r="CF6" s="159">
        <f t="shared" si="68"/>
        <v>10.679199892453022</v>
      </c>
      <c r="CG6" s="159">
        <f t="shared" si="69"/>
        <v>5.8178096290420598</v>
      </c>
      <c r="CH6" s="159">
        <f t="shared" si="70"/>
        <v>6.1975562326804923</v>
      </c>
      <c r="CI6" s="159">
        <f t="shared" si="71"/>
        <v>11.26053547759164</v>
      </c>
      <c r="CJ6" s="159">
        <f t="shared" si="72"/>
        <v>6.1975562326804923</v>
      </c>
      <c r="CK6" s="159">
        <f t="shared" si="73"/>
        <v>4.0162588324471376</v>
      </c>
    </row>
    <row r="7" spans="1:89" x14ac:dyDescent="0.25">
      <c r="A7" t="str">
        <f>PLANTILLA!D10</f>
        <v>B. Bartolache</v>
      </c>
      <c r="B7" s="488">
        <f>PLANTILLA!E10</f>
        <v>30</v>
      </c>
      <c r="C7" s="488">
        <f ca="1">PLANTILLA!F10</f>
        <v>112</v>
      </c>
      <c r="D7" s="488"/>
      <c r="E7" s="290">
        <v>41527</v>
      </c>
      <c r="F7" s="341">
        <f>PLANTILLA!Q10</f>
        <v>7</v>
      </c>
      <c r="G7" s="407">
        <f t="shared" si="74"/>
        <v>1</v>
      </c>
      <c r="H7" s="407">
        <f t="shared" ref="H7:H21" si="75">IF(F7=7,1,((F7+0.99)/7)^0.5)</f>
        <v>1</v>
      </c>
      <c r="I7" s="497">
        <v>1.5</v>
      </c>
      <c r="J7" s="498">
        <f>PLANTILLA!I10</f>
        <v>9.3000000000000007</v>
      </c>
      <c r="K7" s="163">
        <f>PLANTILLA!X10</f>
        <v>0</v>
      </c>
      <c r="L7" s="163">
        <f>PLANTILLA!Y10</f>
        <v>11.649999999999997</v>
      </c>
      <c r="M7" s="163">
        <f>PLANTILLA!Z10</f>
        <v>6.700000000000002</v>
      </c>
      <c r="N7" s="163">
        <f>PLANTILLA!AA10</f>
        <v>7.4300000000000015</v>
      </c>
      <c r="O7" s="163">
        <f>PLANTILLA!AB10</f>
        <v>9.0199999999999978</v>
      </c>
      <c r="P7" s="163">
        <f>PLANTILLA!AC10</f>
        <v>4.6199999999999966</v>
      </c>
      <c r="Q7" s="163">
        <f>PLANTILLA!AD10</f>
        <v>15.6</v>
      </c>
      <c r="R7" s="163">
        <f t="shared" si="2"/>
        <v>4.0862499999999988</v>
      </c>
      <c r="S7" s="163">
        <f t="shared" si="3"/>
        <v>14.817996421738927</v>
      </c>
      <c r="T7" s="163">
        <f t="shared" si="4"/>
        <v>0.69899999999999984</v>
      </c>
      <c r="U7" s="163">
        <f t="shared" si="5"/>
        <v>0.93399999999999994</v>
      </c>
      <c r="V7" s="163">
        <f t="shared" ca="1" si="6"/>
        <v>17.891310598071914</v>
      </c>
      <c r="W7" s="163">
        <f t="shared" ca="1" si="7"/>
        <v>17.891310598071914</v>
      </c>
      <c r="X7" s="159">
        <f t="shared" si="8"/>
        <v>5.6522141521167795</v>
      </c>
      <c r="Y7" s="159">
        <f t="shared" si="9"/>
        <v>8.554831982110839</v>
      </c>
      <c r="Z7" s="159">
        <f t="shared" si="10"/>
        <v>5.6522141521167795</v>
      </c>
      <c r="AA7" s="159">
        <f t="shared" si="11"/>
        <v>7.4517162686051055</v>
      </c>
      <c r="AB7" s="159">
        <f t="shared" si="12"/>
        <v>14.44131059807191</v>
      </c>
      <c r="AC7" s="159">
        <f t="shared" si="13"/>
        <v>3.7258581343025527</v>
      </c>
      <c r="AD7" s="159">
        <f t="shared" si="14"/>
        <v>2.2589319223411159</v>
      </c>
      <c r="AE7" s="159">
        <f t="shared" si="15"/>
        <v>5.4588154060711815</v>
      </c>
      <c r="AF7" s="159">
        <f t="shared" si="16"/>
        <v>10.441067562405991</v>
      </c>
      <c r="AG7" s="159">
        <f t="shared" si="17"/>
        <v>2.7294077030355908</v>
      </c>
      <c r="AH7" s="159">
        <f t="shared" si="18"/>
        <v>3.6541545802576878</v>
      </c>
      <c r="AI7" s="159">
        <f t="shared" si="19"/>
        <v>13.286005750226158</v>
      </c>
      <c r="AJ7" s="159">
        <f t="shared" si="20"/>
        <v>5.9787025876017701</v>
      </c>
      <c r="AK7" s="159">
        <f t="shared" si="21"/>
        <v>1.5850488698780101</v>
      </c>
      <c r="AL7" s="159">
        <f t="shared" si="22"/>
        <v>6.0101306316662857</v>
      </c>
      <c r="AM7" s="159">
        <f t="shared" si="23"/>
        <v>10.88874819094622</v>
      </c>
      <c r="AN7" s="159">
        <f t="shared" si="24"/>
        <v>10.224447903434912</v>
      </c>
      <c r="AO7" s="159">
        <f t="shared" si="25"/>
        <v>3.07134886987801</v>
      </c>
      <c r="AP7" s="159">
        <f t="shared" si="26"/>
        <v>1.9807374522447108</v>
      </c>
      <c r="AQ7" s="159">
        <f t="shared" si="27"/>
        <v>3.8991538614794159</v>
      </c>
      <c r="AR7" s="159">
        <f t="shared" si="28"/>
        <v>8.5781384952547146</v>
      </c>
      <c r="AS7" s="159">
        <f t="shared" si="29"/>
        <v>1.9495769307397079</v>
      </c>
      <c r="AT7" s="159">
        <f t="shared" si="30"/>
        <v>8.9597972045798873</v>
      </c>
      <c r="AU7" s="159">
        <f t="shared" si="31"/>
        <v>1.5354703777493484</v>
      </c>
      <c r="AV7" s="159">
        <f t="shared" si="32"/>
        <v>2.6995140052350699</v>
      </c>
      <c r="AW7" s="159">
        <f t="shared" si="33"/>
        <v>0.76773518887467418</v>
      </c>
      <c r="AX7" s="159">
        <f t="shared" si="34"/>
        <v>2.7294077030355908</v>
      </c>
      <c r="AY7" s="159">
        <f t="shared" si="35"/>
        <v>5.7765242392287641</v>
      </c>
      <c r="AZ7" s="159">
        <f t="shared" si="36"/>
        <v>1.3647038515177954</v>
      </c>
      <c r="BA7" s="159">
        <f t="shared" si="37"/>
        <v>9.4913105980719159</v>
      </c>
      <c r="BB7" s="159">
        <f t="shared" si="38"/>
        <v>2.9882615813121935</v>
      </c>
      <c r="BC7" s="159">
        <f t="shared" si="39"/>
        <v>5.5840321395376229</v>
      </c>
      <c r="BD7" s="159">
        <f t="shared" si="40"/>
        <v>1.4941307906560968</v>
      </c>
      <c r="BE7" s="159">
        <f t="shared" si="41"/>
        <v>4.2024213840389253</v>
      </c>
      <c r="BF7" s="159">
        <f t="shared" si="42"/>
        <v>5.0255760881290241</v>
      </c>
      <c r="BG7" s="159">
        <f t="shared" si="43"/>
        <v>8.3618446369013579</v>
      </c>
      <c r="BH7" s="159">
        <f t="shared" si="44"/>
        <v>9.587595121685931</v>
      </c>
      <c r="BI7" s="159">
        <f t="shared" si="45"/>
        <v>2.8465258541353302</v>
      </c>
      <c r="BJ7" s="159">
        <f t="shared" si="46"/>
        <v>7.0040356400648758</v>
      </c>
      <c r="BK7" s="159">
        <f t="shared" si="47"/>
        <v>3.8125059978909843</v>
      </c>
      <c r="BL7" s="159">
        <f t="shared" si="48"/>
        <v>3.6161893378654</v>
      </c>
      <c r="BM7" s="159">
        <f t="shared" si="49"/>
        <v>9.2530154627148526</v>
      </c>
      <c r="BN7" s="159">
        <f t="shared" si="50"/>
        <v>0.61418815109973934</v>
      </c>
      <c r="BO7" s="159">
        <f t="shared" si="51"/>
        <v>2.5994359076529436</v>
      </c>
      <c r="BP7" s="159">
        <f t="shared" si="52"/>
        <v>0.9820091206688899</v>
      </c>
      <c r="BQ7" s="159">
        <f t="shared" si="53"/>
        <v>2.8948497324119344</v>
      </c>
      <c r="BR7" s="159">
        <f t="shared" si="54"/>
        <v>13.599345429120481</v>
      </c>
      <c r="BS7" s="159">
        <f t="shared" si="55"/>
        <v>1.5945269307397081</v>
      </c>
      <c r="BT7" s="159">
        <f t="shared" si="56"/>
        <v>4.1013322098524219</v>
      </c>
      <c r="BU7" s="159">
        <f t="shared" si="57"/>
        <v>3.5236797859295459</v>
      </c>
      <c r="BV7" s="159">
        <f t="shared" si="58"/>
        <v>4.3185463221227218</v>
      </c>
      <c r="BW7" s="159">
        <f t="shared" si="59"/>
        <v>11.71317214266368</v>
      </c>
      <c r="BX7" s="159">
        <f t="shared" si="60"/>
        <v>1.4291685823667011</v>
      </c>
      <c r="BY7" s="159">
        <f t="shared" si="61"/>
        <v>4.1013322098524219</v>
      </c>
      <c r="BZ7" s="159">
        <f t="shared" si="62"/>
        <v>3.5236797859295459</v>
      </c>
      <c r="CA7" s="159">
        <f t="shared" si="63"/>
        <v>5.989016987383379</v>
      </c>
      <c r="CB7" s="159">
        <f t="shared" si="64"/>
        <v>9.4549429852743625</v>
      </c>
      <c r="CC7" s="159">
        <f t="shared" si="65"/>
        <v>1.7480739685146427</v>
      </c>
      <c r="CD7" s="159">
        <f t="shared" si="66"/>
        <v>3.8534721028171983</v>
      </c>
      <c r="CE7" s="159">
        <f t="shared" si="67"/>
        <v>5.3659328215954654</v>
      </c>
      <c r="CF7" s="159">
        <f t="shared" si="68"/>
        <v>10.734335733428971</v>
      </c>
      <c r="CG7" s="159">
        <f t="shared" si="69"/>
        <v>5.3659328215954654</v>
      </c>
      <c r="CH7" s="159">
        <f t="shared" si="70"/>
        <v>5.7330565025988012</v>
      </c>
      <c r="CI7" s="159">
        <f t="shared" si="71"/>
        <v>11.769684208760445</v>
      </c>
      <c r="CJ7" s="159">
        <f t="shared" si="72"/>
        <v>5.7330565025988012</v>
      </c>
      <c r="CK7" s="159">
        <f t="shared" si="73"/>
        <v>2.372827649517979</v>
      </c>
    </row>
    <row r="8" spans="1:89" x14ac:dyDescent="0.25">
      <c r="A8" t="str">
        <f>PLANTILLA!D11</f>
        <v>F. Lasprilla</v>
      </c>
      <c r="B8" s="488">
        <f>PLANTILLA!E11</f>
        <v>27</v>
      </c>
      <c r="C8" s="488">
        <f ca="1">PLANTILLA!F11</f>
        <v>23</v>
      </c>
      <c r="D8" s="488"/>
      <c r="E8" s="290">
        <v>42106</v>
      </c>
      <c r="F8" s="341">
        <f>PLANTILLA!Q11</f>
        <v>6</v>
      </c>
      <c r="G8" s="407">
        <f t="shared" si="74"/>
        <v>0.92582009977255142</v>
      </c>
      <c r="H8" s="407">
        <f t="shared" si="75"/>
        <v>0.99928545900129484</v>
      </c>
      <c r="I8" s="497">
        <v>1.5</v>
      </c>
      <c r="J8" s="498">
        <f>PLANTILLA!I11</f>
        <v>4.9000000000000004</v>
      </c>
      <c r="K8" s="163">
        <f>PLANTILLA!X11</f>
        <v>0</v>
      </c>
      <c r="L8" s="163">
        <f>PLANTILLA!Y11</f>
        <v>9.5796666666666663</v>
      </c>
      <c r="M8" s="163">
        <f>PLANTILLA!Z11</f>
        <v>7.7407222222222227</v>
      </c>
      <c r="N8" s="163">
        <f>PLANTILLA!AA11</f>
        <v>6.1499999999999986</v>
      </c>
      <c r="O8" s="163">
        <f>PLANTILLA!AB11</f>
        <v>8.8633333333333315</v>
      </c>
      <c r="P8" s="163">
        <f>PLANTILLA!AC11</f>
        <v>3.2566666666666673</v>
      </c>
      <c r="Q8" s="163">
        <f>PLANTILLA!AD11</f>
        <v>13.238888888888889</v>
      </c>
      <c r="R8" s="163">
        <f t="shared" si="2"/>
        <v>3.7882916666666659</v>
      </c>
      <c r="S8" s="163">
        <f t="shared" si="3"/>
        <v>10.436233338039576</v>
      </c>
      <c r="T8" s="163">
        <f t="shared" si="4"/>
        <v>0.56000000000000005</v>
      </c>
      <c r="U8" s="163">
        <f t="shared" si="5"/>
        <v>0.78035333333333334</v>
      </c>
      <c r="V8" s="163">
        <f t="shared" ca="1" si="6"/>
        <v>14.034646069994215</v>
      </c>
      <c r="W8" s="163">
        <f t="shared" ca="1" si="7"/>
        <v>15.148318494511354</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2.4183141116179372</v>
      </c>
      <c r="AE8" s="159">
        <f t="shared" si="15"/>
        <v>4.5359728243343707</v>
      </c>
      <c r="AF8" s="159">
        <f t="shared" si="16"/>
        <v>8.6759480211474873</v>
      </c>
      <c r="AG8" s="159">
        <f t="shared" si="17"/>
        <v>2.2679864121671853</v>
      </c>
      <c r="AH8" s="159">
        <f t="shared" si="18"/>
        <v>3.9119787099701928</v>
      </c>
      <c r="AI8" s="159">
        <f t="shared" si="19"/>
        <v>11.039933858168311</v>
      </c>
      <c r="AJ8" s="159">
        <f t="shared" si="20"/>
        <v>4.9679702361757396</v>
      </c>
      <c r="AK8" s="159">
        <f t="shared" si="21"/>
        <v>1.6968842715974604</v>
      </c>
      <c r="AL8" s="159">
        <f t="shared" si="22"/>
        <v>5.0393137267423533</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9.5919685771736667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10.160983662260241</v>
      </c>
      <c r="BB8" s="159">
        <f t="shared" si="38"/>
        <v>2.8547494776629514</v>
      </c>
      <c r="BC8" s="159">
        <f t="shared" si="39"/>
        <v>5.0398607201276144</v>
      </c>
      <c r="BD8" s="159">
        <f t="shared" si="40"/>
        <v>1.4273747388314757</v>
      </c>
      <c r="BE8" s="159">
        <f t="shared" si="41"/>
        <v>3.4919790790510632</v>
      </c>
      <c r="BF8" s="159">
        <f t="shared" si="42"/>
        <v>4.1759749811332298</v>
      </c>
      <c r="BG8" s="159">
        <f t="shared" si="43"/>
        <v>8.9518266064512719</v>
      </c>
      <c r="BH8" s="159">
        <f t="shared" si="44"/>
        <v>8.4736624201937971</v>
      </c>
      <c r="BI8" s="159">
        <f t="shared" si="45"/>
        <v>2.7193463403824953</v>
      </c>
      <c r="BJ8" s="159">
        <f t="shared" si="46"/>
        <v>5.819965131751772</v>
      </c>
      <c r="BK8" s="159">
        <f t="shared" si="47"/>
        <v>3.1679810201700369</v>
      </c>
      <c r="BL8" s="159">
        <f t="shared" si="48"/>
        <v>3.8713347753211518</v>
      </c>
      <c r="BM8" s="159">
        <f t="shared" si="49"/>
        <v>8.0357884985932273</v>
      </c>
      <c r="BN8" s="159">
        <f t="shared" si="50"/>
        <v>0.58674692821531016</v>
      </c>
      <c r="BO8" s="159">
        <f t="shared" si="51"/>
        <v>2.1599870592068431</v>
      </c>
      <c r="BP8" s="159">
        <f t="shared" si="52"/>
        <v>0.81599511125591861</v>
      </c>
      <c r="BQ8" s="159">
        <f t="shared" si="53"/>
        <v>3.0991000169893734</v>
      </c>
      <c r="BR8" s="159">
        <f t="shared" si="54"/>
        <v>11.797369545222223</v>
      </c>
      <c r="BS8" s="159">
        <f t="shared" si="55"/>
        <v>1.5232852944051323</v>
      </c>
      <c r="BT8" s="159">
        <f t="shared" si="56"/>
        <v>3.4079795823041303</v>
      </c>
      <c r="BU8" s="159">
        <f t="shared" si="57"/>
        <v>2.927982458035943</v>
      </c>
      <c r="BV8" s="159">
        <f t="shared" si="58"/>
        <v>4.6232475663284101</v>
      </c>
      <c r="BW8" s="159">
        <f t="shared" si="59"/>
        <v>10.157903008895456</v>
      </c>
      <c r="BX8" s="159">
        <f t="shared" si="60"/>
        <v>1.3653149675779332</v>
      </c>
      <c r="BY8" s="159">
        <f t="shared" si="61"/>
        <v>3.4079795823041303</v>
      </c>
      <c r="BZ8" s="159">
        <f t="shared" si="62"/>
        <v>2.927982458035943</v>
      </c>
      <c r="CA8" s="159">
        <f t="shared" si="63"/>
        <v>6.4115806908862121</v>
      </c>
      <c r="CB8" s="159">
        <f t="shared" si="64"/>
        <v>8.1940573221673585</v>
      </c>
      <c r="CC8" s="159">
        <f t="shared" si="65"/>
        <v>1.6699720264589597</v>
      </c>
      <c r="CD8" s="159">
        <f t="shared" si="66"/>
        <v>4.1253593668776585</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2.5402459155650603</v>
      </c>
    </row>
    <row r="9" spans="1:89" x14ac:dyDescent="0.25">
      <c r="A9" t="str">
        <f>PLANTILLA!D7</f>
        <v>B. Pinczehelyi</v>
      </c>
      <c r="B9" s="488">
        <f>PLANTILLA!E7</f>
        <v>30</v>
      </c>
      <c r="C9" s="488">
        <f ca="1">PLANTILLA!F7</f>
        <v>16</v>
      </c>
      <c r="D9" s="488" t="str">
        <f>PLANTILLA!G7</f>
        <v>CAB</v>
      </c>
      <c r="E9" s="290">
        <v>42716</v>
      </c>
      <c r="F9" s="341">
        <f>PLANTILLA!Q7</f>
        <v>7</v>
      </c>
      <c r="G9" s="407">
        <f>(F9/7)^0.5</f>
        <v>1</v>
      </c>
      <c r="H9" s="407">
        <f>IF(F9=7,1,((F9+0.99)/7)^0.5)</f>
        <v>1</v>
      </c>
      <c r="I9" s="497">
        <v>1</v>
      </c>
      <c r="J9" s="498">
        <f>PLANTILLA!I7</f>
        <v>14.1</v>
      </c>
      <c r="K9" s="163">
        <f>PLANTILLA!X7</f>
        <v>0</v>
      </c>
      <c r="L9" s="163">
        <f>PLANTILLA!Y7</f>
        <v>14.200000000000003</v>
      </c>
      <c r="M9" s="163">
        <f>PLANTILLA!Z7</f>
        <v>9.3093333333333348</v>
      </c>
      <c r="N9" s="163">
        <f>PLANTILLA!AA7</f>
        <v>14.291666666666663</v>
      </c>
      <c r="O9" s="163">
        <f>PLANTILLA!AB7</f>
        <v>9.4199999999999982</v>
      </c>
      <c r="P9" s="163">
        <f>PLANTILLA!AC7</f>
        <v>1.1428571428571428</v>
      </c>
      <c r="Q9" s="163">
        <f>PLANTILLA!AD7</f>
        <v>9.4</v>
      </c>
      <c r="R9" s="163">
        <f>((2*(O9+1))+(L9+1))/8</f>
        <v>4.5049999999999999</v>
      </c>
      <c r="S9" s="163">
        <f t="shared" si="3"/>
        <v>5.0635085091007106</v>
      </c>
      <c r="T9" s="163">
        <f>(0.5*P9+ 0.3*Q9)/10</f>
        <v>0.33914285714285713</v>
      </c>
      <c r="U9" s="163">
        <f>(0.4*L9+0.3*Q9)/10</f>
        <v>0.8500000000000002</v>
      </c>
      <c r="V9" s="163">
        <f t="shared" ref="V9" ca="1" si="76">IF(TODAY()-E9&gt;335,(Q9+1+(LOG(J9)*4/3))*(F9/7)^0.5,(Q9+((TODAY()-E9)^0.5)/(336^0.5)+(LOG(J9)*4/3))*(F9/7)^0.5)</f>
        <v>11.932292150207173</v>
      </c>
      <c r="W9" s="163">
        <f t="shared" ref="W9" ca="1" si="77">IF(F9=7,V9,IF(TODAY()-E9&gt;335,(Q9+1+(LOG(J9)*4/3))*((F9+0.99)/7)^0.5,(Q9+((TODAY()-E9)^0.5)/(336^0.5)+(LOG(J9)*4/3))*((F9+0.99)/7)^0.5))</f>
        <v>11.932292150207173</v>
      </c>
      <c r="X9" s="159">
        <f>((K9+I9+(LOG(J9)*4/3))*0.597)+((L9+I9+(LOG(J9)*4/3))*0.276)</f>
        <v>6.1298910471308634</v>
      </c>
      <c r="Y9" s="159">
        <f>((K9+I9+(LOG(J9)*4/3))*0.866)+((L9+I9+(LOG(J9)*4/3))*0.425)</f>
        <v>9.304189165917462</v>
      </c>
      <c r="Z9" s="159">
        <f>X9</f>
        <v>6.1298910471308634</v>
      </c>
      <c r="AA9" s="159">
        <f>((L9+I9+(LOG(J9)*4/3))*0.516)</f>
        <v>8.6338627495069034</v>
      </c>
      <c r="AB9" s="159">
        <f>(L9+I9+(LOG(J9)*4/3))*1</f>
        <v>16.732292150207176</v>
      </c>
      <c r="AC9" s="159">
        <f>AA9/2</f>
        <v>4.3169313747534517</v>
      </c>
      <c r="AD9" s="159">
        <f>(M9+I9+(LOG(J9)*4/3))*0.238</f>
        <v>2.8183068650826408</v>
      </c>
      <c r="AE9" s="159">
        <f>((L9+I9+(LOG(J9)*4/3))*0.378)</f>
        <v>6.3248064327783124</v>
      </c>
      <c r="AF9" s="159">
        <f>(L9+I9+(LOG(J9)*4/3))*0.723</f>
        <v>12.097447224599788</v>
      </c>
      <c r="AG9" s="159">
        <f>AE9/2</f>
        <v>3.1624032163891562</v>
      </c>
      <c r="AH9" s="159">
        <f>(M9+I9+(LOG(J9)*4/3))*0.385</f>
        <v>4.5590258111630959</v>
      </c>
      <c r="AI9" s="159">
        <f>((L9+I9+(LOG(J9)*4/3))*0.92)</f>
        <v>15.393708778190602</v>
      </c>
      <c r="AJ9" s="159">
        <f>(L9+I9+(LOG(J9)*4/3))*0.414</f>
        <v>6.9271689501857701</v>
      </c>
      <c r="AK9" s="159">
        <f>((M9+I9+(LOG(J9)*4/3))*0.167)</f>
        <v>1.977551455751265</v>
      </c>
      <c r="AL9" s="159">
        <f>(N9+I9+(LOG(J9)*4/3))*0.588</f>
        <v>9.8924877843218155</v>
      </c>
      <c r="AM9" s="159">
        <f>((L9+I9+(LOG(J9)*4/3))*0.754)</f>
        <v>12.61614828125621</v>
      </c>
      <c r="AN9" s="159">
        <f>((L9+I9+(LOG(J9)*4/3))*0.708)</f>
        <v>11.84646284234668</v>
      </c>
      <c r="AO9" s="159">
        <f>((Q9+I9+(LOG(J9)*4/3))*0.167)</f>
        <v>1.992692789084598</v>
      </c>
      <c r="AP9" s="159">
        <f>((R9+I9+(LOG(J9)*4/3))*0.288)</f>
        <v>2.0267401392596658</v>
      </c>
      <c r="AQ9" s="159">
        <f>((L9+I9+(LOG(J9)*4/3))*0.27)</f>
        <v>4.5177188805559378</v>
      </c>
      <c r="AR9" s="159">
        <f>((L9+I9+(LOG(J9)*4/3))*0.594)</f>
        <v>9.9389815372230625</v>
      </c>
      <c r="AS9" s="159">
        <f>AQ9/2</f>
        <v>2.2588594402779689</v>
      </c>
      <c r="AT9" s="159">
        <f>((M9+I9+(LOG(J9)*4/3))*0.944)</f>
        <v>11.178494456462239</v>
      </c>
      <c r="AU9" s="159">
        <f>((O9+I9+(LOG(J9)*4/3))*0.13)</f>
        <v>1.5537979795269323</v>
      </c>
      <c r="AV9" s="159">
        <f>((P9+I9+(LOG(J9)*4/3))*0.173)+((O9+I9+(LOG(J9)*4/3))*0.12)</f>
        <v>2.0700758857249872</v>
      </c>
      <c r="AW9" s="159">
        <f>AU9/2</f>
        <v>0.77689898976346616</v>
      </c>
      <c r="AX9" s="159">
        <f>((L9+I9+(LOG(J9)*4/3))*0.189)</f>
        <v>3.1624032163891562</v>
      </c>
      <c r="AY9" s="159">
        <f>((L9+I9+(LOG(J9)*4/3))*0.4)</f>
        <v>6.692916860082871</v>
      </c>
      <c r="AZ9" s="159">
        <f>AX9/2</f>
        <v>1.5812016081945781</v>
      </c>
      <c r="BA9" s="159">
        <f>((M9+I9+(LOG(J9)*4/3))*1)</f>
        <v>11.841625483540508</v>
      </c>
      <c r="BB9" s="159">
        <f>((O9+I9+(LOG(J9)*4/3))*0.253)</f>
        <v>3.0239299140024145</v>
      </c>
      <c r="BC9" s="159">
        <f>((P9+I9+(LOG(J9)*4/3))*0.21)+((O9+I9+(LOG(J9)*4/3))*0.341)</f>
        <v>4.8475129747641521</v>
      </c>
      <c r="BD9" s="159">
        <f>BB9/2</f>
        <v>1.5119649570012073</v>
      </c>
      <c r="BE9" s="159">
        <f>((L9+I9+(LOG(J9)*4/3))*0.291)</f>
        <v>4.8690970157102882</v>
      </c>
      <c r="BF9" s="159">
        <f>((L9+I9+(LOG(J9)*4/3))*0.348)</f>
        <v>5.822837668272097</v>
      </c>
      <c r="BG9" s="159">
        <f>((M9+I9+(LOG(J9)*4/3))*0.881)</f>
        <v>10.432472050999188</v>
      </c>
      <c r="BH9" s="159">
        <f>((N9+I9+(LOG(J9)*4/3))*0.574)+((O9+I9+(LOG(J9)*4/3))*0.315)</f>
        <v>13.421924388200839</v>
      </c>
      <c r="BI9" s="159">
        <f>((O9+I9+(LOG(J9)*4/3))*0.241)</f>
        <v>2.880502408199928</v>
      </c>
      <c r="BJ9" s="159">
        <f>((L9+I9+(LOG(J9)*4/3))*0.485)</f>
        <v>8.1151616928504797</v>
      </c>
      <c r="BK9" s="159">
        <f>((L9+I9+(LOG(J9)*4/3))*0.264)</f>
        <v>4.4173251276546948</v>
      </c>
      <c r="BL9" s="159">
        <f>((M9+I9+(LOG(J9)*4/3))*0.381)</f>
        <v>4.5116593092289339</v>
      </c>
      <c r="BM9" s="159">
        <f>((N9+I9+(LOG(J9)*4/3))*0.673)+((O9+I9+(LOG(J9)*4/3))*0.201)</f>
        <v>13.724935005947735</v>
      </c>
      <c r="BN9" s="159">
        <f>((O9+I9+(LOG(J9)*4/3))*0.052)</f>
        <v>0.62151919181077286</v>
      </c>
      <c r="BO9" s="159">
        <f>((L9+I9+(LOG(J9)*4/3))*0.18)</f>
        <v>3.0118125870372916</v>
      </c>
      <c r="BP9" s="159">
        <f>(L9+I9+(LOG(J9)*4/3))*0.068</f>
        <v>1.1377958662140881</v>
      </c>
      <c r="BQ9" s="159">
        <f>((M9+I9+(LOG(J9)*4/3))*0.305)</f>
        <v>3.6116957724798548</v>
      </c>
      <c r="BR9" s="159">
        <f>((N9+I9+(LOG(J9)*4/3))*1)+((O9+I9+(LOG(J9)*4/3))*0.286)</f>
        <v>20.242314371833089</v>
      </c>
      <c r="BS9" s="159">
        <f>((O9+I9+(LOG(J9)*4/3))*0.135)</f>
        <v>1.6135594402779683</v>
      </c>
      <c r="BT9" s="159">
        <f t="shared" si="56"/>
        <v>4.7519709706588378</v>
      </c>
      <c r="BU9" s="159">
        <f t="shared" si="57"/>
        <v>4.0826792846505509</v>
      </c>
      <c r="BV9" s="159">
        <f t="shared" si="58"/>
        <v>5.3879395950109314</v>
      </c>
      <c r="BW9" s="159">
        <f t="shared" si="59"/>
        <v>17.452259702429544</v>
      </c>
      <c r="BX9" s="159">
        <f t="shared" si="60"/>
        <v>1.4462273501750678</v>
      </c>
      <c r="BY9" s="159">
        <f>((L9+I9+(LOG(J9)*4/3))*0.284)</f>
        <v>4.7519709706588378</v>
      </c>
      <c r="BZ9" s="159">
        <f>((L9+I9+(LOG(J9)*4/3))*0.244)</f>
        <v>4.0826792846505509</v>
      </c>
      <c r="CA9" s="159">
        <f>((M9+I9+(LOG(J9)*4/3))*0.631)</f>
        <v>7.4720656801140608</v>
      </c>
      <c r="CB9" s="159">
        <f>((N9+I9+(LOG(J9)*4/3))*0.702)+((O9+I9+(LOG(J9)*4/3))*0.193)</f>
        <v>14.117211474435418</v>
      </c>
      <c r="CC9" s="159">
        <f>((O9+I9+(LOG(J9)*4/3))*0.148)</f>
        <v>1.7689392382306612</v>
      </c>
      <c r="CD9" s="159">
        <f>((M9+I9+(LOG(J9)*4/3))*0.406)</f>
        <v>4.8076999463174461</v>
      </c>
      <c r="CE9" s="159">
        <f>IF(D9="TEC",((N9+I9+(LOG(J9)*4/3))*0.15)+((O9+I9+(LOG(J9)*4/3))*0.324)+((P9+I9+(LOG(J9)*4/3))*0.127),(((N9+I9+(LOG(J9)*4/3))*0.144)+((O9+I9+(LOG(J9)*4/3))*0.25)+((P9+I9+(LOG(J9)*4/3))*0.127)))</f>
        <v>5.8774670674007936</v>
      </c>
      <c r="CF9" s="159">
        <f>((O9+I9+(LOG(J9)*4/3))*0.543)+((P9+I9+(LOG(J9)*4/3))*0.583)</f>
        <v>8.6327066754189907</v>
      </c>
      <c r="CG9" s="159">
        <f>CE9</f>
        <v>5.8774670674007936</v>
      </c>
      <c r="CH9" s="159">
        <f>((P9+1+(LOG(J9)*4/3))*0.26)+((N9+I9+(LOG(J9)*4/3))*0.221)+((O9+I9+(LOG(J9)*4/3))*0.142)</f>
        <v>6.370859200055258</v>
      </c>
      <c r="CI9" s="159">
        <f>((P9+I9+(LOG(J9)*4/3))*1)+((O9+I9+(LOG(J9)*4/3))*0.369)</f>
        <v>8.0855450964907618</v>
      </c>
      <c r="CJ9" s="159">
        <f>CH9</f>
        <v>6.370859200055258</v>
      </c>
      <c r="CK9" s="159">
        <f>((M9+I9+(LOG(J9)*4/3))*0.25)</f>
        <v>2.9604063708851269</v>
      </c>
    </row>
    <row r="10" spans="1:89" x14ac:dyDescent="0.25">
      <c r="A10" t="str">
        <f>PLANTILLA!D12</f>
        <v>E. Romweber</v>
      </c>
      <c r="B10" s="488">
        <f>PLANTILLA!E12</f>
        <v>30</v>
      </c>
      <c r="C10" s="488">
        <f ca="1">PLANTILLA!F12</f>
        <v>89</v>
      </c>
      <c r="D10" s="488" t="str">
        <f>PLANTILLA!G12</f>
        <v>IMP</v>
      </c>
      <c r="E10" s="290">
        <v>41583</v>
      </c>
      <c r="F10" s="341">
        <f>PLANTILLA!Q12</f>
        <v>4</v>
      </c>
      <c r="G10" s="407">
        <f t="shared" si="74"/>
        <v>0.7559289460184544</v>
      </c>
      <c r="H10" s="407">
        <f t="shared" si="75"/>
        <v>0.84430867747355465</v>
      </c>
      <c r="I10" s="497">
        <v>1.5</v>
      </c>
      <c r="J10" s="498">
        <f>PLANTILLA!I12</f>
        <v>12.3</v>
      </c>
      <c r="K10" s="163">
        <f>PLANTILLA!X12</f>
        <v>0</v>
      </c>
      <c r="L10" s="163">
        <f>PLANTILLA!Y12</f>
        <v>11.95</v>
      </c>
      <c r="M10" s="163">
        <f>PLANTILLA!Z12</f>
        <v>12.489111111111114</v>
      </c>
      <c r="N10" s="163">
        <f>PLANTILLA!AA12</f>
        <v>13.133333333333335</v>
      </c>
      <c r="O10" s="163">
        <f>PLANTILLA!AB12</f>
        <v>10.91</v>
      </c>
      <c r="P10" s="163">
        <f>PLANTILLA!AC12</f>
        <v>7.7700000000000005</v>
      </c>
      <c r="Q10" s="163">
        <f>PLANTILLA!AD12</f>
        <v>17.13</v>
      </c>
      <c r="R10" s="163">
        <f t="shared" si="2"/>
        <v>4.5962499999999995</v>
      </c>
      <c r="S10" s="163">
        <f t="shared" si="3"/>
        <v>21.246287061708095</v>
      </c>
      <c r="T10" s="163">
        <f t="shared" si="4"/>
        <v>0.90239999999999987</v>
      </c>
      <c r="U10" s="163">
        <f t="shared" si="5"/>
        <v>0.9919</v>
      </c>
      <c r="V10" s="163">
        <f t="shared" ca="1" si="6"/>
        <v>14.803512887515259</v>
      </c>
      <c r="W10" s="163">
        <f t="shared" ca="1" si="7"/>
        <v>16.534271446876968</v>
      </c>
      <c r="X10" s="159">
        <f t="shared" si="8"/>
        <v>5.8763495497154601</v>
      </c>
      <c r="Y10" s="159">
        <f t="shared" si="9"/>
        <v>8.8913399984910164</v>
      </c>
      <c r="Z10" s="159">
        <f t="shared" si="10"/>
        <v>5.8763495497154601</v>
      </c>
      <c r="AA10" s="159">
        <f t="shared" si="11"/>
        <v>7.6900547166703053</v>
      </c>
      <c r="AB10" s="159">
        <f t="shared" si="12"/>
        <v>14.903206815252529</v>
      </c>
      <c r="AC10" s="159">
        <f t="shared" si="13"/>
        <v>3.8450273583351526</v>
      </c>
      <c r="AD10" s="159">
        <f t="shared" si="14"/>
        <v>3.6752716664745471</v>
      </c>
      <c r="AE10" s="159">
        <f t="shared" si="15"/>
        <v>5.6334121761654563</v>
      </c>
      <c r="AF10" s="159">
        <f t="shared" si="16"/>
        <v>10.775018527427578</v>
      </c>
      <c r="AG10" s="159">
        <f t="shared" si="17"/>
        <v>2.8167060880827282</v>
      </c>
      <c r="AH10" s="159">
        <f t="shared" si="18"/>
        <v>5.9452924016500033</v>
      </c>
      <c r="AI10" s="159">
        <f t="shared" si="19"/>
        <v>13.710950270032328</v>
      </c>
      <c r="AJ10" s="159">
        <f t="shared" si="20"/>
        <v>6.1699276215145469</v>
      </c>
      <c r="AK10" s="159">
        <f t="shared" si="21"/>
        <v>2.5788670937027289</v>
      </c>
      <c r="AL10" s="159">
        <f t="shared" si="22"/>
        <v>9.4588856073684884</v>
      </c>
      <c r="AM10" s="159">
        <f t="shared" si="23"/>
        <v>11.237017938700408</v>
      </c>
      <c r="AN10" s="159">
        <f t="shared" si="24"/>
        <v>10.55147042519879</v>
      </c>
      <c r="AO10" s="159">
        <f t="shared" si="25"/>
        <v>3.3538955381471727</v>
      </c>
      <c r="AP10" s="159">
        <f t="shared" si="26"/>
        <v>2.1742435627927286</v>
      </c>
      <c r="AQ10" s="159">
        <f t="shared" si="27"/>
        <v>4.0238658401181828</v>
      </c>
      <c r="AR10" s="159">
        <f t="shared" si="28"/>
        <v>8.8525048482600024</v>
      </c>
      <c r="AS10" s="159">
        <f t="shared" si="29"/>
        <v>2.0119329200590914</v>
      </c>
      <c r="AT10" s="159">
        <f t="shared" si="30"/>
        <v>14.577548122487279</v>
      </c>
      <c r="AU10" s="159">
        <f t="shared" si="31"/>
        <v>1.8022168859828289</v>
      </c>
      <c r="AV10" s="159">
        <f t="shared" si="32"/>
        <v>3.5186995968689914</v>
      </c>
      <c r="AW10" s="159">
        <f t="shared" si="33"/>
        <v>0.90110844299141446</v>
      </c>
      <c r="AX10" s="159">
        <f t="shared" si="34"/>
        <v>2.8167060880827282</v>
      </c>
      <c r="AY10" s="159">
        <f t="shared" si="35"/>
        <v>5.961282726101012</v>
      </c>
      <c r="AZ10" s="159">
        <f t="shared" si="36"/>
        <v>1.4083530440413641</v>
      </c>
      <c r="BA10" s="159">
        <f t="shared" si="37"/>
        <v>15.442317926363645</v>
      </c>
      <c r="BB10" s="159">
        <f t="shared" si="38"/>
        <v>3.5073913242588901</v>
      </c>
      <c r="BC10" s="159">
        <f t="shared" si="39"/>
        <v>6.9792269552041448</v>
      </c>
      <c r="BD10" s="159">
        <f t="shared" si="40"/>
        <v>1.7536956621294451</v>
      </c>
      <c r="BE10" s="159">
        <f t="shared" si="41"/>
        <v>4.3368331832384861</v>
      </c>
      <c r="BF10" s="159">
        <f t="shared" si="42"/>
        <v>5.1863159717078799</v>
      </c>
      <c r="BG10" s="159">
        <f t="shared" si="43"/>
        <v>13.604682093126371</v>
      </c>
      <c r="BH10" s="159">
        <f t="shared" si="44"/>
        <v>13.600584192092832</v>
      </c>
      <c r="BI10" s="159">
        <f t="shared" si="45"/>
        <v>3.3410328424758595</v>
      </c>
      <c r="BJ10" s="159">
        <f t="shared" si="46"/>
        <v>7.2280553053974765</v>
      </c>
      <c r="BK10" s="159">
        <f t="shared" si="47"/>
        <v>3.9344465992266682</v>
      </c>
      <c r="BL10" s="159">
        <f t="shared" si="48"/>
        <v>5.8835231299445487</v>
      </c>
      <c r="BM10" s="159">
        <f t="shared" si="49"/>
        <v>13.612746089864046</v>
      </c>
      <c r="BN10" s="159">
        <f t="shared" si="50"/>
        <v>0.72088675439313155</v>
      </c>
      <c r="BO10" s="159">
        <f t="shared" si="51"/>
        <v>2.6825772267454551</v>
      </c>
      <c r="BP10" s="159">
        <f t="shared" si="52"/>
        <v>1.0134180634371721</v>
      </c>
      <c r="BQ10" s="159">
        <f t="shared" si="53"/>
        <v>4.7099069675409115</v>
      </c>
      <c r="BR10" s="159">
        <f t="shared" si="54"/>
        <v>20.051417297748088</v>
      </c>
      <c r="BS10" s="159">
        <f t="shared" si="55"/>
        <v>1.8715329200590918</v>
      </c>
      <c r="BT10" s="159">
        <f t="shared" si="56"/>
        <v>4.2325107355317177</v>
      </c>
      <c r="BU10" s="159">
        <f t="shared" si="57"/>
        <v>3.6363824629216173</v>
      </c>
      <c r="BV10" s="159">
        <f t="shared" si="58"/>
        <v>7.0262546564954587</v>
      </c>
      <c r="BW10" s="159">
        <f t="shared" si="59"/>
        <v>17.281393151299806</v>
      </c>
      <c r="BX10" s="159">
        <f t="shared" si="60"/>
        <v>1.6774480246455561</v>
      </c>
      <c r="BY10" s="159">
        <f t="shared" si="61"/>
        <v>4.2325107355317177</v>
      </c>
      <c r="BZ10" s="159">
        <f t="shared" si="62"/>
        <v>3.6363824629216173</v>
      </c>
      <c r="CA10" s="159">
        <f t="shared" si="63"/>
        <v>9.7441026115354603</v>
      </c>
      <c r="CB10" s="159">
        <f t="shared" si="64"/>
        <v>13.968350099651015</v>
      </c>
      <c r="CC10" s="159">
        <f t="shared" si="65"/>
        <v>2.0517546086573746</v>
      </c>
      <c r="CD10" s="159">
        <f t="shared" si="66"/>
        <v>6.2695810781036405</v>
      </c>
      <c r="CE10" s="159">
        <f t="shared" si="67"/>
        <v>7.1441107507465684</v>
      </c>
      <c r="CF10" s="159">
        <f t="shared" si="68"/>
        <v>13.779350873974348</v>
      </c>
      <c r="CG10" s="159">
        <f t="shared" si="69"/>
        <v>7.1441107507465684</v>
      </c>
      <c r="CH10" s="159">
        <f t="shared" si="70"/>
        <v>8.181734512568994</v>
      </c>
      <c r="CI10" s="159">
        <f t="shared" si="71"/>
        <v>15.838730130080712</v>
      </c>
      <c r="CJ10" s="159">
        <f t="shared" si="72"/>
        <v>8.181734512568994</v>
      </c>
      <c r="CK10" s="159">
        <f t="shared" si="73"/>
        <v>3.8605794815909111</v>
      </c>
    </row>
    <row r="11" spans="1:89" x14ac:dyDescent="0.25">
      <c r="A11" t="str">
        <f>PLANTILLA!D13</f>
        <v>K. Helms</v>
      </c>
      <c r="B11" s="488">
        <f>PLANTILLA!E13</f>
        <v>30</v>
      </c>
      <c r="C11" s="488">
        <f ca="1">PLANTILLA!F13</f>
        <v>36</v>
      </c>
      <c r="D11" s="488" t="str">
        <f>PLANTILLA!G13</f>
        <v>TEC</v>
      </c>
      <c r="E11" s="290">
        <v>41722</v>
      </c>
      <c r="F11" s="341">
        <f>PLANTILLA!Q13</f>
        <v>5</v>
      </c>
      <c r="G11" s="407">
        <f t="shared" ref="G11:G21" si="78">(F11/7)^0.5</f>
        <v>0.84515425472851657</v>
      </c>
      <c r="H11" s="407">
        <f t="shared" si="75"/>
        <v>0.92504826128926143</v>
      </c>
      <c r="I11" s="497">
        <v>1.5</v>
      </c>
      <c r="J11" s="498">
        <f>PLANTILLA!I13</f>
        <v>10.3</v>
      </c>
      <c r="K11" s="163">
        <f>PLANTILLA!X13</f>
        <v>0</v>
      </c>
      <c r="L11" s="163">
        <f>PLANTILLA!Y13</f>
        <v>7.11</v>
      </c>
      <c r="M11" s="163">
        <f>PLANTILLA!Z13</f>
        <v>10.450000000000003</v>
      </c>
      <c r="N11" s="163">
        <f>PLANTILLA!AA13</f>
        <v>13.388333333333334</v>
      </c>
      <c r="O11" s="163">
        <f>PLANTILLA!AB13</f>
        <v>10.359999999999998</v>
      </c>
      <c r="P11" s="163">
        <f>PLANTILLA!AC13</f>
        <v>5.4050000000000002</v>
      </c>
      <c r="Q11" s="163">
        <f>PLANTILLA!AD13</f>
        <v>17.300000000000004</v>
      </c>
      <c r="R11" s="163">
        <f t="shared" si="2"/>
        <v>3.8537499999999993</v>
      </c>
      <c r="S11" s="163">
        <f t="shared" si="3"/>
        <v>17.186793688797913</v>
      </c>
      <c r="T11" s="163">
        <f t="shared" si="4"/>
        <v>0.78925000000000023</v>
      </c>
      <c r="U11" s="163">
        <f t="shared" si="5"/>
        <v>0.80340000000000023</v>
      </c>
      <c r="V11" s="163">
        <f t="shared" ca="1" si="6"/>
        <v>16.607661114607854</v>
      </c>
      <c r="W11" s="163">
        <f t="shared" ca="1" si="7"/>
        <v>18.177614266503568</v>
      </c>
      <c r="X11" s="159">
        <f t="shared" si="8"/>
        <v>4.4508025295568201</v>
      </c>
      <c r="Y11" s="159">
        <f t="shared" si="9"/>
        <v>6.7016804761258353</v>
      </c>
      <c r="Z11" s="159">
        <f t="shared" si="10"/>
        <v>4.4508025295568201</v>
      </c>
      <c r="AA11" s="159">
        <f t="shared" si="11"/>
        <v>5.1395920105971582</v>
      </c>
      <c r="AB11" s="159">
        <f t="shared" si="12"/>
        <v>9.9604496329402288</v>
      </c>
      <c r="AC11" s="159">
        <f t="shared" si="13"/>
        <v>2.5697960052985791</v>
      </c>
      <c r="AD11" s="159">
        <f t="shared" si="14"/>
        <v>3.1655070126397753</v>
      </c>
      <c r="AE11" s="159">
        <f t="shared" si="15"/>
        <v>3.7650499612514063</v>
      </c>
      <c r="AF11" s="159">
        <f t="shared" si="16"/>
        <v>7.2014050846157849</v>
      </c>
      <c r="AG11" s="159">
        <f t="shared" si="17"/>
        <v>1.8825249806257032</v>
      </c>
      <c r="AH11" s="159">
        <f t="shared" si="18"/>
        <v>5.1206731086819897</v>
      </c>
      <c r="AI11" s="159">
        <f t="shared" si="19"/>
        <v>9.1636136623050106</v>
      </c>
      <c r="AJ11" s="159">
        <f t="shared" si="20"/>
        <v>4.1236261480372542</v>
      </c>
      <c r="AK11" s="159">
        <f t="shared" si="21"/>
        <v>2.2211750887010191</v>
      </c>
      <c r="AL11" s="159">
        <f t="shared" si="22"/>
        <v>9.5484043841688564</v>
      </c>
      <c r="AM11" s="159">
        <f t="shared" si="23"/>
        <v>7.5101790232369323</v>
      </c>
      <c r="AN11" s="159">
        <f t="shared" si="24"/>
        <v>7.0519983401216813</v>
      </c>
      <c r="AO11" s="159">
        <f t="shared" si="25"/>
        <v>3.3651250887010193</v>
      </c>
      <c r="AP11" s="159">
        <f t="shared" si="26"/>
        <v>1.9308094942867859</v>
      </c>
      <c r="AQ11" s="159">
        <f t="shared" si="27"/>
        <v>2.6893214008938617</v>
      </c>
      <c r="AR11" s="159">
        <f t="shared" si="28"/>
        <v>5.916507081966496</v>
      </c>
      <c r="AS11" s="159">
        <f t="shared" si="29"/>
        <v>1.3446607004469309</v>
      </c>
      <c r="AT11" s="159">
        <f t="shared" si="30"/>
        <v>12.555624453495579</v>
      </c>
      <c r="AU11" s="159">
        <f t="shared" si="31"/>
        <v>1.7173584522822296</v>
      </c>
      <c r="AV11" s="159">
        <f t="shared" si="32"/>
        <v>3.013446742451487</v>
      </c>
      <c r="AW11" s="159">
        <f t="shared" si="33"/>
        <v>0.8586792261411148</v>
      </c>
      <c r="AX11" s="159">
        <f t="shared" si="34"/>
        <v>1.8825249806257032</v>
      </c>
      <c r="AY11" s="159">
        <f t="shared" si="35"/>
        <v>3.9841798531760917</v>
      </c>
      <c r="AZ11" s="159">
        <f t="shared" si="36"/>
        <v>0.94126249031285159</v>
      </c>
      <c r="BA11" s="159">
        <f t="shared" si="37"/>
        <v>13.300449632940232</v>
      </c>
      <c r="BB11" s="159">
        <f t="shared" si="38"/>
        <v>3.3422437571338777</v>
      </c>
      <c r="BC11" s="159">
        <f t="shared" si="39"/>
        <v>6.2384077477500659</v>
      </c>
      <c r="BD11" s="159">
        <f t="shared" si="40"/>
        <v>1.6711218785669388</v>
      </c>
      <c r="BE11" s="159">
        <f t="shared" si="41"/>
        <v>2.8984908431856065</v>
      </c>
      <c r="BF11" s="159">
        <f t="shared" si="42"/>
        <v>3.4662364722631995</v>
      </c>
      <c r="BG11" s="159">
        <f t="shared" si="43"/>
        <v>11.717696126620345</v>
      </c>
      <c r="BH11" s="159">
        <f t="shared" si="44"/>
        <v>13.482353057017196</v>
      </c>
      <c r="BI11" s="159">
        <f t="shared" si="45"/>
        <v>3.1837183615385944</v>
      </c>
      <c r="BJ11" s="159">
        <f t="shared" si="46"/>
        <v>4.8308180719760108</v>
      </c>
      <c r="BK11" s="159">
        <f t="shared" si="47"/>
        <v>2.6295587030962206</v>
      </c>
      <c r="BL11" s="159">
        <f t="shared" si="48"/>
        <v>5.0674713101502284</v>
      </c>
      <c r="BM11" s="159">
        <f t="shared" si="49"/>
        <v>13.584001312523096</v>
      </c>
      <c r="BN11" s="159">
        <f t="shared" si="50"/>
        <v>0.68694338091289175</v>
      </c>
      <c r="BO11" s="159">
        <f t="shared" si="51"/>
        <v>1.7928809339292411</v>
      </c>
      <c r="BP11" s="159">
        <f t="shared" si="52"/>
        <v>0.67731057503993564</v>
      </c>
      <c r="BQ11" s="159">
        <f t="shared" si="53"/>
        <v>4.0566371380467707</v>
      </c>
      <c r="BR11" s="159">
        <f t="shared" si="54"/>
        <v>20.016971561294469</v>
      </c>
      <c r="BS11" s="159">
        <f t="shared" si="55"/>
        <v>1.7834107004469308</v>
      </c>
      <c r="BT11" s="159">
        <f t="shared" si="56"/>
        <v>2.8287676957550247</v>
      </c>
      <c r="BU11" s="159">
        <f t="shared" si="57"/>
        <v>2.4303497104374157</v>
      </c>
      <c r="BV11" s="159">
        <f t="shared" si="58"/>
        <v>6.0517045829878056</v>
      </c>
      <c r="BW11" s="159">
        <f t="shared" si="59"/>
        <v>17.253658193297774</v>
      </c>
      <c r="BX11" s="159">
        <f t="shared" si="60"/>
        <v>1.5984644055857675</v>
      </c>
      <c r="BY11" s="159">
        <f t="shared" si="61"/>
        <v>2.8287676957550247</v>
      </c>
      <c r="BZ11" s="159">
        <f t="shared" si="62"/>
        <v>2.4303497104374157</v>
      </c>
      <c r="CA11" s="159">
        <f t="shared" si="63"/>
        <v>8.3925837183852874</v>
      </c>
      <c r="CB11" s="159">
        <f t="shared" si="64"/>
        <v>13.949242421481506</v>
      </c>
      <c r="CC11" s="159">
        <f t="shared" si="65"/>
        <v>1.9551465456751536</v>
      </c>
      <c r="CD11" s="159">
        <f t="shared" si="66"/>
        <v>5.3999825509737347</v>
      </c>
      <c r="CE11" s="159">
        <f t="shared" si="67"/>
        <v>7.7644452293970767</v>
      </c>
      <c r="CF11" s="159">
        <f t="shared" si="68"/>
        <v>11.986201286690697</v>
      </c>
      <c r="CG11" s="159">
        <f t="shared" si="69"/>
        <v>7.7644452293970767</v>
      </c>
      <c r="CH11" s="159">
        <f t="shared" si="70"/>
        <v>7.4810717879884301</v>
      </c>
      <c r="CI11" s="159">
        <f t="shared" si="71"/>
        <v>13.130105547495173</v>
      </c>
      <c r="CJ11" s="159">
        <f t="shared" si="72"/>
        <v>7.4810717879884301</v>
      </c>
      <c r="CK11" s="159">
        <f t="shared" si="73"/>
        <v>3.325112408235058</v>
      </c>
    </row>
    <row r="12" spans="1:89" x14ac:dyDescent="0.25">
      <c r="A12" t="str">
        <f>PLANTILLA!D14</f>
        <v>S. Zobbe</v>
      </c>
      <c r="B12" s="488">
        <f>PLANTILLA!E14</f>
        <v>27</v>
      </c>
      <c r="C12" s="488">
        <f ca="1">PLANTILLA!F14</f>
        <v>51</v>
      </c>
      <c r="D12" s="488" t="str">
        <f>PLANTILLA!G14</f>
        <v>CAB</v>
      </c>
      <c r="E12" s="290">
        <v>41911</v>
      </c>
      <c r="F12" s="341">
        <f>PLANTILLA!Q14</f>
        <v>4</v>
      </c>
      <c r="G12" s="407">
        <f t="shared" si="78"/>
        <v>0.7559289460184544</v>
      </c>
      <c r="H12" s="407">
        <f t="shared" si="75"/>
        <v>0.84430867747355465</v>
      </c>
      <c r="I12" s="497">
        <v>1.5</v>
      </c>
      <c r="J12" s="498">
        <f>PLANTILLA!I14</f>
        <v>8.6999999999999993</v>
      </c>
      <c r="K12" s="163">
        <f>PLANTILLA!X14</f>
        <v>0</v>
      </c>
      <c r="L12" s="163">
        <f>PLANTILLA!Y14</f>
        <v>8.1199999999999992</v>
      </c>
      <c r="M12" s="163">
        <f>PLANTILLA!Z14</f>
        <v>12.058412698412699</v>
      </c>
      <c r="N12" s="163">
        <f>PLANTILLA!AA14</f>
        <v>12.25</v>
      </c>
      <c r="O12" s="163">
        <f>PLANTILLA!AB14</f>
        <v>10.24</v>
      </c>
      <c r="P12" s="163">
        <f>PLANTILLA!AC14</f>
        <v>7.4766666666666666</v>
      </c>
      <c r="Q12" s="163">
        <f>PLANTILLA!AD14</f>
        <v>15.270000000000001</v>
      </c>
      <c r="R12" s="163">
        <f t="shared" si="2"/>
        <v>3.95</v>
      </c>
      <c r="S12" s="163">
        <f t="shared" si="3"/>
        <v>19.293216731049526</v>
      </c>
      <c r="T12" s="163">
        <f t="shared" si="4"/>
        <v>0.8319333333333333</v>
      </c>
      <c r="U12" s="163">
        <f t="shared" si="5"/>
        <v>0.78290000000000004</v>
      </c>
      <c r="V12" s="163">
        <f t="shared" ca="1" si="6"/>
        <v>13.24591034958164</v>
      </c>
      <c r="W12" s="163">
        <f t="shared" ca="1" si="7"/>
        <v>14.794561192680561</v>
      </c>
      <c r="X12" s="159">
        <f t="shared" si="8"/>
        <v>4.6442204100480717</v>
      </c>
      <c r="Y12" s="159">
        <f t="shared" si="9"/>
        <v>7.0047258068408471</v>
      </c>
      <c r="Z12" s="159">
        <f t="shared" si="10"/>
        <v>4.6442204100480717</v>
      </c>
      <c r="AA12" s="159">
        <f t="shared" si="11"/>
        <v>5.6103092458016084</v>
      </c>
      <c r="AB12" s="159">
        <f t="shared" si="12"/>
        <v>10.872692336824823</v>
      </c>
      <c r="AC12" s="159">
        <f t="shared" si="13"/>
        <v>2.8051546229008042</v>
      </c>
      <c r="AD12" s="159">
        <f t="shared" si="14"/>
        <v>3.5250429983865308</v>
      </c>
      <c r="AE12" s="159">
        <f t="shared" si="15"/>
        <v>4.1098777033197829</v>
      </c>
      <c r="AF12" s="159">
        <f t="shared" si="16"/>
        <v>7.8609565595243467</v>
      </c>
      <c r="AG12" s="159">
        <f t="shared" si="17"/>
        <v>2.0549388516598914</v>
      </c>
      <c r="AH12" s="159">
        <f t="shared" si="18"/>
        <v>5.7022754385664474</v>
      </c>
      <c r="AI12" s="159">
        <f t="shared" si="19"/>
        <v>10.002876949878837</v>
      </c>
      <c r="AJ12" s="159">
        <f t="shared" si="20"/>
        <v>4.5012946274454766</v>
      </c>
      <c r="AK12" s="159">
        <f t="shared" si="21"/>
        <v>2.4734545408846667</v>
      </c>
      <c r="AL12" s="159">
        <f t="shared" si="22"/>
        <v>8.8215830940529969</v>
      </c>
      <c r="AM12" s="159">
        <f t="shared" si="23"/>
        <v>8.1980100219659171</v>
      </c>
      <c r="AN12" s="159">
        <f t="shared" si="24"/>
        <v>7.6978661744719741</v>
      </c>
      <c r="AO12" s="159">
        <f t="shared" si="25"/>
        <v>3.0097896202497467</v>
      </c>
      <c r="AP12" s="159">
        <f t="shared" si="26"/>
        <v>1.9303753930055494</v>
      </c>
      <c r="AQ12" s="159">
        <f t="shared" si="27"/>
        <v>2.9356269309427026</v>
      </c>
      <c r="AR12" s="159">
        <f t="shared" si="28"/>
        <v>6.4583792480739444</v>
      </c>
      <c r="AS12" s="159">
        <f t="shared" si="29"/>
        <v>1.4678134654713513</v>
      </c>
      <c r="AT12" s="159">
        <f t="shared" si="30"/>
        <v>13.981683153264223</v>
      </c>
      <c r="AU12" s="159">
        <f t="shared" si="31"/>
        <v>1.6890500037872271</v>
      </c>
      <c r="AV12" s="159">
        <f t="shared" si="32"/>
        <v>3.3288021880230065</v>
      </c>
      <c r="AW12" s="159">
        <f t="shared" si="33"/>
        <v>0.84452500189361357</v>
      </c>
      <c r="AX12" s="159">
        <f t="shared" si="34"/>
        <v>2.0549388516598914</v>
      </c>
      <c r="AY12" s="159">
        <f t="shared" si="35"/>
        <v>4.3490769347299292</v>
      </c>
      <c r="AZ12" s="159">
        <f t="shared" si="36"/>
        <v>1.0274694258299457</v>
      </c>
      <c r="BA12" s="159">
        <f t="shared" si="37"/>
        <v>14.811105035237524</v>
      </c>
      <c r="BB12" s="159">
        <f t="shared" si="38"/>
        <v>3.2871511612166806</v>
      </c>
      <c r="BC12" s="159">
        <f t="shared" si="39"/>
        <v>6.5786734775904785</v>
      </c>
      <c r="BD12" s="159">
        <f t="shared" si="40"/>
        <v>1.6435755806083403</v>
      </c>
      <c r="BE12" s="159">
        <f t="shared" si="41"/>
        <v>3.1639534700160232</v>
      </c>
      <c r="BF12" s="159">
        <f t="shared" si="42"/>
        <v>3.7836969332150381</v>
      </c>
      <c r="BG12" s="159">
        <f t="shared" si="43"/>
        <v>13.048583536044259</v>
      </c>
      <c r="BH12" s="159">
        <f t="shared" si="44"/>
        <v>12.704243487437269</v>
      </c>
      <c r="BI12" s="159">
        <f t="shared" si="45"/>
        <v>3.1312388531747826</v>
      </c>
      <c r="BJ12" s="159">
        <f t="shared" si="46"/>
        <v>5.2732557833600389</v>
      </c>
      <c r="BK12" s="159">
        <f t="shared" si="47"/>
        <v>2.8703907769217536</v>
      </c>
      <c r="BL12" s="159">
        <f t="shared" si="48"/>
        <v>5.6430310184254973</v>
      </c>
      <c r="BM12" s="159">
        <f t="shared" si="49"/>
        <v>12.708343102384898</v>
      </c>
      <c r="BN12" s="159">
        <f t="shared" si="50"/>
        <v>0.67562000151489077</v>
      </c>
      <c r="BO12" s="159">
        <f t="shared" si="51"/>
        <v>1.957084620628468</v>
      </c>
      <c r="BP12" s="159">
        <f t="shared" si="52"/>
        <v>0.73934307890408801</v>
      </c>
      <c r="BQ12" s="159">
        <f t="shared" si="53"/>
        <v>4.5173870357474453</v>
      </c>
      <c r="BR12" s="159">
        <f t="shared" si="54"/>
        <v>18.718602345156725</v>
      </c>
      <c r="BS12" s="159">
        <f t="shared" si="55"/>
        <v>1.7540134654713513</v>
      </c>
      <c r="BT12" s="159">
        <f t="shared" si="56"/>
        <v>3.0878446236582495</v>
      </c>
      <c r="BU12" s="159">
        <f t="shared" si="57"/>
        <v>2.6529369301852568</v>
      </c>
      <c r="BV12" s="159">
        <f t="shared" si="58"/>
        <v>6.7390527910330738</v>
      </c>
      <c r="BW12" s="159">
        <f t="shared" si="59"/>
        <v>16.132543109201908</v>
      </c>
      <c r="BX12" s="159">
        <f t="shared" si="60"/>
        <v>1.5721157727558037</v>
      </c>
      <c r="BY12" s="159">
        <f t="shared" si="61"/>
        <v>3.0878446236582495</v>
      </c>
      <c r="BZ12" s="159">
        <f t="shared" si="62"/>
        <v>2.6529369301852568</v>
      </c>
      <c r="CA12" s="159">
        <f t="shared" si="63"/>
        <v>9.3458072772348775</v>
      </c>
      <c r="CB12" s="159">
        <f t="shared" si="64"/>
        <v>13.039479641458218</v>
      </c>
      <c r="CC12" s="159">
        <f t="shared" si="65"/>
        <v>1.9229184658500738</v>
      </c>
      <c r="CD12" s="159">
        <f t="shared" si="66"/>
        <v>6.0133086443064352</v>
      </c>
      <c r="CE12" s="159">
        <f t="shared" si="67"/>
        <v>6.7076893741524</v>
      </c>
      <c r="CF12" s="159">
        <f t="shared" si="68"/>
        <v>13.018748237931419</v>
      </c>
      <c r="CG12" s="159">
        <f t="shared" si="69"/>
        <v>6.7076893741524</v>
      </c>
      <c r="CH12" s="159">
        <f t="shared" si="70"/>
        <v>7.6901906591751992</v>
      </c>
      <c r="CI12" s="159">
        <f t="shared" si="71"/>
        <v>15.023662475779851</v>
      </c>
      <c r="CJ12" s="159">
        <f t="shared" si="72"/>
        <v>7.6901906591751992</v>
      </c>
      <c r="CK12" s="159">
        <f t="shared" si="73"/>
        <v>3.7027762588093811</v>
      </c>
    </row>
    <row r="13" spans="1:89" x14ac:dyDescent="0.25">
      <c r="A13" t="str">
        <f>PLANTILLA!D15</f>
        <v>S. Buschelman</v>
      </c>
      <c r="B13" s="488">
        <f>PLANTILLA!E15</f>
        <v>29</v>
      </c>
      <c r="C13" s="488">
        <f ca="1">PLANTILLA!F15</f>
        <v>48</v>
      </c>
      <c r="D13" s="488" t="str">
        <f>PLANTILLA!G15</f>
        <v>TEC</v>
      </c>
      <c r="E13" s="290">
        <v>41747</v>
      </c>
      <c r="F13" s="341">
        <f>PLANTILLA!Q15</f>
        <v>6</v>
      </c>
      <c r="G13" s="407">
        <f t="shared" si="78"/>
        <v>0.92582009977255142</v>
      </c>
      <c r="H13" s="407">
        <f t="shared" si="75"/>
        <v>0.99928545900129484</v>
      </c>
      <c r="I13" s="497">
        <v>1.5</v>
      </c>
      <c r="J13" s="498">
        <f>PLANTILLA!I15</f>
        <v>10.4</v>
      </c>
      <c r="K13" s="163">
        <f>PLANTILLA!X15</f>
        <v>0</v>
      </c>
      <c r="L13" s="163">
        <f>PLANTILLA!Y15</f>
        <v>9.1936666666666653</v>
      </c>
      <c r="M13" s="163">
        <f>PLANTILLA!Z15</f>
        <v>13.679999999999998</v>
      </c>
      <c r="N13" s="163">
        <f>PLANTILLA!AA15</f>
        <v>12.835000000000001</v>
      </c>
      <c r="O13" s="163">
        <f>PLANTILLA!AB15</f>
        <v>9.6733333333333356</v>
      </c>
      <c r="P13" s="163">
        <f>PLANTILLA!AC15</f>
        <v>5.0296666666666656</v>
      </c>
      <c r="Q13" s="163">
        <f>PLANTILLA!AD15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3.9355785796708123</v>
      </c>
      <c r="AE13" s="159">
        <f t="shared" si="15"/>
        <v>4.5547908030065845</v>
      </c>
      <c r="AF13" s="159">
        <f t="shared" si="16"/>
        <v>8.7119411390840238</v>
      </c>
      <c r="AG13" s="159">
        <f t="shared" si="17"/>
        <v>2.2773954015032922</v>
      </c>
      <c r="AH13" s="159">
        <f t="shared" si="18"/>
        <v>6.3663771141733729</v>
      </c>
      <c r="AI13" s="159">
        <f t="shared" si="19"/>
        <v>11.085734229539836</v>
      </c>
      <c r="AJ13" s="159">
        <f t="shared" si="20"/>
        <v>4.988580403292926</v>
      </c>
      <c r="AK13" s="159">
        <f t="shared" si="21"/>
        <v>2.7615194235505283</v>
      </c>
      <c r="AL13" s="159">
        <f t="shared" si="22"/>
        <v>9.2263341380102428</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15.610025963064063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16.536044452398372</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14.568255162562965</v>
      </c>
      <c r="BH13" s="159">
        <f t="shared" si="44"/>
        <v>12.953413518182156</v>
      </c>
      <c r="BI13" s="159">
        <f t="shared" si="45"/>
        <v>3.0195800463613418</v>
      </c>
      <c r="BJ13" s="159">
        <f t="shared" si="46"/>
        <v>5.8441098927465438</v>
      </c>
      <c r="BK13" s="159">
        <f t="shared" si="47"/>
        <v>3.1811237354331703</v>
      </c>
      <c r="BL13" s="159">
        <f t="shared" si="48"/>
        <v>6.3002329363637797</v>
      </c>
      <c r="BM13" s="159">
        <f t="shared" si="49"/>
        <v>13.07847785139618</v>
      </c>
      <c r="BN13" s="159">
        <f t="shared" si="50"/>
        <v>0.65152764485804882</v>
      </c>
      <c r="BO13" s="159">
        <f t="shared" si="51"/>
        <v>2.1689480014317071</v>
      </c>
      <c r="BP13" s="159">
        <f t="shared" si="52"/>
        <v>0.81938035609642268</v>
      </c>
      <c r="BQ13" s="159">
        <f t="shared" si="53"/>
        <v>5.0434935579815035</v>
      </c>
      <c r="BR13" s="159">
        <f t="shared" si="54"/>
        <v>19.274446499117644</v>
      </c>
      <c r="BS13" s="159">
        <f t="shared" si="55"/>
        <v>1.6914660010737808</v>
      </c>
      <c r="BT13" s="159">
        <f t="shared" si="56"/>
        <v>3.4221179578144709</v>
      </c>
      <c r="BU13" s="159">
        <f t="shared" si="57"/>
        <v>2.9401295130518696</v>
      </c>
      <c r="BV13" s="159">
        <f t="shared" si="58"/>
        <v>7.5239002258412597</v>
      </c>
      <c r="BW13" s="159">
        <f t="shared" si="59"/>
        <v>16.614230586590732</v>
      </c>
      <c r="BX13" s="159">
        <f t="shared" si="60"/>
        <v>1.5160547120735368</v>
      </c>
      <c r="BY13" s="159">
        <f t="shared" si="61"/>
        <v>3.4221179578144709</v>
      </c>
      <c r="BZ13" s="159">
        <f t="shared" si="62"/>
        <v>2.9401295130518696</v>
      </c>
      <c r="CA13" s="159">
        <f t="shared" si="63"/>
        <v>10.434244049463372</v>
      </c>
      <c r="CB13" s="159">
        <f t="shared" si="64"/>
        <v>13.433283118229879</v>
      </c>
      <c r="CC13" s="159">
        <f t="shared" si="65"/>
        <v>1.8543479122882929</v>
      </c>
      <c r="CD13" s="159">
        <f t="shared" si="66"/>
        <v>6.7136340476737395</v>
      </c>
      <c r="CE13" s="159">
        <f t="shared" si="67"/>
        <v>7.4146603825580897</v>
      </c>
      <c r="CF13" s="159">
        <f t="shared" si="68"/>
        <v>11.400821720067237</v>
      </c>
      <c r="CG13" s="159">
        <f t="shared" si="69"/>
        <v>7.4146603825580897</v>
      </c>
      <c r="CH13" s="159">
        <f t="shared" si="70"/>
        <v>7.1671773605108537</v>
      </c>
      <c r="CI13" s="159">
        <f t="shared" si="71"/>
        <v>12.509051522000039</v>
      </c>
      <c r="CJ13" s="159">
        <f t="shared" si="72"/>
        <v>7.1671773605108537</v>
      </c>
      <c r="CK13" s="159">
        <f t="shared" si="73"/>
        <v>4.1340111130995929</v>
      </c>
    </row>
    <row r="14" spans="1:89" x14ac:dyDescent="0.25">
      <c r="A14" t="str">
        <f>PLANTILLA!D16</f>
        <v>C. Rojas</v>
      </c>
      <c r="B14" s="488">
        <f>PLANTILLA!E16</f>
        <v>31</v>
      </c>
      <c r="C14" s="488">
        <f ca="1">PLANTILLA!F16</f>
        <v>82</v>
      </c>
      <c r="D14" s="488" t="str">
        <f>PLANTILLA!G16</f>
        <v>TEC</v>
      </c>
      <c r="E14" s="290">
        <v>41653</v>
      </c>
      <c r="F14" s="341">
        <f>PLANTILLA!Q16</f>
        <v>5</v>
      </c>
      <c r="G14" s="407">
        <f t="shared" si="78"/>
        <v>0.84515425472851657</v>
      </c>
      <c r="H14" s="407">
        <f t="shared" si="75"/>
        <v>0.92504826128926143</v>
      </c>
      <c r="I14" s="497">
        <v>1.5</v>
      </c>
      <c r="J14" s="498">
        <f>PLANTILLA!I16</f>
        <v>11</v>
      </c>
      <c r="K14" s="163">
        <f>PLANTILLA!X16</f>
        <v>0</v>
      </c>
      <c r="L14" s="163">
        <f>PLANTILLA!Y16</f>
        <v>8.6075555555555585</v>
      </c>
      <c r="M14" s="163">
        <f>PLANTILLA!Z16</f>
        <v>14.190398412698405</v>
      </c>
      <c r="N14" s="163">
        <f>PLANTILLA!AA16</f>
        <v>9.99</v>
      </c>
      <c r="O14" s="163">
        <f>PLANTILLA!AB16</f>
        <v>10.09</v>
      </c>
      <c r="P14" s="163">
        <f>PLANTILLA!AC16</f>
        <v>4.3999999999999995</v>
      </c>
      <c r="Q14" s="163">
        <f>PLANTILLA!AD16</f>
        <v>16.544444444444441</v>
      </c>
      <c r="R14" s="163">
        <f t="shared" si="2"/>
        <v>3.9734444444444446</v>
      </c>
      <c r="S14" s="163">
        <f t="shared" si="3"/>
        <v>15.187081556710682</v>
      </c>
      <c r="T14" s="163">
        <f t="shared" si="4"/>
        <v>0.71633333333333327</v>
      </c>
      <c r="U14" s="163">
        <f t="shared" si="5"/>
        <v>0.84063555555555569</v>
      </c>
      <c r="V14" s="163">
        <f t="shared" ca="1" si="6"/>
        <v>16.001278480676476</v>
      </c>
      <c r="W14" s="163">
        <f t="shared" ca="1" si="7"/>
        <v>17.513909152252669</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4.0647834343124307</v>
      </c>
      <c r="AE14" s="159">
        <f t="shared" si="15"/>
        <v>4.3455179133197461</v>
      </c>
      <c r="AF14" s="159">
        <f t="shared" si="16"/>
        <v>8.3116652151591968</v>
      </c>
      <c r="AG14" s="159">
        <f t="shared" si="17"/>
        <v>2.1727589566598731</v>
      </c>
      <c r="AH14" s="159">
        <f t="shared" si="18"/>
        <v>6.5753849672701081</v>
      </c>
      <c r="AI14" s="159">
        <f t="shared" si="19"/>
        <v>10.576392804905204</v>
      </c>
      <c r="AJ14" s="159">
        <f t="shared" si="20"/>
        <v>4.7593767622073413</v>
      </c>
      <c r="AK14" s="159">
        <f t="shared" si="21"/>
        <v>2.8521799728158652</v>
      </c>
      <c r="AL14" s="159">
        <f t="shared" si="22"/>
        <v>7.5725718651640479</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16.122502361306445</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17.078921992909372</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15.046530275753156</v>
      </c>
      <c r="BH14" s="159">
        <f t="shared" si="44"/>
        <v>11.480507462807548</v>
      </c>
      <c r="BI14" s="159">
        <f t="shared" si="45"/>
        <v>3.1278241828308428</v>
      </c>
      <c r="BJ14" s="159">
        <f t="shared" si="46"/>
        <v>5.5755983808467642</v>
      </c>
      <c r="BK14" s="159">
        <f t="shared" si="47"/>
        <v>3.0349648918423626</v>
      </c>
      <c r="BL14" s="159">
        <f t="shared" si="48"/>
        <v>6.507069279298471</v>
      </c>
      <c r="BM14" s="159">
        <f t="shared" si="49"/>
        <v>11.275929609104386</v>
      </c>
      <c r="BN14" s="159">
        <f t="shared" si="50"/>
        <v>0.67488322617097019</v>
      </c>
      <c r="BO14" s="159">
        <f t="shared" si="51"/>
        <v>2.0692942444379745</v>
      </c>
      <c r="BP14" s="159">
        <f t="shared" si="52"/>
        <v>0.78173338123212377</v>
      </c>
      <c r="BQ14" s="159">
        <f t="shared" si="53"/>
        <v>5.2090712078373587</v>
      </c>
      <c r="BR14" s="159">
        <f t="shared" si="54"/>
        <v>16.590381324151302</v>
      </c>
      <c r="BS14" s="159">
        <f t="shared" si="55"/>
        <v>1.7521006833284807</v>
      </c>
      <c r="BT14" s="159">
        <f t="shared" si="56"/>
        <v>3.2648864745576929</v>
      </c>
      <c r="BU14" s="159">
        <f t="shared" si="57"/>
        <v>2.8050433091270319</v>
      </c>
      <c r="BV14" s="159">
        <f t="shared" si="58"/>
        <v>7.7709095067737648</v>
      </c>
      <c r="BW14" s="159">
        <f t="shared" si="59"/>
        <v>14.293804126873752</v>
      </c>
      <c r="BX14" s="159">
        <f t="shared" si="60"/>
        <v>1.570401353205527</v>
      </c>
      <c r="BY14" s="159">
        <f t="shared" si="61"/>
        <v>3.2648864745576929</v>
      </c>
      <c r="BZ14" s="159">
        <f t="shared" si="62"/>
        <v>2.8050433091270319</v>
      </c>
      <c r="CA14" s="159">
        <f t="shared" si="63"/>
        <v>10.776799777525813</v>
      </c>
      <c r="CB14" s="159">
        <f t="shared" si="64"/>
        <v>11.545578604288814</v>
      </c>
      <c r="CC14" s="159">
        <f t="shared" si="65"/>
        <v>1.920821489871223</v>
      </c>
      <c r="CD14" s="159">
        <f t="shared" si="66"/>
        <v>6.9340423291212057</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4.269730498227343</v>
      </c>
    </row>
    <row r="15" spans="1:89" x14ac:dyDescent="0.25">
      <c r="A15" t="str">
        <f>PLANTILLA!D17</f>
        <v>E. Gross</v>
      </c>
      <c r="B15" s="488">
        <f>PLANTILLA!E17</f>
        <v>30</v>
      </c>
      <c r="C15" s="488">
        <f ca="1">PLANTILLA!F17</f>
        <v>76</v>
      </c>
      <c r="D15" s="488"/>
      <c r="E15" s="290">
        <v>41552</v>
      </c>
      <c r="F15" s="341">
        <f>PLANTILLA!Q17</f>
        <v>6</v>
      </c>
      <c r="G15" s="407">
        <f t="shared" si="78"/>
        <v>0.92582009977255142</v>
      </c>
      <c r="H15" s="407">
        <f t="shared" si="75"/>
        <v>0.99928545900129484</v>
      </c>
      <c r="I15" s="497">
        <v>1.5</v>
      </c>
      <c r="J15" s="498">
        <f>PLANTILLA!I17</f>
        <v>9.1</v>
      </c>
      <c r="K15" s="163">
        <f>PLANTILLA!X17</f>
        <v>0</v>
      </c>
      <c r="L15" s="163">
        <f>PLANTILLA!Y17</f>
        <v>10.349999999999996</v>
      </c>
      <c r="M15" s="163">
        <f>PLANTILLA!Z17</f>
        <v>12.859777777777778</v>
      </c>
      <c r="N15" s="163">
        <f>PLANTILLA!AA17</f>
        <v>5.1299999999999981</v>
      </c>
      <c r="O15" s="163">
        <f>PLANTILLA!AB17</f>
        <v>9.24</v>
      </c>
      <c r="P15" s="163">
        <f>PLANTILLA!AC17</f>
        <v>2.98</v>
      </c>
      <c r="Q15" s="163">
        <f>PLANTILLA!AD17</f>
        <v>16.959999999999997</v>
      </c>
      <c r="R15" s="163">
        <f t="shared" si="2"/>
        <v>3.9787499999999998</v>
      </c>
      <c r="S15" s="163">
        <f t="shared" si="3"/>
        <v>12.815775302706152</v>
      </c>
      <c r="T15" s="163">
        <f t="shared" si="4"/>
        <v>0.65779999999999994</v>
      </c>
      <c r="U15" s="163">
        <f t="shared" si="5"/>
        <v>0.92279999999999984</v>
      </c>
      <c r="V15" s="163">
        <f t="shared" ca="1" si="6"/>
        <v>17.811595388614649</v>
      </c>
      <c r="W15" s="163">
        <f t="shared" ca="1" si="7"/>
        <v>19.224975000899018</v>
      </c>
      <c r="X15" s="159">
        <f t="shared" si="8"/>
        <v>5.282424180661752</v>
      </c>
      <c r="Y15" s="159">
        <f t="shared" si="9"/>
        <v>7.9860799166487073</v>
      </c>
      <c r="Z15" s="159">
        <f t="shared" si="10"/>
        <v>5.282424180661752</v>
      </c>
      <c r="AA15" s="159">
        <f t="shared" si="11"/>
        <v>6.7744204779169097</v>
      </c>
      <c r="AB15" s="159">
        <f t="shared" si="12"/>
        <v>13.12872185642812</v>
      </c>
      <c r="AC15" s="159">
        <f t="shared" si="13"/>
        <v>3.3872102389584549</v>
      </c>
      <c r="AD15" s="159">
        <f t="shared" si="14"/>
        <v>3.7219629129410046</v>
      </c>
      <c r="AE15" s="159">
        <f t="shared" si="15"/>
        <v>4.9626568617298297</v>
      </c>
      <c r="AF15" s="159">
        <f t="shared" si="16"/>
        <v>9.4920659021975311</v>
      </c>
      <c r="AG15" s="159">
        <f t="shared" si="17"/>
        <v>2.4813284308649148</v>
      </c>
      <c r="AH15" s="159">
        <f t="shared" si="18"/>
        <v>6.020822359169272</v>
      </c>
      <c r="AI15" s="159">
        <f t="shared" si="19"/>
        <v>12.078424107913872</v>
      </c>
      <c r="AJ15" s="159">
        <f t="shared" si="20"/>
        <v>5.435290848561241</v>
      </c>
      <c r="AK15" s="159">
        <f t="shared" si="21"/>
        <v>2.6116294389123857</v>
      </c>
      <c r="AL15" s="159">
        <f t="shared" si="22"/>
        <v>4.6503284515797363</v>
      </c>
      <c r="AM15" s="159">
        <f t="shared" si="23"/>
        <v>9.8990562797468034</v>
      </c>
      <c r="AN15" s="159">
        <f t="shared" si="24"/>
        <v>9.2951350743511085</v>
      </c>
      <c r="AO15" s="159">
        <f t="shared" si="25"/>
        <v>3.2963665500234964</v>
      </c>
      <c r="AP15" s="159">
        <f t="shared" si="26"/>
        <v>1.9461518946512997</v>
      </c>
      <c r="AQ15" s="159">
        <f t="shared" si="27"/>
        <v>3.5447549012355926</v>
      </c>
      <c r="AR15" s="159">
        <f t="shared" si="28"/>
        <v>7.798460782718303</v>
      </c>
      <c r="AS15" s="159">
        <f t="shared" si="29"/>
        <v>1.7723774506177963</v>
      </c>
      <c r="AT15" s="159">
        <f t="shared" si="30"/>
        <v>14.76274365469037</v>
      </c>
      <c r="AU15" s="159">
        <f t="shared" si="31"/>
        <v>1.5624338413356562</v>
      </c>
      <c r="AV15" s="159">
        <f t="shared" si="32"/>
        <v>2.4385055039334405</v>
      </c>
      <c r="AW15" s="159">
        <f t="shared" si="33"/>
        <v>0.78121692066782811</v>
      </c>
      <c r="AX15" s="159">
        <f t="shared" si="34"/>
        <v>2.4813284308649148</v>
      </c>
      <c r="AY15" s="159">
        <f t="shared" si="35"/>
        <v>5.2514887425712482</v>
      </c>
      <c r="AZ15" s="159">
        <f t="shared" si="36"/>
        <v>1.2406642154324574</v>
      </c>
      <c r="BA15" s="159">
        <f t="shared" si="37"/>
        <v>15.638499634205902</v>
      </c>
      <c r="BB15" s="159">
        <f t="shared" si="38"/>
        <v>3.0407366296763154</v>
      </c>
      <c r="BC15" s="159">
        <f t="shared" si="39"/>
        <v>5.3077157428918973</v>
      </c>
      <c r="BD15" s="159">
        <f t="shared" si="40"/>
        <v>1.5203683148381577</v>
      </c>
      <c r="BE15" s="159">
        <f t="shared" si="41"/>
        <v>3.8204580602205827</v>
      </c>
      <c r="BF15" s="159">
        <f t="shared" si="42"/>
        <v>4.5687952060369854</v>
      </c>
      <c r="BG15" s="159">
        <f t="shared" si="43"/>
        <v>13.777518177735399</v>
      </c>
      <c r="BH15" s="159">
        <f t="shared" si="44"/>
        <v>8.325503730364602</v>
      </c>
      <c r="BI15" s="159">
        <f t="shared" si="45"/>
        <v>2.8965119673991779</v>
      </c>
      <c r="BJ15" s="159">
        <f t="shared" si="46"/>
        <v>6.3674301003676383</v>
      </c>
      <c r="BK15" s="159">
        <f t="shared" si="47"/>
        <v>3.4659825700970237</v>
      </c>
      <c r="BL15" s="159">
        <f t="shared" si="48"/>
        <v>5.9582683606324487</v>
      </c>
      <c r="BM15" s="159">
        <f t="shared" si="49"/>
        <v>7.73833290251818</v>
      </c>
      <c r="BN15" s="159">
        <f t="shared" si="50"/>
        <v>0.62497353653426246</v>
      </c>
      <c r="BO15" s="159">
        <f t="shared" si="51"/>
        <v>2.3631699341570616</v>
      </c>
      <c r="BP15" s="159">
        <f t="shared" si="52"/>
        <v>0.89275308623711225</v>
      </c>
      <c r="BQ15" s="159">
        <f t="shared" si="53"/>
        <v>4.7697423884327996</v>
      </c>
      <c r="BR15" s="159">
        <f t="shared" si="54"/>
        <v>11.346076307366566</v>
      </c>
      <c r="BS15" s="159">
        <f t="shared" si="55"/>
        <v>1.6225274506177969</v>
      </c>
      <c r="BT15" s="159">
        <f t="shared" si="56"/>
        <v>3.7285570072255858</v>
      </c>
      <c r="BU15" s="159">
        <f t="shared" si="57"/>
        <v>3.2034081329684612</v>
      </c>
      <c r="BV15" s="159">
        <f t="shared" si="58"/>
        <v>7.1155173335636857</v>
      </c>
      <c r="BW15" s="159">
        <f t="shared" si="59"/>
        <v>9.7657038169223611</v>
      </c>
      <c r="BX15" s="159">
        <f t="shared" si="60"/>
        <v>1.4542653446278029</v>
      </c>
      <c r="BY15" s="159">
        <f t="shared" si="61"/>
        <v>3.7285570072255858</v>
      </c>
      <c r="BZ15" s="159">
        <f t="shared" si="62"/>
        <v>3.2034081329684612</v>
      </c>
      <c r="CA15" s="159">
        <f t="shared" si="63"/>
        <v>9.8678932691839236</v>
      </c>
      <c r="CB15" s="159">
        <f t="shared" si="64"/>
        <v>7.8715360615031704</v>
      </c>
      <c r="CC15" s="159">
        <f t="shared" si="65"/>
        <v>1.7787708347513622</v>
      </c>
      <c r="CD15" s="159">
        <f t="shared" si="66"/>
        <v>6.3492308514875964</v>
      </c>
      <c r="CE15" s="159">
        <f t="shared" si="67"/>
        <v>4.8748940871990527</v>
      </c>
      <c r="CF15" s="159">
        <f t="shared" si="68"/>
        <v>9.8835008103380684</v>
      </c>
      <c r="CG15" s="159">
        <f t="shared" si="69"/>
        <v>4.8748940871990527</v>
      </c>
      <c r="CH15" s="159">
        <f t="shared" si="70"/>
        <v>4.8217537165547206</v>
      </c>
      <c r="CI15" s="159">
        <f t="shared" si="71"/>
        <v>10.193630221450103</v>
      </c>
      <c r="CJ15" s="159">
        <f t="shared" si="72"/>
        <v>4.8217537165547206</v>
      </c>
      <c r="CK15" s="159">
        <f t="shared" si="73"/>
        <v>3.9096249085514754</v>
      </c>
    </row>
    <row r="16" spans="1:89" x14ac:dyDescent="0.25">
      <c r="A16" t="str">
        <f>PLANTILLA!D18</f>
        <v>L. Bauman</v>
      </c>
      <c r="B16" s="488">
        <f>PLANTILLA!E18</f>
        <v>30</v>
      </c>
      <c r="C16" s="488">
        <f ca="1">PLANTILLA!F18</f>
        <v>51</v>
      </c>
      <c r="D16" s="488"/>
      <c r="E16" s="290">
        <v>41686</v>
      </c>
      <c r="F16" s="341">
        <f>PLANTILLA!Q18</f>
        <v>7</v>
      </c>
      <c r="G16" s="407">
        <f t="shared" si="78"/>
        <v>1</v>
      </c>
      <c r="H16" s="407">
        <f t="shared" si="75"/>
        <v>1</v>
      </c>
      <c r="I16" s="497">
        <v>1.5</v>
      </c>
      <c r="J16" s="498">
        <f>PLANTILLA!I18</f>
        <v>8.1</v>
      </c>
      <c r="K16" s="163">
        <f>PLANTILLA!X18</f>
        <v>0</v>
      </c>
      <c r="L16" s="163">
        <f>PLANTILLA!Y18</f>
        <v>5.2811111111111115</v>
      </c>
      <c r="M16" s="163">
        <f>PLANTILLA!Z18</f>
        <v>14.283789947089938</v>
      </c>
      <c r="N16" s="163">
        <f>PLANTILLA!AA18</f>
        <v>3.5124999999999993</v>
      </c>
      <c r="O16" s="163">
        <f>PLANTILLA!AB18</f>
        <v>9.1400000000000041</v>
      </c>
      <c r="P16" s="163">
        <f>PLANTILLA!AC18</f>
        <v>7.4318888888888894</v>
      </c>
      <c r="Q16" s="163">
        <f>PLANTILLA!AD18</f>
        <v>16.07</v>
      </c>
      <c r="R16" s="163">
        <f t="shared" si="2"/>
        <v>3.3201388888888901</v>
      </c>
      <c r="S16" s="163">
        <f t="shared" si="3"/>
        <v>19.567438077851307</v>
      </c>
      <c r="T16" s="163">
        <f t="shared" si="4"/>
        <v>0.85369444444444442</v>
      </c>
      <c r="U16" s="163">
        <f t="shared" si="5"/>
        <v>0.69334444444444443</v>
      </c>
      <c r="V16" s="163">
        <f t="shared" ca="1" si="6"/>
        <v>18.281313358504867</v>
      </c>
      <c r="W16" s="163">
        <f t="shared" ca="1" si="7"/>
        <v>18.281313358504867</v>
      </c>
      <c r="X16" s="159">
        <f t="shared" si="8"/>
        <v>3.8245632286414155</v>
      </c>
      <c r="Y16" s="159">
        <f t="shared" si="9"/>
        <v>5.7447777680520051</v>
      </c>
      <c r="Z16" s="159">
        <f t="shared" si="10"/>
        <v>3.8245632286414155</v>
      </c>
      <c r="AA16" s="159">
        <f t="shared" si="11"/>
        <v>4.1240910263218451</v>
      </c>
      <c r="AB16" s="159">
        <f t="shared" si="12"/>
        <v>7.9924244696159779</v>
      </c>
      <c r="AC16" s="159">
        <f t="shared" si="13"/>
        <v>2.0620455131609225</v>
      </c>
      <c r="AD16" s="159">
        <f t="shared" si="14"/>
        <v>4.0448345867315627</v>
      </c>
      <c r="AE16" s="159">
        <f t="shared" si="15"/>
        <v>3.0211364495148398</v>
      </c>
      <c r="AF16" s="159">
        <f t="shared" si="16"/>
        <v>5.7785228915323517</v>
      </c>
      <c r="AG16" s="159">
        <f t="shared" si="17"/>
        <v>1.5105682247574199</v>
      </c>
      <c r="AH16" s="159">
        <f t="shared" si="18"/>
        <v>6.5431147726539995</v>
      </c>
      <c r="AI16" s="159">
        <f t="shared" si="19"/>
        <v>7.3530305120466997</v>
      </c>
      <c r="AJ16" s="159">
        <f t="shared" si="20"/>
        <v>3.3088637304210144</v>
      </c>
      <c r="AK16" s="159">
        <f t="shared" si="21"/>
        <v>2.8381822520343323</v>
      </c>
      <c r="AL16" s="159">
        <f t="shared" si="22"/>
        <v>3.6596022548008609</v>
      </c>
      <c r="AM16" s="159">
        <f t="shared" si="23"/>
        <v>6.0262880500904474</v>
      </c>
      <c r="AN16" s="159">
        <f t="shared" si="24"/>
        <v>5.6586365244881121</v>
      </c>
      <c r="AO16" s="159">
        <f t="shared" si="25"/>
        <v>3.1364793308703129</v>
      </c>
      <c r="AP16" s="159">
        <f t="shared" si="26"/>
        <v>1.7370582472494016</v>
      </c>
      <c r="AQ16" s="159">
        <f t="shared" si="27"/>
        <v>2.1579546067963142</v>
      </c>
      <c r="AR16" s="159">
        <f t="shared" si="28"/>
        <v>4.747500134951891</v>
      </c>
      <c r="AS16" s="159">
        <f t="shared" si="29"/>
        <v>1.0789773033981571</v>
      </c>
      <c r="AT16" s="159">
        <f t="shared" si="30"/>
        <v>16.043377520481492</v>
      </c>
      <c r="AU16" s="159">
        <f t="shared" si="31"/>
        <v>1.5406707366056334</v>
      </c>
      <c r="AV16" s="159">
        <f t="shared" si="32"/>
        <v>3.1769315918197041</v>
      </c>
      <c r="AW16" s="159">
        <f t="shared" si="33"/>
        <v>0.77033536830281668</v>
      </c>
      <c r="AX16" s="159">
        <f t="shared" si="34"/>
        <v>1.5105682247574199</v>
      </c>
      <c r="AY16" s="159">
        <f t="shared" si="35"/>
        <v>3.1969697878463914</v>
      </c>
      <c r="AZ16" s="159">
        <f t="shared" si="36"/>
        <v>0.75528411237870996</v>
      </c>
      <c r="BA16" s="159">
        <f t="shared" si="37"/>
        <v>16.995103305594803</v>
      </c>
      <c r="BB16" s="159">
        <f t="shared" si="38"/>
        <v>2.9983822797017323</v>
      </c>
      <c r="BC16" s="159">
        <f t="shared" si="39"/>
        <v>6.1713703272028502</v>
      </c>
      <c r="BD16" s="159">
        <f t="shared" si="40"/>
        <v>1.4991911398508662</v>
      </c>
      <c r="BE16" s="159">
        <f t="shared" si="41"/>
        <v>2.3257955206582492</v>
      </c>
      <c r="BF16" s="159">
        <f t="shared" si="42"/>
        <v>2.7813637154263602</v>
      </c>
      <c r="BG16" s="159">
        <f t="shared" si="43"/>
        <v>14.972686012229021</v>
      </c>
      <c r="BH16" s="159">
        <f t="shared" si="44"/>
        <v>7.3056325757108267</v>
      </c>
      <c r="BI16" s="159">
        <f t="shared" si="45"/>
        <v>2.8561665193996739</v>
      </c>
      <c r="BJ16" s="159">
        <f t="shared" si="46"/>
        <v>3.8763258677637493</v>
      </c>
      <c r="BK16" s="159">
        <f t="shared" si="47"/>
        <v>2.1100000599786184</v>
      </c>
      <c r="BL16" s="159">
        <f t="shared" si="48"/>
        <v>6.4751343594316202</v>
      </c>
      <c r="BM16" s="159">
        <f t="shared" si="49"/>
        <v>6.5707403753332549</v>
      </c>
      <c r="BN16" s="159">
        <f t="shared" si="50"/>
        <v>0.6162682946422533</v>
      </c>
      <c r="BO16" s="159">
        <f t="shared" si="51"/>
        <v>1.4386364045308759</v>
      </c>
      <c r="BP16" s="159">
        <f t="shared" si="52"/>
        <v>0.54348486393388651</v>
      </c>
      <c r="BQ16" s="159">
        <f t="shared" si="53"/>
        <v>5.1835065082064151</v>
      </c>
      <c r="BR16" s="159">
        <f t="shared" si="54"/>
        <v>9.6132889790372591</v>
      </c>
      <c r="BS16" s="159">
        <f t="shared" si="55"/>
        <v>1.5999273033981578</v>
      </c>
      <c r="BT16" s="159">
        <f t="shared" si="56"/>
        <v>2.2698485493709377</v>
      </c>
      <c r="BU16" s="159">
        <f t="shared" si="57"/>
        <v>1.9501515705862986</v>
      </c>
      <c r="BV16" s="159">
        <f t="shared" si="58"/>
        <v>7.7327720040456356</v>
      </c>
      <c r="BW16" s="159">
        <f t="shared" si="59"/>
        <v>8.2690952012233918</v>
      </c>
      <c r="BX16" s="159">
        <f t="shared" si="60"/>
        <v>1.4340089163790894</v>
      </c>
      <c r="BY16" s="159">
        <f t="shared" si="61"/>
        <v>2.2698485493709377</v>
      </c>
      <c r="BZ16" s="159">
        <f t="shared" si="62"/>
        <v>1.9501515705862986</v>
      </c>
      <c r="CA16" s="159">
        <f t="shared" si="63"/>
        <v>10.72391018583032</v>
      </c>
      <c r="CB16" s="159">
        <f t="shared" si="64"/>
        <v>6.6564204558618556</v>
      </c>
      <c r="CC16" s="159">
        <f t="shared" si="65"/>
        <v>1.753994377058721</v>
      </c>
      <c r="CD16" s="159">
        <f t="shared" si="66"/>
        <v>6.9000119420714903</v>
      </c>
      <c r="CE16" s="159">
        <f t="shared" si="67"/>
        <v>5.147244148669925</v>
      </c>
      <c r="CF16" s="159">
        <f t="shared" si="68"/>
        <v>12.348750063898706</v>
      </c>
      <c r="CG16" s="159">
        <f t="shared" si="69"/>
        <v>5.147244148669925</v>
      </c>
      <c r="CH16" s="159">
        <f t="shared" si="70"/>
        <v>5.5655818334596434</v>
      </c>
      <c r="CI16" s="159">
        <f t="shared" si="71"/>
        <v>14.516336876682054</v>
      </c>
      <c r="CJ16" s="159">
        <f t="shared" si="72"/>
        <v>5.5655818334596434</v>
      </c>
      <c r="CK16" s="159">
        <f t="shared" si="73"/>
        <v>4.2487758263987008</v>
      </c>
    </row>
    <row r="17" spans="1:89" x14ac:dyDescent="0.25">
      <c r="A17" t="str">
        <f>PLANTILLA!D19</f>
        <v>W. Gelifini</v>
      </c>
      <c r="B17" s="488">
        <f>PLANTILLA!E19</f>
        <v>28</v>
      </c>
      <c r="C17" s="488">
        <f ca="1">PLANTILLA!F19</f>
        <v>113</v>
      </c>
      <c r="D17" s="488"/>
      <c r="E17" s="290">
        <v>41737</v>
      </c>
      <c r="F17" s="341">
        <f>PLANTILLA!Q19</f>
        <v>6</v>
      </c>
      <c r="G17" s="407">
        <f t="shared" si="78"/>
        <v>0.92582009977255142</v>
      </c>
      <c r="H17" s="407">
        <f t="shared" si="75"/>
        <v>0.99928545900129484</v>
      </c>
      <c r="I17" s="497">
        <v>1.5</v>
      </c>
      <c r="J17" s="498">
        <f>PLANTILLA!I19</f>
        <v>4</v>
      </c>
      <c r="K17" s="163">
        <f>PLANTILLA!X19</f>
        <v>0</v>
      </c>
      <c r="L17" s="163">
        <f>PLANTILLA!Y19</f>
        <v>5.6315555555555523</v>
      </c>
      <c r="M17" s="163">
        <f>PLANTILLA!Z19</f>
        <v>9.8523388888888874</v>
      </c>
      <c r="N17" s="163">
        <f>PLANTILLA!AA19</f>
        <v>7.0726666666666667</v>
      </c>
      <c r="O17" s="163">
        <f>PLANTILLA!AB19</f>
        <v>9.2666666666666639</v>
      </c>
      <c r="P17" s="163">
        <f>PLANTILLA!AC19</f>
        <v>3.5417777777777766</v>
      </c>
      <c r="Q17" s="163">
        <f>PLANTILLA!AD19</f>
        <v>12.450000000000001</v>
      </c>
      <c r="R17" s="163">
        <f t="shared" si="2"/>
        <v>3.3956111111111102</v>
      </c>
      <c r="S17" s="163">
        <f t="shared" si="3"/>
        <v>10.215921218890843</v>
      </c>
      <c r="T17" s="163">
        <f t="shared" si="4"/>
        <v>0.55058888888888879</v>
      </c>
      <c r="U17" s="163">
        <f t="shared" si="5"/>
        <v>0.59876222222222208</v>
      </c>
      <c r="V17" s="163">
        <f t="shared" ca="1" si="6"/>
        <v>13.195479330261239</v>
      </c>
      <c r="W17" s="163">
        <f t="shared" ca="1" si="7"/>
        <v>14.242562483274723</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2.8929103594702954</v>
      </c>
      <c r="AE17" s="159">
        <f t="shared" si="15"/>
        <v>2.9991662356292919</v>
      </c>
      <c r="AF17" s="159">
        <f t="shared" si="16"/>
        <v>5.7365004983068202</v>
      </c>
      <c r="AG17" s="159">
        <f t="shared" si="17"/>
        <v>1.4995831178146459</v>
      </c>
      <c r="AH17" s="159">
        <f t="shared" si="18"/>
        <v>4.6797079344372428</v>
      </c>
      <c r="AI17" s="159">
        <f t="shared" si="19"/>
        <v>7.2995580338067425</v>
      </c>
      <c r="AJ17" s="159">
        <f t="shared" si="20"/>
        <v>3.2848011152130336</v>
      </c>
      <c r="AK17" s="159">
        <f t="shared" si="21"/>
        <v>2.0298992858468039</v>
      </c>
      <c r="AL17" s="159">
        <f t="shared" si="22"/>
        <v>5.5127430332011222</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11.474400753529238</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12.155085543992838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10.70863036425769</v>
      </c>
      <c r="BH17" s="159">
        <f t="shared" si="44"/>
        <v>9.0258524430540774</v>
      </c>
      <c r="BI17" s="159">
        <f t="shared" si="45"/>
        <v>2.7882286105467182</v>
      </c>
      <c r="BJ17" s="159">
        <f t="shared" si="46"/>
        <v>3.8481365721698584</v>
      </c>
      <c r="BK17" s="159">
        <f t="shared" si="47"/>
        <v>2.0946557836141086</v>
      </c>
      <c r="BL17" s="159">
        <f t="shared" si="48"/>
        <v>4.6310875922612711</v>
      </c>
      <c r="BM17" s="159">
        <f t="shared" si="49"/>
        <v>8.6351052432275193</v>
      </c>
      <c r="BN17" s="159">
        <f t="shared" si="50"/>
        <v>0.60160949273207198</v>
      </c>
      <c r="BO17" s="159">
        <f t="shared" si="51"/>
        <v>1.4281743979187103</v>
      </c>
      <c r="BP17" s="159">
        <f t="shared" si="52"/>
        <v>0.53953255032484615</v>
      </c>
      <c r="BQ17" s="159">
        <f t="shared" si="53"/>
        <v>3.7073010909178157</v>
      </c>
      <c r="BR17" s="159">
        <f t="shared" si="54"/>
        <v>12.684265531797013</v>
      </c>
      <c r="BS17" s="159">
        <f t="shared" si="55"/>
        <v>1.561870798439033</v>
      </c>
      <c r="BT17" s="159">
        <f t="shared" si="56"/>
        <v>2.2533418278272985</v>
      </c>
      <c r="BU17" s="159">
        <f t="shared" si="57"/>
        <v>1.9359697394009185</v>
      </c>
      <c r="BV17" s="159">
        <f t="shared" si="58"/>
        <v>5.5305639225167411</v>
      </c>
      <c r="BW17" s="159">
        <f t="shared" si="59"/>
        <v>10.923293960521843</v>
      </c>
      <c r="BX17" s="159">
        <f t="shared" si="60"/>
        <v>1.3998990119342443</v>
      </c>
      <c r="BY17" s="159">
        <f t="shared" si="61"/>
        <v>2.2533418278272985</v>
      </c>
      <c r="BZ17" s="159">
        <f t="shared" si="62"/>
        <v>1.9359697394009185</v>
      </c>
      <c r="CA17" s="159">
        <f t="shared" si="63"/>
        <v>7.669858978259481</v>
      </c>
      <c r="CB17" s="159">
        <f t="shared" si="64"/>
        <v>8.8144369229847008</v>
      </c>
      <c r="CC17" s="159">
        <f t="shared" si="65"/>
        <v>1.7122731716220509</v>
      </c>
      <c r="CD17" s="159">
        <f t="shared" si="66"/>
        <v>4.9349647308610924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3.0387713859982095</v>
      </c>
    </row>
    <row r="18" spans="1:89" x14ac:dyDescent="0.25">
      <c r="A18" t="str">
        <f>PLANTILLA!D20</f>
        <v>M. Amico</v>
      </c>
      <c r="B18" s="488">
        <f>PLANTILLA!E20</f>
        <v>29</v>
      </c>
      <c r="C18" s="488">
        <f ca="1">PLANTILLA!F20</f>
        <v>8</v>
      </c>
      <c r="D18" s="488" t="str">
        <f>PLANTILLA!G20</f>
        <v>IMP</v>
      </c>
      <c r="E18" s="290">
        <v>41730</v>
      </c>
      <c r="F18" s="341">
        <f>PLANTILLA!Q20</f>
        <v>6</v>
      </c>
      <c r="G18" s="407">
        <f t="shared" si="78"/>
        <v>0.92582009977255142</v>
      </c>
      <c r="H18" s="407">
        <f t="shared" si="75"/>
        <v>0.99928545900129484</v>
      </c>
      <c r="I18" s="497">
        <v>1.5</v>
      </c>
      <c r="J18" s="498">
        <f>PLANTILLA!I20</f>
        <v>1.2</v>
      </c>
      <c r="K18" s="163">
        <f>PLANTILLA!X20</f>
        <v>0</v>
      </c>
      <c r="L18" s="163">
        <f>PLANTILLA!Y20</f>
        <v>2.47611111111111</v>
      </c>
      <c r="M18" s="163">
        <f>PLANTILLA!Z20</f>
        <v>7.3199999999999976</v>
      </c>
      <c r="N18" s="163">
        <f>PLANTILLA!AA20</f>
        <v>4.17</v>
      </c>
      <c r="O18" s="163">
        <f>PLANTILLA!AB20</f>
        <v>7.2649999999999988</v>
      </c>
      <c r="P18" s="163">
        <f>PLANTILLA!AC20</f>
        <v>4.3299999999999983</v>
      </c>
      <c r="Q18" s="163">
        <f>PLANTILLA!AD20</f>
        <v>9.5</v>
      </c>
      <c r="R18" s="163">
        <f t="shared" si="2"/>
        <v>2.5007638888888883</v>
      </c>
      <c r="S18" s="163">
        <f t="shared" si="3"/>
        <v>8.3611207383536659</v>
      </c>
      <c r="T18" s="163">
        <f t="shared" si="4"/>
        <v>0.50149999999999983</v>
      </c>
      <c r="U18" s="163">
        <f t="shared" si="5"/>
        <v>0.38404444444444441</v>
      </c>
      <c r="V18" s="163">
        <f t="shared" ca="1" si="6"/>
        <v>9.818854499766358</v>
      </c>
      <c r="W18" s="163">
        <f t="shared" ca="1" si="7"/>
        <v>10.597996876581588</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2.1242868487457787</v>
      </c>
      <c r="AE18" s="159">
        <f t="shared" si="15"/>
        <v>1.5428773480080025</v>
      </c>
      <c r="AF18" s="159">
        <f t="shared" si="16"/>
        <v>2.9510590545232427</v>
      </c>
      <c r="AG18" s="159">
        <f t="shared" si="17"/>
        <v>0.77143867400400123</v>
      </c>
      <c r="AH18" s="159">
        <f t="shared" si="18"/>
        <v>3.4363463729711126</v>
      </c>
      <c r="AI18" s="159">
        <f t="shared" si="19"/>
        <v>3.7551512173739745</v>
      </c>
      <c r="AJ18" s="159">
        <f t="shared" si="20"/>
        <v>1.6898180478182885</v>
      </c>
      <c r="AK18" s="159">
        <f t="shared" si="21"/>
        <v>1.4905710241199372</v>
      </c>
      <c r="AL18" s="159">
        <f t="shared" si="22"/>
        <v>3.3960380969013375</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8.4257427950252737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8.9255749947301624</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7.8634315703572728</v>
      </c>
      <c r="BH18" s="159">
        <f t="shared" si="44"/>
        <v>6.1094111703151164</v>
      </c>
      <c r="BI18" s="159">
        <f t="shared" si="45"/>
        <v>2.1378085737299695</v>
      </c>
      <c r="BJ18" s="159">
        <f t="shared" si="46"/>
        <v>1.979617761333019</v>
      </c>
      <c r="BK18" s="159">
        <f t="shared" si="47"/>
        <v>1.0775651319420971</v>
      </c>
      <c r="BL18" s="159">
        <f t="shared" si="48"/>
        <v>3.4006440729921921</v>
      </c>
      <c r="BM18" s="159">
        <f t="shared" si="49"/>
        <v>5.669947545394165</v>
      </c>
      <c r="BN18" s="159">
        <f t="shared" si="50"/>
        <v>0.46126989972596855</v>
      </c>
      <c r="BO18" s="159">
        <f t="shared" si="51"/>
        <v>0.73470349905142973</v>
      </c>
      <c r="BP18" s="159">
        <f t="shared" si="52"/>
        <v>0.27755465519720685</v>
      </c>
      <c r="BQ18" s="159">
        <f t="shared" si="53"/>
        <v>2.7223003733926996</v>
      </c>
      <c r="BR18" s="159">
        <f t="shared" si="54"/>
        <v>8.3125594432229928</v>
      </c>
      <c r="BS18" s="159">
        <f t="shared" si="55"/>
        <v>1.1975276242885722</v>
      </c>
      <c r="BT18" s="159">
        <f t="shared" si="56"/>
        <v>1.1591988540589224</v>
      </c>
      <c r="BU18" s="159">
        <f t="shared" si="57"/>
        <v>0.99593140982527151</v>
      </c>
      <c r="BV18" s="159">
        <f t="shared" si="58"/>
        <v>4.0611366226022243</v>
      </c>
      <c r="BW18" s="159">
        <f t="shared" si="59"/>
        <v>7.1545170941610232</v>
      </c>
      <c r="BX18" s="159">
        <f t="shared" si="60"/>
        <v>1.0733395743623499</v>
      </c>
      <c r="BY18" s="159">
        <f t="shared" si="61"/>
        <v>1.1591988540589224</v>
      </c>
      <c r="BZ18" s="159">
        <f t="shared" si="62"/>
        <v>0.99593140982527151</v>
      </c>
      <c r="CA18" s="159">
        <f t="shared" si="63"/>
        <v>5.6320378216747322</v>
      </c>
      <c r="CB18" s="159">
        <f t="shared" si="64"/>
        <v>5.766474620283498</v>
      </c>
      <c r="CC18" s="159">
        <f t="shared" si="65"/>
        <v>1.3128450992200642</v>
      </c>
      <c r="CD18" s="159">
        <f t="shared" si="66"/>
        <v>3.623783447860446</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2.2313937486825406</v>
      </c>
    </row>
    <row r="19" spans="1:89" x14ac:dyDescent="0.25">
      <c r="A19" t="str">
        <f>PLANTILLA!D22</f>
        <v>J. Limon</v>
      </c>
      <c r="B19" s="488">
        <f>PLANTILLA!E22</f>
        <v>29</v>
      </c>
      <c r="C19" s="488">
        <f ca="1">PLANTILLA!F22</f>
        <v>88</v>
      </c>
      <c r="D19" s="488" t="str">
        <f>PLANTILLA!G22</f>
        <v>RAP</v>
      </c>
      <c r="E19" s="290">
        <v>41664</v>
      </c>
      <c r="F19" s="341">
        <f>PLANTILLA!Q22</f>
        <v>7</v>
      </c>
      <c r="G19" s="407">
        <f t="shared" si="78"/>
        <v>1</v>
      </c>
      <c r="H19" s="407">
        <f t="shared" si="75"/>
        <v>1</v>
      </c>
      <c r="I19" s="497">
        <v>1.5</v>
      </c>
      <c r="J19" s="498">
        <f>PLANTILLA!I22</f>
        <v>10</v>
      </c>
      <c r="K19" s="163">
        <f>PLANTILLA!X22</f>
        <v>0</v>
      </c>
      <c r="L19" s="163">
        <f>PLANTILLA!Y22</f>
        <v>6.8176190476190497</v>
      </c>
      <c r="M19" s="163">
        <f>PLANTILLA!Z22</f>
        <v>8.5</v>
      </c>
      <c r="N19" s="163">
        <f>PLANTILLA!AA22</f>
        <v>8.7299999999999969</v>
      </c>
      <c r="O19" s="163">
        <f>PLANTILLA!AB22</f>
        <v>9.6900000000000013</v>
      </c>
      <c r="P19" s="163">
        <f>PLANTILLA!AC22</f>
        <v>8.5625000000000018</v>
      </c>
      <c r="Q19" s="163">
        <f>PLANTILLA!AD22</f>
        <v>18.639999999999993</v>
      </c>
      <c r="R19" s="163">
        <f t="shared" si="2"/>
        <v>3.6497023809523816</v>
      </c>
      <c r="S19" s="163">
        <f t="shared" si="3"/>
        <v>23.127416666666669</v>
      </c>
      <c r="T19" s="163">
        <f t="shared" si="4"/>
        <v>0.9873249999999999</v>
      </c>
      <c r="U19" s="163">
        <f t="shared" si="5"/>
        <v>0.83190476190476181</v>
      </c>
      <c r="V19" s="163">
        <f t="shared" ca="1" si="6"/>
        <v>20.973333333333326</v>
      </c>
      <c r="W19" s="163">
        <f t="shared" ca="1" si="7"/>
        <v>20.973333333333326</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2.6973333333333334</v>
      </c>
      <c r="AE19" s="159">
        <f t="shared" si="15"/>
        <v>3.6480600000000014</v>
      </c>
      <c r="AF19" s="159">
        <f t="shared" si="16"/>
        <v>6.9776385714285736</v>
      </c>
      <c r="AG19" s="159">
        <f t="shared" si="17"/>
        <v>1.8240300000000007</v>
      </c>
      <c r="AH19" s="159">
        <f t="shared" si="18"/>
        <v>4.3633333333333333</v>
      </c>
      <c r="AI19" s="159">
        <f t="shared" si="19"/>
        <v>8.8788761904761948</v>
      </c>
      <c r="AJ19" s="159">
        <f t="shared" si="20"/>
        <v>3.9954942857142868</v>
      </c>
      <c r="AK19" s="159">
        <f t="shared" si="21"/>
        <v>1.8926666666666669</v>
      </c>
      <c r="AL19" s="159">
        <f t="shared" si="22"/>
        <v>6.7992399999999984</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10.698666666666666</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11.333333333333334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9.9846666666666675</v>
      </c>
      <c r="BH19" s="159">
        <f t="shared" si="44"/>
        <v>10.582203333333332</v>
      </c>
      <c r="BI19" s="159">
        <f t="shared" si="45"/>
        <v>3.0181233333333335</v>
      </c>
      <c r="BJ19" s="159">
        <f t="shared" si="46"/>
        <v>4.6807119047619068</v>
      </c>
      <c r="BK19" s="159">
        <f t="shared" si="47"/>
        <v>2.5478514285714295</v>
      </c>
      <c r="BL19" s="159">
        <f t="shared" si="48"/>
        <v>4.3180000000000005</v>
      </c>
      <c r="BM19" s="159">
        <f t="shared" si="49"/>
        <v>10.299313333333332</v>
      </c>
      <c r="BN19" s="159">
        <f t="shared" si="50"/>
        <v>0.65121333333333342</v>
      </c>
      <c r="BO19" s="159">
        <f t="shared" si="51"/>
        <v>1.7371714285714293</v>
      </c>
      <c r="BP19" s="159">
        <f t="shared" si="52"/>
        <v>0.65626476190476224</v>
      </c>
      <c r="BQ19" s="159">
        <f t="shared" si="53"/>
        <v>3.4566666666666666</v>
      </c>
      <c r="BR19" s="159">
        <f t="shared" si="54"/>
        <v>15.145006666666664</v>
      </c>
      <c r="BS19" s="159">
        <f t="shared" si="55"/>
        <v>1.6906500000000004</v>
      </c>
      <c r="BT19" s="159">
        <f t="shared" si="56"/>
        <v>2.740870476190477</v>
      </c>
      <c r="BU19" s="159">
        <f t="shared" si="57"/>
        <v>2.3548323809523817</v>
      </c>
      <c r="BV19" s="159">
        <f t="shared" si="58"/>
        <v>5.1566666666666672</v>
      </c>
      <c r="BW19" s="159">
        <f t="shared" si="59"/>
        <v>13.046413333333332</v>
      </c>
      <c r="BX19" s="159">
        <f t="shared" si="60"/>
        <v>1.5153233333333336</v>
      </c>
      <c r="BY19" s="159">
        <f t="shared" si="61"/>
        <v>2.740870476190477</v>
      </c>
      <c r="BZ19" s="159">
        <f t="shared" si="62"/>
        <v>2.3548323809523817</v>
      </c>
      <c r="CA19" s="159">
        <f t="shared" si="63"/>
        <v>7.1513333333333335</v>
      </c>
      <c r="CB19" s="159">
        <f t="shared" si="64"/>
        <v>10.534463333333331</v>
      </c>
      <c r="CC19" s="159">
        <f t="shared" si="65"/>
        <v>1.8534533333333336</v>
      </c>
      <c r="CD19" s="159">
        <f t="shared" si="66"/>
        <v>4.6013333333333337</v>
      </c>
      <c r="CE19" s="159">
        <f t="shared" si="67"/>
        <v>6.2432241666666668</v>
      </c>
      <c r="CF19" s="159">
        <f t="shared" si="68"/>
        <v>13.443940833333336</v>
      </c>
      <c r="CG19" s="159">
        <f t="shared" si="69"/>
        <v>6.2432241666666668</v>
      </c>
      <c r="CH19" s="159">
        <f t="shared" si="70"/>
        <v>7.1667266666666665</v>
      </c>
      <c r="CI19" s="159">
        <f t="shared" si="71"/>
        <v>16.016943333333337</v>
      </c>
      <c r="CJ19" s="159">
        <f t="shared" si="72"/>
        <v>7.1667266666666665</v>
      </c>
      <c r="CK19" s="159">
        <f t="shared" si="73"/>
        <v>2.8333333333333335</v>
      </c>
    </row>
    <row r="20" spans="1:89" x14ac:dyDescent="0.25">
      <c r="A20" t="str">
        <f>PLANTILLA!D23</f>
        <v>L. Calosso</v>
      </c>
      <c r="B20" s="488">
        <f>PLANTILLA!E23</f>
        <v>30</v>
      </c>
      <c r="C20" s="488">
        <f ca="1">PLANTILLA!F23</f>
        <v>45</v>
      </c>
      <c r="D20" s="488" t="str">
        <f>PLANTILLA!G23</f>
        <v>TEC</v>
      </c>
      <c r="E20" s="290">
        <v>41890</v>
      </c>
      <c r="F20" s="341">
        <f>PLANTILLA!Q23</f>
        <v>7</v>
      </c>
      <c r="G20" s="407">
        <f t="shared" si="78"/>
        <v>1</v>
      </c>
      <c r="H20" s="407">
        <f t="shared" si="75"/>
        <v>1</v>
      </c>
      <c r="I20" s="497">
        <v>1.5</v>
      </c>
      <c r="J20" s="498">
        <f>PLANTILLA!I23</f>
        <v>10.199999999999999</v>
      </c>
      <c r="K20" s="163">
        <f>PLANTILLA!X23</f>
        <v>0</v>
      </c>
      <c r="L20" s="163">
        <f>PLANTILLA!Y23</f>
        <v>2</v>
      </c>
      <c r="M20" s="163">
        <f>PLANTILLA!Z23</f>
        <v>14.127609523809523</v>
      </c>
      <c r="N20" s="163">
        <f>PLANTILLA!AA23</f>
        <v>3.02</v>
      </c>
      <c r="O20" s="163">
        <f>PLANTILLA!AB23</f>
        <v>15.02</v>
      </c>
      <c r="P20" s="163">
        <f>PLANTILLA!AC23</f>
        <v>10</v>
      </c>
      <c r="Q20" s="163">
        <f>PLANTILLA!AD23</f>
        <v>9.3000000000000007</v>
      </c>
      <c r="R20" s="163">
        <f t="shared" si="2"/>
        <v>4.38</v>
      </c>
      <c r="S20" s="163">
        <f t="shared" si="3"/>
        <v>20.402008506125121</v>
      </c>
      <c r="T20" s="163">
        <f t="shared" si="4"/>
        <v>0.77900000000000003</v>
      </c>
      <c r="U20" s="163">
        <f t="shared" si="5"/>
        <v>0.35899999999999999</v>
      </c>
      <c r="V20" s="163">
        <f t="shared" ca="1" si="6"/>
        <v>11.644800229015891</v>
      </c>
      <c r="W20" s="163">
        <f t="shared" ca="1" si="7"/>
        <v>11.644800229015891</v>
      </c>
      <c r="X20" s="159">
        <f t="shared" si="8"/>
        <v>3.035510599930872</v>
      </c>
      <c r="Y20" s="159">
        <f t="shared" si="9"/>
        <v>4.5226370956595137</v>
      </c>
      <c r="Z20" s="159">
        <f t="shared" si="10"/>
        <v>3.035510599930872</v>
      </c>
      <c r="AA20" s="159">
        <f t="shared" si="11"/>
        <v>2.4999169181721994</v>
      </c>
      <c r="AB20" s="159">
        <f t="shared" si="12"/>
        <v>4.84480022901589</v>
      </c>
      <c r="AC20" s="159">
        <f t="shared" si="13"/>
        <v>1.2499584590860997</v>
      </c>
      <c r="AD20" s="159">
        <f t="shared" si="14"/>
        <v>4.0394335211724481</v>
      </c>
      <c r="AE20" s="159">
        <f t="shared" si="15"/>
        <v>1.8313344865680063</v>
      </c>
      <c r="AF20" s="159">
        <f t="shared" si="16"/>
        <v>3.5027905655784886</v>
      </c>
      <c r="AG20" s="159">
        <f t="shared" si="17"/>
        <v>0.91566724328400317</v>
      </c>
      <c r="AH20" s="159">
        <f t="shared" si="18"/>
        <v>6.5343777548377844</v>
      </c>
      <c r="AI20" s="159">
        <f t="shared" si="19"/>
        <v>4.4572162106946189</v>
      </c>
      <c r="AJ20" s="159">
        <f t="shared" si="20"/>
        <v>2.0057472948125783</v>
      </c>
      <c r="AK20" s="159">
        <f t="shared" si="21"/>
        <v>2.834392428721844</v>
      </c>
      <c r="AL20" s="159">
        <f t="shared" si="22"/>
        <v>3.4485025346613427</v>
      </c>
      <c r="AM20" s="159">
        <f t="shared" si="23"/>
        <v>3.6529793726779811</v>
      </c>
      <c r="AN20" s="159">
        <f t="shared" si="24"/>
        <v>3.4301185621432499</v>
      </c>
      <c r="AO20" s="159">
        <f t="shared" si="25"/>
        <v>2.0281816382456537</v>
      </c>
      <c r="AP20" s="159">
        <f t="shared" si="26"/>
        <v>2.0807424659565763</v>
      </c>
      <c r="AQ20" s="159">
        <f t="shared" si="27"/>
        <v>1.3080960618342905</v>
      </c>
      <c r="AR20" s="159">
        <f t="shared" si="28"/>
        <v>2.8778113360354385</v>
      </c>
      <c r="AS20" s="159">
        <f t="shared" si="29"/>
        <v>0.65404803091714525</v>
      </c>
      <c r="AT20" s="159">
        <f t="shared" si="30"/>
        <v>16.021954806667189</v>
      </c>
      <c r="AU20" s="159">
        <f t="shared" si="31"/>
        <v>2.322424029772066</v>
      </c>
      <c r="AV20" s="159">
        <f t="shared" si="32"/>
        <v>4.3659264671016551</v>
      </c>
      <c r="AW20" s="159">
        <f t="shared" si="33"/>
        <v>1.161212014886033</v>
      </c>
      <c r="AX20" s="159">
        <f t="shared" si="34"/>
        <v>0.91566724328400317</v>
      </c>
      <c r="AY20" s="159">
        <f t="shared" si="35"/>
        <v>1.9379200916063561</v>
      </c>
      <c r="AZ20" s="159">
        <f t="shared" si="36"/>
        <v>0.45783362164200159</v>
      </c>
      <c r="BA20" s="159">
        <f t="shared" si="37"/>
        <v>16.972409752825413</v>
      </c>
      <c r="BB20" s="159">
        <f t="shared" si="38"/>
        <v>4.5197944579410203</v>
      </c>
      <c r="BC20" s="159">
        <f t="shared" si="39"/>
        <v>8.7893049261877572</v>
      </c>
      <c r="BD20" s="159">
        <f t="shared" si="40"/>
        <v>2.2598972289705102</v>
      </c>
      <c r="BE20" s="159">
        <f t="shared" si="41"/>
        <v>1.4098368666436238</v>
      </c>
      <c r="BF20" s="159">
        <f t="shared" si="42"/>
        <v>1.6859904796975296</v>
      </c>
      <c r="BG20" s="159">
        <f t="shared" si="43"/>
        <v>14.952692992239189</v>
      </c>
      <c r="BH20" s="159">
        <f t="shared" si="44"/>
        <v>8.9938074035951256</v>
      </c>
      <c r="BI20" s="159">
        <f t="shared" si="45"/>
        <v>4.3054168551928296</v>
      </c>
      <c r="BJ20" s="159">
        <f t="shared" si="46"/>
        <v>2.3497281110727064</v>
      </c>
      <c r="BK20" s="159">
        <f t="shared" si="47"/>
        <v>1.2790272604601951</v>
      </c>
      <c r="BL20" s="159">
        <f t="shared" si="48"/>
        <v>6.4664881158264826</v>
      </c>
      <c r="BM20" s="159">
        <f t="shared" si="49"/>
        <v>7.5378354001598886</v>
      </c>
      <c r="BN20" s="159">
        <f t="shared" si="50"/>
        <v>0.92896961190882632</v>
      </c>
      <c r="BO20" s="159">
        <f t="shared" si="51"/>
        <v>0.87206404122286019</v>
      </c>
      <c r="BP20" s="159">
        <f t="shared" si="52"/>
        <v>0.32944641557308052</v>
      </c>
      <c r="BQ20" s="159">
        <f t="shared" si="53"/>
        <v>5.1765849746117514</v>
      </c>
      <c r="BR20" s="159">
        <f t="shared" si="54"/>
        <v>10.974133094514434</v>
      </c>
      <c r="BS20" s="159">
        <f t="shared" si="55"/>
        <v>2.4117480309171455</v>
      </c>
      <c r="BT20" s="159">
        <f t="shared" si="56"/>
        <v>1.3759232650405127</v>
      </c>
      <c r="BU20" s="159">
        <f t="shared" si="57"/>
        <v>1.1821312558798771</v>
      </c>
      <c r="BV20" s="159">
        <f t="shared" si="58"/>
        <v>7.722446437535563</v>
      </c>
      <c r="BW20" s="159">
        <f t="shared" si="59"/>
        <v>9.426198653749605</v>
      </c>
      <c r="BX20" s="159">
        <f t="shared" si="60"/>
        <v>2.1616408277109227</v>
      </c>
      <c r="BY20" s="159">
        <f t="shared" si="61"/>
        <v>1.3759232650405127</v>
      </c>
      <c r="BZ20" s="159">
        <f t="shared" si="62"/>
        <v>1.1821312558798771</v>
      </c>
      <c r="CA20" s="159">
        <f t="shared" si="63"/>
        <v>10.709590554032836</v>
      </c>
      <c r="CB20" s="159">
        <f t="shared" si="64"/>
        <v>7.564996204969221</v>
      </c>
      <c r="CC20" s="159">
        <f t="shared" si="65"/>
        <v>2.6439904338943516</v>
      </c>
      <c r="CD20" s="159">
        <f t="shared" si="66"/>
        <v>6.8907983596471185</v>
      </c>
      <c r="CE20" s="159">
        <f t="shared" si="67"/>
        <v>8.2992049376385495</v>
      </c>
      <c r="CF20" s="159">
        <f t="shared" si="68"/>
        <v>17.189105057871892</v>
      </c>
      <c r="CG20" s="159">
        <f t="shared" si="69"/>
        <v>8.2992049376385495</v>
      </c>
      <c r="CH20" s="159">
        <f t="shared" si="70"/>
        <v>7.0425705426768994</v>
      </c>
      <c r="CI20" s="159">
        <f t="shared" si="71"/>
        <v>19.436911513522752</v>
      </c>
      <c r="CJ20" s="159">
        <f t="shared" si="72"/>
        <v>7.0425705426768994</v>
      </c>
      <c r="CK20" s="159">
        <f t="shared" si="73"/>
        <v>4.2431024382063534</v>
      </c>
    </row>
    <row r="21" spans="1:89" x14ac:dyDescent="0.25">
      <c r="A21" t="str">
        <f>PLANTILLA!D24</f>
        <v>P .Trivadi</v>
      </c>
      <c r="B21" s="488">
        <f>PLANTILLA!E24</f>
        <v>27</v>
      </c>
      <c r="C21" s="488">
        <f ca="1">PLANTILLA!F24</f>
        <v>7</v>
      </c>
      <c r="D21" s="488"/>
      <c r="E21" s="290">
        <v>41973</v>
      </c>
      <c r="F21" s="341">
        <f>PLANTILLA!Q24</f>
        <v>5</v>
      </c>
      <c r="G21" s="407">
        <f t="shared" si="78"/>
        <v>0.84515425472851657</v>
      </c>
      <c r="H21" s="407">
        <f t="shared" si="75"/>
        <v>0.92504826128926143</v>
      </c>
      <c r="I21" s="497">
        <v>1.5</v>
      </c>
      <c r="J21" s="498">
        <f>PLANTILLA!I24</f>
        <v>5.3</v>
      </c>
      <c r="K21" s="163">
        <f>PLANTILLA!X24</f>
        <v>0</v>
      </c>
      <c r="L21" s="163">
        <f>PLANTILLA!Y24</f>
        <v>4</v>
      </c>
      <c r="M21" s="163">
        <f>PLANTILLA!Z24</f>
        <v>5.5438722222222205</v>
      </c>
      <c r="N21" s="163">
        <f>PLANTILLA!AA24</f>
        <v>5.4899999999999993</v>
      </c>
      <c r="O21" s="163">
        <f>PLANTILLA!AB24</f>
        <v>10.799999999999999</v>
      </c>
      <c r="P21" s="163">
        <f>PLANTILLA!AC24</f>
        <v>8.384500000000001</v>
      </c>
      <c r="Q21" s="163">
        <f>PLANTILLA!AD24</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1.9062784648422055</v>
      </c>
      <c r="AE21" s="159">
        <f t="shared" si="15"/>
        <v>2.4440350382787974</v>
      </c>
      <c r="AF21" s="159">
        <f t="shared" si="16"/>
        <v>4.6747019382951605</v>
      </c>
      <c r="AG21" s="159">
        <f t="shared" si="17"/>
        <v>1.2220175191393987</v>
      </c>
      <c r="AH21" s="159">
        <f t="shared" si="18"/>
        <v>3.0836857519506267</v>
      </c>
      <c r="AI21" s="159">
        <f t="shared" si="19"/>
        <v>5.9484450667103008</v>
      </c>
      <c r="AJ21" s="159">
        <f t="shared" si="20"/>
        <v>2.6768002800196351</v>
      </c>
      <c r="AK21" s="159">
        <f t="shared" si="21"/>
        <v>1.3375987547422199</v>
      </c>
      <c r="AL21" s="159">
        <f t="shared" si="22"/>
        <v>4.6779522817670181</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7.5610372723153025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8.0095733816899397</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7.0564341492688367</v>
      </c>
      <c r="BH21" s="159">
        <f t="shared" si="44"/>
        <v>8.7452683307668018</v>
      </c>
      <c r="BI21" s="159">
        <f t="shared" si="45"/>
        <v>3.19703397943172</v>
      </c>
      <c r="BJ21" s="159">
        <f t="shared" si="46"/>
        <v>3.1358650623418431</v>
      </c>
      <c r="BK21" s="159">
        <f t="shared" si="47"/>
        <v>1.7069451060994778</v>
      </c>
      <c r="BL21" s="159">
        <f t="shared" si="48"/>
        <v>3.0516474584238669</v>
      </c>
      <c r="BM21" s="159">
        <f t="shared" si="49"/>
        <v>8.0205928133747868</v>
      </c>
      <c r="BN21" s="159">
        <f t="shared" si="50"/>
        <v>0.68981646029232124</v>
      </c>
      <c r="BO21" s="159">
        <f t="shared" si="51"/>
        <v>1.1638262087041893</v>
      </c>
      <c r="BP21" s="159">
        <f t="shared" si="52"/>
        <v>0.43966767884380487</v>
      </c>
      <c r="BQ21" s="159">
        <f t="shared" si="53"/>
        <v>2.4429198814154316</v>
      </c>
      <c r="BR21" s="159">
        <f t="shared" si="54"/>
        <v>11.749691691075485</v>
      </c>
      <c r="BS21" s="159">
        <f t="shared" si="55"/>
        <v>1.7908696565281419</v>
      </c>
      <c r="BT21" s="159">
        <f t="shared" si="56"/>
        <v>1.8362591292888317</v>
      </c>
      <c r="BU21" s="159">
        <f t="shared" si="57"/>
        <v>1.5776310829101232</v>
      </c>
      <c r="BV21" s="159">
        <f t="shared" si="58"/>
        <v>3.6443558886689229</v>
      </c>
      <c r="BW21" s="159">
        <f t="shared" si="59"/>
        <v>10.110556884690231</v>
      </c>
      <c r="BX21" s="159">
        <f t="shared" si="60"/>
        <v>1.6051498402955937</v>
      </c>
      <c r="BY21" s="159">
        <f t="shared" si="61"/>
        <v>1.8362591292888317</v>
      </c>
      <c r="BZ21" s="159">
        <f t="shared" si="62"/>
        <v>1.5776310829101232</v>
      </c>
      <c r="CA21" s="159">
        <f t="shared" si="63"/>
        <v>5.0540408038463518</v>
      </c>
      <c r="CB21" s="159">
        <f t="shared" si="64"/>
        <v>8.145182537723608</v>
      </c>
      <c r="CC21" s="159">
        <f t="shared" si="65"/>
        <v>1.963323771601222</v>
      </c>
      <c r="CD21" s="159">
        <f t="shared" si="66"/>
        <v>3.2518867929661157</v>
      </c>
      <c r="CE21" s="159">
        <f t="shared" si="67"/>
        <v>5.8400218040826815</v>
      </c>
      <c r="CF21" s="159">
        <f t="shared" si="68"/>
        <v>13.528943005560652</v>
      </c>
      <c r="CG21" s="159">
        <f t="shared" si="69"/>
        <v>5.8400218040826815</v>
      </c>
      <c r="CH21" s="159">
        <f t="shared" si="70"/>
        <v>6.3329918223483883</v>
      </c>
      <c r="CI21" s="159">
        <f t="shared" si="71"/>
        <v>15.745244887311307</v>
      </c>
      <c r="CJ21" s="159">
        <f t="shared" si="72"/>
        <v>6.3329918223483883</v>
      </c>
      <c r="CK21" s="159">
        <f t="shared" si="73"/>
        <v>2.0023933454224849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7.2747122005898603</v>
      </c>
      <c r="M27">
        <f>L14*H14</f>
        <v>7.9624043006173926</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0.29662666689775835</v>
      </c>
      <c r="M29" s="47">
        <f>(L25-M27)/M27</f>
        <v>0.20343525282971528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4</v>
      </c>
      <c r="E3" s="633"/>
      <c r="F3" s="290">
        <v>42468</v>
      </c>
      <c r="G3" s="497">
        <v>1</v>
      </c>
      <c r="H3" s="498">
        <f>PLANTILLA!I5</f>
        <v>18.100000000000001</v>
      </c>
      <c r="I3" s="498"/>
      <c r="J3" s="163">
        <f>PLANTILLA!X5</f>
        <v>16.666666666666668</v>
      </c>
      <c r="K3" s="163">
        <f>PLANTILLA!Y5</f>
        <v>11.832727272727276</v>
      </c>
      <c r="L3" s="163">
        <f>PLANTILLA!Z5</f>
        <v>2.0399999999999991</v>
      </c>
      <c r="M3" s="163">
        <f>PLANTILLA!AA5</f>
        <v>2.1399999999999992</v>
      </c>
      <c r="N3" s="163">
        <f>PLANTILLA!AB5</f>
        <v>1.0400000000000003</v>
      </c>
      <c r="O3" s="163">
        <f>PLANTILLA!AC5</f>
        <v>0.14055555555555557</v>
      </c>
      <c r="P3" s="163">
        <f>PLANTILLA!AD5</f>
        <v>17.849999999999998</v>
      </c>
      <c r="Q3" s="163">
        <f>((2*(N3+1))+(K3+1))/8</f>
        <v>2.1140909090909092</v>
      </c>
      <c r="R3" s="163">
        <f>1.66*(O3+(LOG(H3)*4/3)+G3)+0.55*(P3+(LOG(H3)*4/3)+G3)-7.6</f>
        <v>8.3667817561700861</v>
      </c>
      <c r="S3" s="163">
        <f>(0.5*O3+ 0.3*P3)/10</f>
        <v>0.54252777777777772</v>
      </c>
      <c r="T3" s="163">
        <f>(0.4*K3+0.3*P3)/10</f>
        <v>1.008809090909091</v>
      </c>
      <c r="U3" s="163">
        <f t="shared" ref="U3:U22" ca="1" si="0">IF(TODAY()-F3&gt;335,(P3+1+(LOG(H3)*4/3)),(P3+((TODAY()-F3)^0.5)/(336^0.5)+(LOG(H3)*4/3)))</f>
        <v>20.526904766492244</v>
      </c>
      <c r="V3" s="159">
        <f t="shared" ref="V3:V22" si="1">((J3+G3+(LOG(H3)*4/3))*0.597)+((K3+G3+(LOG(H3)*4/3))*0.276)</f>
        <v>15.55277058842046</v>
      </c>
      <c r="W3" s="159">
        <f t="shared" ref="W3:W22" si="2">((J3+G3+(LOG(H3)*4/3))*0.866)+((K3+G3+(LOG(H3)*4/3))*0.425)</f>
        <v>22.918126477783918</v>
      </c>
      <c r="X3" s="159">
        <f>V3</f>
        <v>15.55277058842046</v>
      </c>
      <c r="Y3" s="159">
        <f t="shared" ref="Y3:Y22" si="3">((K3+G3+(LOG(H3)*4/3))*0.516)</f>
        <v>7.486970132237273</v>
      </c>
      <c r="Z3" s="159">
        <f t="shared" ref="Z3:Z22" si="4">(K3+G3+(LOG(H3)*4/3))*1</f>
        <v>14.509632039219522</v>
      </c>
      <c r="AA3" s="159">
        <f>Y3/2</f>
        <v>3.7434850661186365</v>
      </c>
      <c r="AB3" s="159">
        <f t="shared" ref="AB3:AB22" si="5">(L3+G3+(LOG(H3)*4/3))*0.238</f>
        <v>1.1226233344251544</v>
      </c>
      <c r="AC3" s="159">
        <f t="shared" ref="AC3:AC22" si="6">((K3+G3+(LOG(H3)*4/3))*0.378)</f>
        <v>5.4846409108249796</v>
      </c>
      <c r="AD3" s="159">
        <f t="shared" ref="AD3:AD22" si="7">(K3+G3+(LOG(H3)*4/3))*0.723</f>
        <v>10.490463964355714</v>
      </c>
      <c r="AE3" s="159">
        <f>AC3/2</f>
        <v>2.7423204554124898</v>
      </c>
      <c r="AF3" s="159">
        <f t="shared" ref="AF3:AF22" si="8">(L3+G3+(LOG(H3)*4/3))*0.385</f>
        <v>1.8160083350995144</v>
      </c>
      <c r="AG3" s="357">
        <f t="shared" ref="AG3:AG22" si="9">((K3+G3+(LOG(H3)*4/3))*0.92)</f>
        <v>13.348861476081961</v>
      </c>
      <c r="AH3" s="159">
        <f t="shared" ref="AH3:AH22" si="10">(K3+G3+(LOG(H3)*4/3))*0.414</f>
        <v>6.006987664236882</v>
      </c>
      <c r="AI3" s="159">
        <f t="shared" ref="AI3:AI22" si="11">((L3+G3+(LOG(H3)*4/3))*0.167)</f>
        <v>0.78772309600420498</v>
      </c>
      <c r="AJ3" s="357">
        <f t="shared" ref="AJ3:AJ22" si="12">(M3+G3+(LOG(H3)*4/3))*0.588</f>
        <v>2.8323400026974399</v>
      </c>
      <c r="AK3" s="159">
        <f t="shared" ref="AK3:AK22" si="13">((K3+G3+(LOG(H3)*4/3))*0.754)</f>
        <v>10.94026255757152</v>
      </c>
      <c r="AL3" s="159">
        <f t="shared" ref="AL3:AL22" si="14">((K3+G3+(LOG(H3)*4/3))*0.708)</f>
        <v>10.272819483767421</v>
      </c>
      <c r="AM3" s="159">
        <f t="shared" ref="AM3:AM22" si="15">((P3+G3+(LOG(H3)*4/3))*0.167)</f>
        <v>3.4279930960042049</v>
      </c>
      <c r="AN3" s="159">
        <f t="shared" ref="AN3:AN22" si="16">((Q3+G3+(LOG(H3)*4/3))*0.288)</f>
        <v>1.3798067545679487</v>
      </c>
      <c r="AO3" s="159">
        <f t="shared" ref="AO3:AO22" si="17">((K3+G3+(LOG(H3)*4/3))*0.27)</f>
        <v>3.9176006505892711</v>
      </c>
      <c r="AP3" s="159">
        <f t="shared" ref="AP3:AP22" si="18">((K3+G3+(LOG(H3)*4/3))*0.594)</f>
        <v>8.6187214312963949</v>
      </c>
      <c r="AQ3" s="159">
        <f>AO3/2</f>
        <v>1.9588003252946355</v>
      </c>
      <c r="AR3" s="159">
        <f t="shared" ref="AR3:AR22" si="19">((L3+G3+(LOG(H3)*4/3))*0.944)</f>
        <v>4.4527580995686789</v>
      </c>
      <c r="AS3" s="159">
        <f t="shared" ref="AS3:AS22" si="20">((N3+G3+(LOG(H3)*4/3))*0.13)</f>
        <v>0.48319761964399199</v>
      </c>
      <c r="AT3" s="159">
        <f t="shared" ref="AT3:AT22" si="21">((O3+G3+(LOG(H3)*4/3))*0.173)+((N3+G3+(LOG(H3)*4/3))*0.12)</f>
        <v>0.93344920769333917</v>
      </c>
      <c r="AU3" s="159">
        <f>AS3/2</f>
        <v>0.241598809821996</v>
      </c>
      <c r="AV3" s="159">
        <f t="shared" ref="AV3:AV22" si="22">((K3+G3+(LOG(H3)*4/3))*0.189)</f>
        <v>2.7423204554124898</v>
      </c>
      <c r="AW3" s="159">
        <f t="shared" ref="AW3:AW22" si="23">((K3+G3+(LOG(H3)*4/3))*0.4)</f>
        <v>5.8038528156878089</v>
      </c>
      <c r="AX3" s="159">
        <f>AV3/2</f>
        <v>1.3711602277062449</v>
      </c>
      <c r="AY3" s="159">
        <f t="shared" ref="AY3:AY22" si="24">((L3+G3+(LOG(H3)*4/3))*1)</f>
        <v>4.7169047664922452</v>
      </c>
      <c r="AZ3" s="159">
        <f t="shared" ref="AZ3:AZ22" si="25">((N3+G3+(LOG(H3)*4/3))*0.253)</f>
        <v>0.94037690592253831</v>
      </c>
      <c r="BA3" s="159">
        <f t="shared" ref="BA3:BA22" si="26">((O3+G3+(LOG(H3)*4/3))*0.21)+((N3+G3+(LOG(H3)*4/3))*0.341)</f>
        <v>1.8591311930038943</v>
      </c>
      <c r="BB3" s="159">
        <f>AZ3/2</f>
        <v>0.47018845296126915</v>
      </c>
      <c r="BC3" s="159">
        <f t="shared" ref="BC3:BC22" si="27">((K3+G3+(LOG(H3)*4/3))*0.291)</f>
        <v>4.2223029234128804</v>
      </c>
      <c r="BD3" s="159">
        <f t="shared" ref="BD3:BD22" si="28">((K3+G3+(LOG(H3)*4/3))*0.348)</f>
        <v>5.0493519496483934</v>
      </c>
      <c r="BE3" s="159">
        <f t="shared" ref="BE3:BE22" si="29">((L3+G3+(LOG(H3)*4/3))*0.881)</f>
        <v>4.1555930992796677</v>
      </c>
      <c r="BF3" s="159">
        <f t="shared" ref="BF3:BF22" si="30">((M3+G3+(LOG(H3)*4/3))*0.574)+((N3+G3+(LOG(H3)*4/3))*0.315)</f>
        <v>3.9357283374116059</v>
      </c>
      <c r="BG3" s="159">
        <f t="shared" ref="BG3:BG22" si="31">((N3+G3+(LOG(H3)*4/3))*0.241)</f>
        <v>0.89577404872463129</v>
      </c>
      <c r="BH3" s="159">
        <f t="shared" ref="BH3:BH22" si="32">((K3+G3+(LOG(H3)*4/3))*0.485)</f>
        <v>7.0371715390214682</v>
      </c>
      <c r="BI3" s="159">
        <f t="shared" ref="BI3:BI22" si="33">((K3+G3+(LOG(H3)*4/3))*0.264)</f>
        <v>3.830542858353954</v>
      </c>
      <c r="BJ3" s="159">
        <f t="shared" ref="BJ3:BJ22" si="34">((L3+G3+(LOG(H3)*4/3))*0.381)</f>
        <v>1.7971407160335455</v>
      </c>
      <c r="BK3" s="159">
        <f t="shared" ref="BK3:BK22" si="35">((M3+G3+(LOG(H3)*4/3))*0.673)+((N3+G3+(LOG(H3)*4/3))*0.201)</f>
        <v>3.9888747659142223</v>
      </c>
      <c r="BL3" s="159">
        <f t="shared" ref="BL3:BL22" si="36">((N3+G3+(LOG(H3)*4/3))*0.052)</f>
        <v>0.19327904785759678</v>
      </c>
      <c r="BM3" s="159">
        <f t="shared" ref="BM3:BM22" si="37">((K3+G3+(LOG(H3)*4/3))*0.18)</f>
        <v>2.6117337670595138</v>
      </c>
      <c r="BN3" s="159">
        <f t="shared" ref="BN3:BN22" si="38">(K3+G3+(LOG(H3)*4/3))*0.068</f>
        <v>0.98665497866692753</v>
      </c>
      <c r="BO3" s="159">
        <f t="shared" ref="BO3:BO22" si="39">((L3+G3+(LOG(H3)*4/3))*0.305)</f>
        <v>1.4386559537801347</v>
      </c>
      <c r="BP3" s="159">
        <f t="shared" ref="BP3:BP22" si="40">((M3+G3+(LOG(H3)*4/3))*1)+((N3+G3+(LOG(H3)*4/3))*0.286)</f>
        <v>5.8799395297090271</v>
      </c>
      <c r="BQ3" s="159">
        <f t="shared" ref="BQ3:BQ22" si="41">((N3+G3+(LOG(H3)*4/3))*0.135)</f>
        <v>0.50178214347645322</v>
      </c>
      <c r="BR3" s="159">
        <f t="shared" ref="BR3:BR22" si="42">((K3+G3+(LOG(H3)*4/3))*0.284)</f>
        <v>4.1207354991383438</v>
      </c>
      <c r="BS3" s="159">
        <f t="shared" ref="BS3:BS22" si="43">(K3+G3+(LOG(H3)*4/3))*0.244</f>
        <v>3.5403502175695634</v>
      </c>
      <c r="BT3" s="159">
        <f t="shared" ref="BT3:BT22" si="44">((L3+G3+(LOG(H3)*4/3))*0.455)</f>
        <v>2.1461916687539717</v>
      </c>
      <c r="BU3" s="159">
        <f t="shared" ref="BU3:BU22" si="45">((M3+G3+(LOG(H3)*4/3))*0.864)+((N3+G3+(LOG(H3)*4/3))*0.244)</f>
        <v>5.0687304812734073</v>
      </c>
      <c r="BV3" s="159">
        <f t="shared" ref="BV3:BV22" si="46">((N3+G3+(LOG(H3)*4/3))*0.121)</f>
        <v>0.44974547674556176</v>
      </c>
      <c r="BW3" s="159">
        <f t="shared" ref="BW3:BW22" si="47">((K3+G3+(LOG(H3)*4/3))*0.284)</f>
        <v>4.1207354991383438</v>
      </c>
      <c r="BX3" s="159">
        <f t="shared" ref="BX3:BX22" si="48">((K3+G3+(LOG(H3)*4/3))*0.244)</f>
        <v>3.5403502175695634</v>
      </c>
      <c r="BY3" s="159">
        <f t="shared" ref="BY3:BY22" si="49">((L3+G3+(LOG(H3)*4/3))*0.631)</f>
        <v>2.9763669076566068</v>
      </c>
      <c r="BZ3" s="159">
        <f t="shared" ref="BZ3:BZ22" si="50">((M3+G3+(LOG(H3)*4/3))*0.702)+((N3+G3+(LOG(H3)*4/3))*0.193)</f>
        <v>4.0988297660105593</v>
      </c>
      <c r="CA3" s="159">
        <f t="shared" ref="CA3:CA22" si="51">((N3+G3+(LOG(H3)*4/3))*0.148)</f>
        <v>0.55010190544085236</v>
      </c>
      <c r="CB3" s="159">
        <f t="shared" ref="CB3:CB22" si="52">((L3+G3+(LOG(H3)*4/3))*0.406)</f>
        <v>1.9150633351958517</v>
      </c>
      <c r="CC3" s="159">
        <f t="shared" ref="CC3:CC22" si="53">IF(E3="TEC",((M3+G3+(LOG(H3)*4/3))*0.15)+((N3+G3+(LOG(H3)*4/3))*0.324)+((O3+G3+(LOG(H3)*4/3))*0.127),(((M3+G3+(LOG(H3)*4/3))*0.144)+((N3+G3+(LOG(H3)*4/3))*0.25)+((O3+G3+(LOG(H3)*4/3))*0.127)))</f>
        <v>1.9806779388980156</v>
      </c>
      <c r="CD3" s="159">
        <f t="shared" ref="CD3:CD22" si="54">((N3+G3+(LOG(H3)*4/3))*0.543)+((O3+G3+(LOG(H3)*4/3))*0.583)</f>
        <v>3.6608586559591574</v>
      </c>
      <c r="CE3" s="159">
        <f>CC3</f>
        <v>1.9806779388980156</v>
      </c>
      <c r="CF3" s="159">
        <f t="shared" ref="CF3:CF22" si="55">((O3+1+(LOG(H3)*4/3))*0.26)+((M3+G3+(LOG(H3)*4/3))*0.221)+((N3+G3+(LOG(H3)*4/3))*0.142)</f>
        <v>2.3248761139691134</v>
      </c>
      <c r="CG3" s="159">
        <f t="shared" ref="CG3:CG22" si="56">((O3+G3+(LOG(H3)*4/3))*1)+((N3+G3+(LOG(H3)*4/3))*0.369)</f>
        <v>4.1889981808834404</v>
      </c>
      <c r="CH3" s="159">
        <f>CF3</f>
        <v>2.3248761139691134</v>
      </c>
      <c r="CI3" s="159">
        <f>((L3+G3+(LOG(H3)*4/3))*0.25)</f>
        <v>1.1792261916230613</v>
      </c>
    </row>
    <row r="4" spans="1:87" x14ac:dyDescent="0.25">
      <c r="A4" t="str">
        <f>PLANTILLA!D6</f>
        <v>T. Hammond</v>
      </c>
      <c r="B4" t="s">
        <v>855</v>
      </c>
      <c r="C4" s="633">
        <f>PLANTILLA!E6</f>
        <v>34</v>
      </c>
      <c r="D4" s="633">
        <f ca="1">PLANTILLA!F6</f>
        <v>13</v>
      </c>
      <c r="E4" s="633" t="str">
        <f>PLANTILLA!G6</f>
        <v>CAB</v>
      </c>
      <c r="F4" s="290">
        <v>41400</v>
      </c>
      <c r="G4" s="497">
        <v>1.5</v>
      </c>
      <c r="H4" s="498">
        <f>PLANTILLA!I6</f>
        <v>7.8</v>
      </c>
      <c r="I4" s="498"/>
      <c r="J4" s="163">
        <f>PLANTILLA!X6</f>
        <v>10.3</v>
      </c>
      <c r="K4" s="163">
        <f>PLANTILLA!Y6</f>
        <v>10.794999999999998</v>
      </c>
      <c r="L4" s="163">
        <f>PLANTILLA!Z6</f>
        <v>4.6300000000000008</v>
      </c>
      <c r="M4" s="163">
        <f>PLANTILLA!AA6</f>
        <v>4.95</v>
      </c>
      <c r="N4" s="163">
        <f>PLANTILLA!AB6</f>
        <v>6.5444444444444434</v>
      </c>
      <c r="O4" s="163">
        <f>PLANTILLA!AC6</f>
        <v>3.99</v>
      </c>
      <c r="P4" s="163">
        <f>PLANTILLA!AD6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1.7420313539204459</v>
      </c>
      <c r="AC4" s="159">
        <f t="shared" si="6"/>
        <v>5.0971256797560018</v>
      </c>
      <c r="AD4" s="159">
        <f t="shared" si="7"/>
        <v>9.7492641969936216</v>
      </c>
      <c r="AE4" s="159">
        <f t="shared" ref="AE4:AE22" si="63">AC4/2</f>
        <v>2.5485628398780009</v>
      </c>
      <c r="AF4" s="159">
        <f t="shared" si="8"/>
        <v>2.8179918960477801</v>
      </c>
      <c r="AG4" s="357">
        <f t="shared" si="9"/>
        <v>12.405702712633655</v>
      </c>
      <c r="AH4" s="159">
        <f t="shared" si="10"/>
        <v>5.5825662206851439</v>
      </c>
      <c r="AI4" s="159">
        <f t="shared" si="11"/>
        <v>1.2223497315324139</v>
      </c>
      <c r="AJ4" s="357">
        <f t="shared" si="12"/>
        <v>4.4920021685093365</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6.9095697399197515</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7.3194594702539746</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6.4484437932937517</v>
      </c>
      <c r="BF4" s="159">
        <f t="shared" si="30"/>
        <v>7.2937294690557817</v>
      </c>
      <c r="BG4" s="159">
        <f t="shared" si="31"/>
        <v>2.2253708434423185</v>
      </c>
      <c r="BH4" s="159">
        <f t="shared" si="32"/>
        <v>6.5399628430731767</v>
      </c>
      <c r="BI4" s="159">
        <f t="shared" si="33"/>
        <v>3.5598973001470489</v>
      </c>
      <c r="BJ4" s="159">
        <f t="shared" si="34"/>
        <v>2.7887140581667644</v>
      </c>
      <c r="BK4" s="159">
        <f t="shared" si="35"/>
        <v>6.9973709103353068</v>
      </c>
      <c r="BL4" s="159">
        <f t="shared" si="36"/>
        <v>0.48016300356431774</v>
      </c>
      <c r="BM4" s="159">
        <f t="shared" si="37"/>
        <v>2.427202704645715</v>
      </c>
      <c r="BN4" s="159">
        <f t="shared" si="38"/>
        <v>0.91694324397727012</v>
      </c>
      <c r="BO4" s="159">
        <f t="shared" si="39"/>
        <v>2.2324351384274621</v>
      </c>
      <c r="BP4" s="159">
        <f t="shared" si="40"/>
        <v>10.280355989857721</v>
      </c>
      <c r="BQ4" s="159">
        <f t="shared" si="41"/>
        <v>1.2465770284842865</v>
      </c>
      <c r="BR4" s="159">
        <f t="shared" si="42"/>
        <v>3.8295864895521277</v>
      </c>
      <c r="BS4" s="159">
        <f t="shared" si="43"/>
        <v>3.2902081107419692</v>
      </c>
      <c r="BT4" s="159">
        <f t="shared" si="44"/>
        <v>3.3303540589655585</v>
      </c>
      <c r="BU4" s="159">
        <f t="shared" si="45"/>
        <v>8.8535655374858475</v>
      </c>
      <c r="BV4" s="159">
        <f t="shared" si="46"/>
        <v>1.1173023736785086</v>
      </c>
      <c r="BW4" s="159">
        <f t="shared" si="47"/>
        <v>3.8295864895521277</v>
      </c>
      <c r="BX4" s="159">
        <f t="shared" si="48"/>
        <v>3.2902081107419692</v>
      </c>
      <c r="BY4" s="159">
        <f t="shared" si="49"/>
        <v>4.6185789257302581</v>
      </c>
      <c r="BZ4" s="159">
        <f t="shared" si="50"/>
        <v>7.1450440036550837</v>
      </c>
      <c r="CA4" s="159">
        <f t="shared" si="51"/>
        <v>1.3666177793753658</v>
      </c>
      <c r="CB4" s="159">
        <f t="shared" si="52"/>
        <v>2.971700544923114</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1.8298648675634936</v>
      </c>
    </row>
    <row r="5" spans="1:87" x14ac:dyDescent="0.25">
      <c r="A5" t="str">
        <f>PLANTILLA!D8</f>
        <v>D. Toh</v>
      </c>
      <c r="B5" t="s">
        <v>855</v>
      </c>
      <c r="C5" s="633">
        <f>PLANTILLA!E8</f>
        <v>31</v>
      </c>
      <c r="D5" s="633">
        <f ca="1">PLANTILLA!F8</f>
        <v>61</v>
      </c>
      <c r="E5" s="633" t="str">
        <f>PLANTILLA!G8</f>
        <v>CAB</v>
      </c>
      <c r="F5" s="290">
        <v>41519</v>
      </c>
      <c r="G5" s="497">
        <v>1.5</v>
      </c>
      <c r="H5" s="498">
        <f>PLANTILLA!I8</f>
        <v>7.5</v>
      </c>
      <c r="I5" s="341"/>
      <c r="J5" s="163">
        <f>PLANTILLA!X8</f>
        <v>0</v>
      </c>
      <c r="K5" s="163">
        <f>PLANTILLA!Y8</f>
        <v>11</v>
      </c>
      <c r="L5" s="163">
        <f>PLANTILLA!Z8</f>
        <v>6.1894444444444412</v>
      </c>
      <c r="M5" s="163">
        <f>PLANTILLA!AA8</f>
        <v>6.04</v>
      </c>
      <c r="N5" s="163">
        <f>PLANTILLA!AB8</f>
        <v>7.7227777777777789</v>
      </c>
      <c r="O5" s="163">
        <f>PLANTILLA!AC8</f>
        <v>4.383333333333332</v>
      </c>
      <c r="P5" s="163">
        <f>PLANTILLA!AD8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2.1077738853607428</v>
      </c>
      <c r="AC5" s="159">
        <f t="shared" si="6"/>
        <v>5.1660308767494172</v>
      </c>
      <c r="AD5" s="159">
        <f t="shared" si="7"/>
        <v>9.8810590579095994</v>
      </c>
      <c r="AE5" s="159">
        <f t="shared" si="63"/>
        <v>2.5830154383747086</v>
      </c>
      <c r="AF5" s="159">
        <f t="shared" si="8"/>
        <v>3.409634226318849</v>
      </c>
      <c r="AG5" s="357">
        <f t="shared" si="9"/>
        <v>12.57340848309382</v>
      </c>
      <c r="AH5" s="159">
        <f t="shared" si="10"/>
        <v>5.6580338173922184</v>
      </c>
      <c r="AI5" s="159">
        <f t="shared" si="11"/>
        <v>1.4789841968707735</v>
      </c>
      <c r="AJ5" s="357">
        <f t="shared" si="12"/>
        <v>5.1195680304990923</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8.3602459990779057</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8.8561927956333744</v>
      </c>
      <c r="AZ5" s="159">
        <f t="shared" si="25"/>
        <v>2.6285501106285785</v>
      </c>
      <c r="BA5" s="159">
        <f t="shared" si="26"/>
        <v>5.0233455637273252</v>
      </c>
      <c r="BB5" s="159">
        <f t="shared" si="67"/>
        <v>1.3142750553142892</v>
      </c>
      <c r="BC5" s="159">
        <f t="shared" si="27"/>
        <v>3.9770237701959794</v>
      </c>
      <c r="BD5" s="159">
        <f t="shared" si="28"/>
        <v>4.7560284262137484</v>
      </c>
      <c r="BE5" s="159">
        <f t="shared" si="29"/>
        <v>7.8023058529530029</v>
      </c>
      <c r="BF5" s="159">
        <f t="shared" si="30"/>
        <v>8.2703742842069623</v>
      </c>
      <c r="BG5" s="159">
        <f t="shared" si="31"/>
        <v>2.5038757970809775</v>
      </c>
      <c r="BH5" s="159">
        <f t="shared" si="32"/>
        <v>6.6283729503266331</v>
      </c>
      <c r="BI5" s="159">
        <f t="shared" si="33"/>
        <v>3.6080215647138787</v>
      </c>
      <c r="BJ5" s="159">
        <f t="shared" si="34"/>
        <v>3.3742094551363158</v>
      </c>
      <c r="BK5" s="159">
        <f t="shared" si="35"/>
        <v>7.947936392272462</v>
      </c>
      <c r="BL5" s="159">
        <f t="shared" si="36"/>
        <v>0.54025535870626906</v>
      </c>
      <c r="BM5" s="159">
        <f t="shared" si="37"/>
        <v>2.4600147032140081</v>
      </c>
      <c r="BN5" s="159">
        <f t="shared" si="38"/>
        <v>0.92933888788084762</v>
      </c>
      <c r="BO5" s="159">
        <f t="shared" si="39"/>
        <v>2.7011388026681793</v>
      </c>
      <c r="BP5" s="159">
        <f t="shared" si="40"/>
        <v>11.678152824073413</v>
      </c>
      <c r="BQ5" s="159">
        <f t="shared" si="41"/>
        <v>1.4025860274105064</v>
      </c>
      <c r="BR5" s="159">
        <f t="shared" si="42"/>
        <v>3.8813565317376568</v>
      </c>
      <c r="BS5" s="159">
        <f t="shared" si="43"/>
        <v>3.3346865976900997</v>
      </c>
      <c r="BT5" s="159">
        <f t="shared" si="44"/>
        <v>4.0295677220131854</v>
      </c>
      <c r="BU5" s="159">
        <f t="shared" si="45"/>
        <v>10.057674950895116</v>
      </c>
      <c r="BV5" s="159">
        <f t="shared" si="46"/>
        <v>1.2571326616049723</v>
      </c>
      <c r="BW5" s="159">
        <f t="shared" si="47"/>
        <v>3.8813565317376568</v>
      </c>
      <c r="BX5" s="159">
        <f t="shared" si="48"/>
        <v>3.3346865976900997</v>
      </c>
      <c r="BY5" s="159">
        <f t="shared" si="49"/>
        <v>5.5882576540446589</v>
      </c>
      <c r="BZ5" s="159">
        <f t="shared" si="50"/>
        <v>8.1173158854252065</v>
      </c>
      <c r="CA5" s="159">
        <f t="shared" si="51"/>
        <v>1.5376498670870735</v>
      </c>
      <c r="CB5" s="159">
        <f t="shared" si="52"/>
        <v>3.5956142750271503</v>
      </c>
      <c r="CC5" s="159">
        <f t="shared" si="53"/>
        <v>4.7465136687472125</v>
      </c>
      <c r="CD5" s="159">
        <f t="shared" si="54"/>
        <v>9.7517103101054055</v>
      </c>
      <c r="CE5" s="159">
        <f t="shared" si="68"/>
        <v>4.7465136687472125</v>
      </c>
      <c r="CF5" s="159">
        <f t="shared" si="55"/>
        <v>5.1025253339018164</v>
      </c>
      <c r="CG5" s="159">
        <f t="shared" si="56"/>
        <v>10.883816826110982</v>
      </c>
      <c r="CH5" s="159">
        <f t="shared" si="69"/>
        <v>5.1025253339018164</v>
      </c>
      <c r="CI5" s="159">
        <f t="shared" si="70"/>
        <v>2.2140481989083436</v>
      </c>
    </row>
    <row r="6" spans="1:87" x14ac:dyDescent="0.25">
      <c r="A6" t="str">
        <f>PLANTILLA!D9</f>
        <v>E. Toney</v>
      </c>
      <c r="B6" t="s">
        <v>855</v>
      </c>
      <c r="C6" s="633">
        <f>PLANTILLA!E9</f>
        <v>31</v>
      </c>
      <c r="D6" s="633">
        <f ca="1">PLANTILLA!F9</f>
        <v>15</v>
      </c>
      <c r="E6" s="633"/>
      <c r="F6" s="290">
        <v>41539</v>
      </c>
      <c r="G6" s="497">
        <v>1.5</v>
      </c>
      <c r="H6" s="498">
        <f>PLANTILLA!I9</f>
        <v>12.2</v>
      </c>
      <c r="I6" s="341"/>
      <c r="J6" s="163">
        <f>PLANTILLA!X9</f>
        <v>0</v>
      </c>
      <c r="K6" s="163">
        <f>PLANTILLA!Y9</f>
        <v>12.060000000000004</v>
      </c>
      <c r="L6" s="163">
        <f>PLANTILLA!Z9</f>
        <v>13.116555555555554</v>
      </c>
      <c r="M6" s="163">
        <f>PLANTILLA!AA9</f>
        <v>9.8200000000000056</v>
      </c>
      <c r="N6" s="163">
        <f>PLANTILLA!AB9</f>
        <v>9.6</v>
      </c>
      <c r="O6" s="163">
        <f>PLANTILLA!AC9</f>
        <v>3.6816666666666658</v>
      </c>
      <c r="P6" s="163">
        <f>PLANTILLA!AD9</f>
        <v>16.627777777777773</v>
      </c>
      <c r="Q6" s="163">
        <f t="shared" si="57"/>
        <v>4.2825000000000006</v>
      </c>
      <c r="R6" s="163">
        <f t="shared" si="58"/>
        <v>14.172984745499365</v>
      </c>
      <c r="S6" s="163">
        <f t="shared" si="59"/>
        <v>0.68291666666666639</v>
      </c>
      <c r="T6" s="163">
        <f t="shared" si="60"/>
        <v>0.98123333333333329</v>
      </c>
      <c r="U6" s="163">
        <f t="shared" ca="1" si="0"/>
        <v>19.07625755201077</v>
      </c>
      <c r="V6" s="159">
        <f t="shared" si="1"/>
        <v>5.9025828429054084</v>
      </c>
      <c r="W6" s="159">
        <f t="shared" si="2"/>
        <v>8.931987388534802</v>
      </c>
      <c r="X6" s="159">
        <f t="shared" si="61"/>
        <v>5.9025828429054084</v>
      </c>
      <c r="Y6" s="159">
        <f t="shared" si="3"/>
        <v>7.7443755635042297</v>
      </c>
      <c r="Z6" s="159">
        <f t="shared" si="4"/>
        <v>15.008479774233003</v>
      </c>
      <c r="AA6" s="159">
        <f t="shared" si="62"/>
        <v>3.8721877817521149</v>
      </c>
      <c r="AB6" s="159">
        <f t="shared" si="5"/>
        <v>3.8234784084896747</v>
      </c>
      <c r="AC6" s="159">
        <f t="shared" si="6"/>
        <v>5.6732053546600749</v>
      </c>
      <c r="AD6" s="159">
        <f t="shared" si="7"/>
        <v>10.85113087677046</v>
      </c>
      <c r="AE6" s="159">
        <f t="shared" si="63"/>
        <v>2.8366026773300375</v>
      </c>
      <c r="AF6" s="159">
        <f t="shared" si="8"/>
        <v>6.1850386019685919</v>
      </c>
      <c r="AG6" s="357">
        <f t="shared" si="9"/>
        <v>13.807801392294364</v>
      </c>
      <c r="AH6" s="159">
        <f t="shared" si="10"/>
        <v>6.2135106265324627</v>
      </c>
      <c r="AI6" s="159">
        <f t="shared" si="11"/>
        <v>2.6828609000746879</v>
      </c>
      <c r="AJ6" s="357">
        <f t="shared" si="12"/>
        <v>7.507866107249006</v>
      </c>
      <c r="AK6" s="159">
        <f t="shared" si="13"/>
        <v>11.316393749771684</v>
      </c>
      <c r="AL6" s="159">
        <f t="shared" si="14"/>
        <v>10.626003680156964</v>
      </c>
      <c r="AM6" s="159">
        <f t="shared" si="15"/>
        <v>3.2692350111857986</v>
      </c>
      <c r="AN6" s="159">
        <f t="shared" si="16"/>
        <v>2.0825221749791032</v>
      </c>
      <c r="AO6" s="159">
        <f t="shared" si="17"/>
        <v>4.0522895390429108</v>
      </c>
      <c r="AP6" s="159">
        <f t="shared" si="18"/>
        <v>8.9150369858944032</v>
      </c>
      <c r="AQ6" s="159">
        <f t="shared" si="64"/>
        <v>2.0261447695214554</v>
      </c>
      <c r="AR6" s="159">
        <f t="shared" si="19"/>
        <v>15.165393351320391</v>
      </c>
      <c r="AS6" s="159">
        <f t="shared" si="20"/>
        <v>1.6313023706502898</v>
      </c>
      <c r="AT6" s="159">
        <f t="shared" si="21"/>
        <v>2.6528329071836012</v>
      </c>
      <c r="AU6" s="159">
        <f t="shared" si="65"/>
        <v>0.81565118532514491</v>
      </c>
      <c r="AV6" s="159">
        <f t="shared" si="22"/>
        <v>2.8366026773300375</v>
      </c>
      <c r="AW6" s="159">
        <f t="shared" si="23"/>
        <v>6.0033919096932014</v>
      </c>
      <c r="AX6" s="159">
        <f t="shared" si="66"/>
        <v>1.4183013386650187</v>
      </c>
      <c r="AY6" s="159">
        <f t="shared" si="24"/>
        <v>16.06503532978855</v>
      </c>
      <c r="AZ6" s="159">
        <f t="shared" si="25"/>
        <v>3.1747653828809486</v>
      </c>
      <c r="BA6" s="159">
        <f t="shared" si="26"/>
        <v>5.6713623556023816</v>
      </c>
      <c r="BB6" s="159">
        <f t="shared" si="67"/>
        <v>1.5873826914404743</v>
      </c>
      <c r="BC6" s="159">
        <f t="shared" si="27"/>
        <v>4.3674676143018036</v>
      </c>
      <c r="BD6" s="159">
        <f t="shared" si="28"/>
        <v>5.2229509614330842</v>
      </c>
      <c r="BE6" s="159">
        <f t="shared" si="29"/>
        <v>14.153296125543713</v>
      </c>
      <c r="BF6" s="159">
        <f t="shared" si="30"/>
        <v>11.281878519293139</v>
      </c>
      <c r="BG6" s="159">
        <f t="shared" si="31"/>
        <v>3.0241836255901524</v>
      </c>
      <c r="BH6" s="159">
        <f t="shared" si="32"/>
        <v>7.2791126905030064</v>
      </c>
      <c r="BI6" s="159">
        <f t="shared" si="33"/>
        <v>3.9622386603975128</v>
      </c>
      <c r="BJ6" s="159">
        <f t="shared" si="34"/>
        <v>6.1207784606494373</v>
      </c>
      <c r="BK6" s="159">
        <f t="shared" si="35"/>
        <v>11.115431322679644</v>
      </c>
      <c r="BL6" s="159">
        <f t="shared" si="36"/>
        <v>0.65252094826011586</v>
      </c>
      <c r="BM6" s="159">
        <f t="shared" si="37"/>
        <v>2.7015263593619405</v>
      </c>
      <c r="BN6" s="159">
        <f t="shared" si="38"/>
        <v>1.0205766246478443</v>
      </c>
      <c r="BO6" s="159">
        <f t="shared" si="39"/>
        <v>4.8998357755855073</v>
      </c>
      <c r="BP6" s="159">
        <f t="shared" si="40"/>
        <v>16.357344989663641</v>
      </c>
      <c r="BQ6" s="159">
        <f t="shared" si="41"/>
        <v>1.6940447695214549</v>
      </c>
      <c r="BR6" s="159">
        <f t="shared" si="42"/>
        <v>4.2624082558821721</v>
      </c>
      <c r="BS6" s="159">
        <f t="shared" si="43"/>
        <v>3.6620690649128527</v>
      </c>
      <c r="BT6" s="159">
        <f t="shared" si="44"/>
        <v>7.3095910750537909</v>
      </c>
      <c r="BU6" s="159">
        <f t="shared" si="45"/>
        <v>14.093795589850167</v>
      </c>
      <c r="BV6" s="159">
        <f t="shared" si="46"/>
        <v>1.5183660526821927</v>
      </c>
      <c r="BW6" s="159">
        <f t="shared" si="47"/>
        <v>4.2624082558821721</v>
      </c>
      <c r="BX6" s="159">
        <f t="shared" si="48"/>
        <v>3.6620690649128527</v>
      </c>
      <c r="BY6" s="159">
        <f t="shared" si="49"/>
        <v>10.137037293096576</v>
      </c>
      <c r="BZ6" s="159">
        <f t="shared" si="50"/>
        <v>11.385329397938536</v>
      </c>
      <c r="CA6" s="159">
        <f t="shared" si="51"/>
        <v>1.8571750065864836</v>
      </c>
      <c r="CB6" s="159">
        <f t="shared" si="52"/>
        <v>6.5224043438941521</v>
      </c>
      <c r="CC6" s="159">
        <f t="shared" si="53"/>
        <v>5.8178096290420598</v>
      </c>
      <c r="CD6" s="159">
        <f t="shared" si="54"/>
        <v>10.679199892453022</v>
      </c>
      <c r="CE6" s="159">
        <f t="shared" si="68"/>
        <v>5.8178096290420598</v>
      </c>
      <c r="CF6" s="159">
        <f t="shared" si="55"/>
        <v>6.1975562326804923</v>
      </c>
      <c r="CG6" s="159">
        <f t="shared" si="56"/>
        <v>11.26053547759164</v>
      </c>
      <c r="CH6" s="159">
        <f t="shared" si="69"/>
        <v>6.1975562326804923</v>
      </c>
      <c r="CI6" s="159">
        <f t="shared" si="70"/>
        <v>4.0162588324471376</v>
      </c>
    </row>
    <row r="7" spans="1:87" x14ac:dyDescent="0.25">
      <c r="A7" t="str">
        <f>PLANTILLA!D10</f>
        <v>B. Bartolache</v>
      </c>
      <c r="B7" t="s">
        <v>855</v>
      </c>
      <c r="C7" s="633">
        <f>PLANTILLA!E10</f>
        <v>30</v>
      </c>
      <c r="D7" s="633">
        <f ca="1">PLANTILLA!F10</f>
        <v>112</v>
      </c>
      <c r="E7" s="633"/>
      <c r="F7" s="290">
        <v>41527</v>
      </c>
      <c r="G7" s="497">
        <v>1.5</v>
      </c>
      <c r="H7" s="498">
        <f>PLANTILLA!I10</f>
        <v>9.3000000000000007</v>
      </c>
      <c r="I7" s="341"/>
      <c r="J7" s="163">
        <f>PLANTILLA!X10</f>
        <v>0</v>
      </c>
      <c r="K7" s="163">
        <f>PLANTILLA!Y10</f>
        <v>11.649999999999997</v>
      </c>
      <c r="L7" s="163">
        <f>PLANTILLA!Z10</f>
        <v>6.700000000000002</v>
      </c>
      <c r="M7" s="163">
        <f>PLANTILLA!AA10</f>
        <v>7.4300000000000015</v>
      </c>
      <c r="N7" s="163">
        <f>PLANTILLA!AB10</f>
        <v>9.0199999999999978</v>
      </c>
      <c r="O7" s="163">
        <f>PLANTILLA!AC10</f>
        <v>4.6199999999999966</v>
      </c>
      <c r="P7" s="163">
        <f>PLANTILLA!AD10</f>
        <v>15.6</v>
      </c>
      <c r="Q7" s="163">
        <f t="shared" si="57"/>
        <v>4.0862499999999988</v>
      </c>
      <c r="R7" s="163">
        <f t="shared" si="58"/>
        <v>14.817996421738927</v>
      </c>
      <c r="S7" s="163">
        <f t="shared" si="59"/>
        <v>0.69899999999999984</v>
      </c>
      <c r="T7" s="163">
        <f t="shared" si="60"/>
        <v>0.93399999999999994</v>
      </c>
      <c r="U7" s="163">
        <f t="shared" ca="1" si="0"/>
        <v>17.891310598071914</v>
      </c>
      <c r="V7" s="159">
        <f t="shared" si="1"/>
        <v>5.6522141521167795</v>
      </c>
      <c r="W7" s="159">
        <f t="shared" si="2"/>
        <v>8.554831982110839</v>
      </c>
      <c r="X7" s="159">
        <f t="shared" si="61"/>
        <v>5.6522141521167795</v>
      </c>
      <c r="Y7" s="159">
        <f t="shared" si="3"/>
        <v>7.4517162686051055</v>
      </c>
      <c r="Z7" s="159">
        <f t="shared" si="4"/>
        <v>14.44131059807191</v>
      </c>
      <c r="AA7" s="159">
        <f t="shared" si="62"/>
        <v>3.7258581343025527</v>
      </c>
      <c r="AB7" s="159">
        <f t="shared" si="5"/>
        <v>2.2589319223411159</v>
      </c>
      <c r="AC7" s="159">
        <f t="shared" si="6"/>
        <v>5.4588154060711815</v>
      </c>
      <c r="AD7" s="159">
        <f t="shared" si="7"/>
        <v>10.441067562405991</v>
      </c>
      <c r="AE7" s="159">
        <f t="shared" si="63"/>
        <v>2.7294077030355908</v>
      </c>
      <c r="AF7" s="159">
        <f t="shared" si="8"/>
        <v>3.6541545802576878</v>
      </c>
      <c r="AG7" s="357">
        <f t="shared" si="9"/>
        <v>13.286005750226158</v>
      </c>
      <c r="AH7" s="159">
        <f t="shared" si="10"/>
        <v>5.9787025876017701</v>
      </c>
      <c r="AI7" s="159">
        <f t="shared" si="11"/>
        <v>1.5850488698780101</v>
      </c>
      <c r="AJ7" s="357">
        <f t="shared" si="12"/>
        <v>6.0101306316662857</v>
      </c>
      <c r="AK7" s="159">
        <f t="shared" si="13"/>
        <v>10.88874819094622</v>
      </c>
      <c r="AL7" s="159">
        <f t="shared" si="14"/>
        <v>10.224447903434912</v>
      </c>
      <c r="AM7" s="159">
        <f t="shared" si="15"/>
        <v>3.07134886987801</v>
      </c>
      <c r="AN7" s="159">
        <f t="shared" si="16"/>
        <v>1.9807374522447108</v>
      </c>
      <c r="AO7" s="159">
        <f t="shared" si="17"/>
        <v>3.8991538614794159</v>
      </c>
      <c r="AP7" s="159">
        <f t="shared" si="18"/>
        <v>8.5781384952547146</v>
      </c>
      <c r="AQ7" s="159">
        <f t="shared" si="64"/>
        <v>1.9495769307397079</v>
      </c>
      <c r="AR7" s="159">
        <f t="shared" si="19"/>
        <v>8.9597972045798873</v>
      </c>
      <c r="AS7" s="159">
        <f t="shared" si="20"/>
        <v>1.5354703777493484</v>
      </c>
      <c r="AT7" s="159">
        <f t="shared" si="21"/>
        <v>2.6995140052350699</v>
      </c>
      <c r="AU7" s="159">
        <f t="shared" si="65"/>
        <v>0.76773518887467418</v>
      </c>
      <c r="AV7" s="159">
        <f t="shared" si="22"/>
        <v>2.7294077030355908</v>
      </c>
      <c r="AW7" s="159">
        <f t="shared" si="23"/>
        <v>5.7765242392287641</v>
      </c>
      <c r="AX7" s="159">
        <f t="shared" si="66"/>
        <v>1.3647038515177954</v>
      </c>
      <c r="AY7" s="159">
        <f t="shared" si="24"/>
        <v>9.4913105980719159</v>
      </c>
      <c r="AZ7" s="159">
        <f t="shared" si="25"/>
        <v>2.9882615813121935</v>
      </c>
      <c r="BA7" s="159">
        <f t="shared" si="26"/>
        <v>5.5840321395376229</v>
      </c>
      <c r="BB7" s="159">
        <f t="shared" si="67"/>
        <v>1.4941307906560968</v>
      </c>
      <c r="BC7" s="159">
        <f t="shared" si="27"/>
        <v>4.2024213840389253</v>
      </c>
      <c r="BD7" s="159">
        <f t="shared" si="28"/>
        <v>5.0255760881290241</v>
      </c>
      <c r="BE7" s="159">
        <f t="shared" si="29"/>
        <v>8.3618446369013579</v>
      </c>
      <c r="BF7" s="159">
        <f t="shared" si="30"/>
        <v>9.587595121685931</v>
      </c>
      <c r="BG7" s="159">
        <f t="shared" si="31"/>
        <v>2.8465258541353302</v>
      </c>
      <c r="BH7" s="159">
        <f t="shared" si="32"/>
        <v>7.0040356400648758</v>
      </c>
      <c r="BI7" s="159">
        <f t="shared" si="33"/>
        <v>3.8125059978909843</v>
      </c>
      <c r="BJ7" s="159">
        <f t="shared" si="34"/>
        <v>3.6161893378654</v>
      </c>
      <c r="BK7" s="159">
        <f t="shared" si="35"/>
        <v>9.2530154627148526</v>
      </c>
      <c r="BL7" s="159">
        <f t="shared" si="36"/>
        <v>0.61418815109973934</v>
      </c>
      <c r="BM7" s="159">
        <f t="shared" si="37"/>
        <v>2.5994359076529436</v>
      </c>
      <c r="BN7" s="159">
        <f t="shared" si="38"/>
        <v>0.9820091206688899</v>
      </c>
      <c r="BO7" s="159">
        <f t="shared" si="39"/>
        <v>2.8948497324119344</v>
      </c>
      <c r="BP7" s="159">
        <f t="shared" si="40"/>
        <v>13.599345429120481</v>
      </c>
      <c r="BQ7" s="159">
        <f t="shared" si="41"/>
        <v>1.5945269307397081</v>
      </c>
      <c r="BR7" s="159">
        <f t="shared" si="42"/>
        <v>4.1013322098524219</v>
      </c>
      <c r="BS7" s="159">
        <f t="shared" si="43"/>
        <v>3.5236797859295459</v>
      </c>
      <c r="BT7" s="159">
        <f t="shared" si="44"/>
        <v>4.3185463221227218</v>
      </c>
      <c r="BU7" s="159">
        <f t="shared" si="45"/>
        <v>11.71317214266368</v>
      </c>
      <c r="BV7" s="159">
        <f t="shared" si="46"/>
        <v>1.4291685823667011</v>
      </c>
      <c r="BW7" s="159">
        <f t="shared" si="47"/>
        <v>4.1013322098524219</v>
      </c>
      <c r="BX7" s="159">
        <f t="shared" si="48"/>
        <v>3.5236797859295459</v>
      </c>
      <c r="BY7" s="159">
        <f t="shared" si="49"/>
        <v>5.989016987383379</v>
      </c>
      <c r="BZ7" s="159">
        <f t="shared" si="50"/>
        <v>9.4549429852743625</v>
      </c>
      <c r="CA7" s="159">
        <f t="shared" si="51"/>
        <v>1.7480739685146427</v>
      </c>
      <c r="CB7" s="159">
        <f t="shared" si="52"/>
        <v>3.8534721028171983</v>
      </c>
      <c r="CC7" s="159">
        <f t="shared" si="53"/>
        <v>5.3659328215954654</v>
      </c>
      <c r="CD7" s="159">
        <f t="shared" si="54"/>
        <v>10.734335733428971</v>
      </c>
      <c r="CE7" s="159">
        <f t="shared" si="68"/>
        <v>5.3659328215954654</v>
      </c>
      <c r="CF7" s="159">
        <f t="shared" si="55"/>
        <v>5.7330565025988012</v>
      </c>
      <c r="CG7" s="159">
        <f t="shared" si="56"/>
        <v>11.769684208760445</v>
      </c>
      <c r="CH7" s="159">
        <f t="shared" si="69"/>
        <v>5.7330565025988012</v>
      </c>
      <c r="CI7" s="159">
        <f t="shared" si="70"/>
        <v>2.372827649517979</v>
      </c>
    </row>
    <row r="8" spans="1:87" x14ac:dyDescent="0.25">
      <c r="A8" t="str">
        <f>PLANTILLA!D11</f>
        <v>F. Lasprilla</v>
      </c>
      <c r="B8" t="s">
        <v>855</v>
      </c>
      <c r="C8" s="633">
        <f>PLANTILLA!E11</f>
        <v>27</v>
      </c>
      <c r="D8" s="633">
        <f ca="1">PLANTILLA!F11</f>
        <v>23</v>
      </c>
      <c r="E8" s="633"/>
      <c r="F8" s="290">
        <v>42106</v>
      </c>
      <c r="G8" s="497">
        <v>1.5</v>
      </c>
      <c r="H8" s="498">
        <f>PLANTILLA!I11</f>
        <v>4.9000000000000004</v>
      </c>
      <c r="I8" s="341"/>
      <c r="J8" s="163">
        <f>PLANTILLA!X11</f>
        <v>0</v>
      </c>
      <c r="K8" s="163">
        <f>PLANTILLA!Y11</f>
        <v>9.5796666666666663</v>
      </c>
      <c r="L8" s="163">
        <f>PLANTILLA!Z11</f>
        <v>7.7407222222222227</v>
      </c>
      <c r="M8" s="163">
        <f>PLANTILLA!AA11</f>
        <v>6.1499999999999986</v>
      </c>
      <c r="N8" s="163">
        <f>PLANTILLA!AB11</f>
        <v>8.8633333333333315</v>
      </c>
      <c r="O8" s="163">
        <f>PLANTILLA!AC11</f>
        <v>3.2566666666666673</v>
      </c>
      <c r="P8" s="163">
        <f>PLANTILLA!AD11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2.4183141116179372</v>
      </c>
      <c r="AC8" s="159">
        <f t="shared" si="6"/>
        <v>4.5359728243343707</v>
      </c>
      <c r="AD8" s="159">
        <f t="shared" si="7"/>
        <v>8.6759480211474873</v>
      </c>
      <c r="AE8" s="159">
        <f t="shared" si="63"/>
        <v>2.2679864121671853</v>
      </c>
      <c r="AF8" s="159">
        <f t="shared" si="8"/>
        <v>3.9119787099701928</v>
      </c>
      <c r="AG8" s="357">
        <f t="shared" si="9"/>
        <v>11.039933858168311</v>
      </c>
      <c r="AH8" s="159">
        <f t="shared" si="10"/>
        <v>4.9679702361757396</v>
      </c>
      <c r="AI8" s="159">
        <f t="shared" si="11"/>
        <v>1.6968842715974604</v>
      </c>
      <c r="AJ8" s="357">
        <f t="shared" si="12"/>
        <v>5.0393137267423533</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9.5919685771736667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10.160983662260241</v>
      </c>
      <c r="AZ8" s="159">
        <f t="shared" si="25"/>
        <v>2.8547494776629514</v>
      </c>
      <c r="BA8" s="159">
        <f t="shared" si="26"/>
        <v>5.0398607201276144</v>
      </c>
      <c r="BB8" s="159">
        <f t="shared" si="67"/>
        <v>1.4273747388314757</v>
      </c>
      <c r="BC8" s="159">
        <f t="shared" si="27"/>
        <v>3.4919790790510632</v>
      </c>
      <c r="BD8" s="159">
        <f t="shared" si="28"/>
        <v>4.1759749811332298</v>
      </c>
      <c r="BE8" s="159">
        <f t="shared" si="29"/>
        <v>8.9518266064512719</v>
      </c>
      <c r="BF8" s="159">
        <f t="shared" si="30"/>
        <v>8.4736624201937971</v>
      </c>
      <c r="BG8" s="159">
        <f t="shared" si="31"/>
        <v>2.7193463403824953</v>
      </c>
      <c r="BH8" s="159">
        <f t="shared" si="32"/>
        <v>5.819965131751772</v>
      </c>
      <c r="BI8" s="159">
        <f t="shared" si="33"/>
        <v>3.1679810201700369</v>
      </c>
      <c r="BJ8" s="159">
        <f t="shared" si="34"/>
        <v>3.8713347753211518</v>
      </c>
      <c r="BK8" s="159">
        <f t="shared" si="35"/>
        <v>8.0357884985932273</v>
      </c>
      <c r="BL8" s="159">
        <f t="shared" si="36"/>
        <v>0.58674692821531016</v>
      </c>
      <c r="BM8" s="159">
        <f t="shared" si="37"/>
        <v>2.1599870592068431</v>
      </c>
      <c r="BN8" s="159">
        <f t="shared" si="38"/>
        <v>0.81599511125591861</v>
      </c>
      <c r="BO8" s="159">
        <f t="shared" si="39"/>
        <v>3.0991000169893734</v>
      </c>
      <c r="BP8" s="159">
        <f t="shared" si="40"/>
        <v>11.797369545222223</v>
      </c>
      <c r="BQ8" s="159">
        <f t="shared" si="41"/>
        <v>1.5232852944051323</v>
      </c>
      <c r="BR8" s="159">
        <f t="shared" si="42"/>
        <v>3.4079795823041303</v>
      </c>
      <c r="BS8" s="159">
        <f t="shared" si="43"/>
        <v>2.927982458035943</v>
      </c>
      <c r="BT8" s="159">
        <f t="shared" si="44"/>
        <v>4.6232475663284101</v>
      </c>
      <c r="BU8" s="159">
        <f t="shared" si="45"/>
        <v>10.157903008895456</v>
      </c>
      <c r="BV8" s="159">
        <f t="shared" si="46"/>
        <v>1.3653149675779332</v>
      </c>
      <c r="BW8" s="159">
        <f t="shared" si="47"/>
        <v>3.4079795823041303</v>
      </c>
      <c r="BX8" s="159">
        <f t="shared" si="48"/>
        <v>2.927982458035943</v>
      </c>
      <c r="BY8" s="159">
        <f t="shared" si="49"/>
        <v>6.4115806908862121</v>
      </c>
      <c r="BZ8" s="159">
        <f t="shared" si="50"/>
        <v>8.1940573221673585</v>
      </c>
      <c r="CA8" s="159">
        <f t="shared" si="51"/>
        <v>1.6699720264589597</v>
      </c>
      <c r="CB8" s="159">
        <f t="shared" si="52"/>
        <v>4.1253593668776585</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2.5402459155650603</v>
      </c>
    </row>
    <row r="9" spans="1:87" x14ac:dyDescent="0.25">
      <c r="A9" t="str">
        <f>PLANTILLA!D7</f>
        <v>B. Pinczehelyi</v>
      </c>
      <c r="C9" s="633">
        <f>PLANTILLA!E7</f>
        <v>30</v>
      </c>
      <c r="D9" s="633">
        <f ca="1">PLANTILLA!F7</f>
        <v>16</v>
      </c>
      <c r="E9" s="633" t="str">
        <f>PLANTILLA!G7</f>
        <v>CAB</v>
      </c>
      <c r="F9" s="290">
        <v>41400</v>
      </c>
      <c r="G9" s="497">
        <v>1</v>
      </c>
      <c r="H9" s="498">
        <f>PLANTILLA!I7</f>
        <v>14.1</v>
      </c>
      <c r="I9" s="341"/>
      <c r="J9" s="163">
        <f>PLANTILLA!X7</f>
        <v>0</v>
      </c>
      <c r="K9" s="163">
        <f>PLANTILLA!Y7</f>
        <v>14.200000000000003</v>
      </c>
      <c r="L9" s="163">
        <f>PLANTILLA!Z7</f>
        <v>9.3093333333333348</v>
      </c>
      <c r="M9" s="163">
        <f>PLANTILLA!AA7</f>
        <v>14.291666666666663</v>
      </c>
      <c r="N9" s="163">
        <f>PLANTILLA!AB7</f>
        <v>9.4199999999999982</v>
      </c>
      <c r="O9" s="163">
        <f>PLANTILLA!AC7</f>
        <v>1.1428571428571428</v>
      </c>
      <c r="P9" s="163">
        <f>PLANTILLA!AD7</f>
        <v>9.4</v>
      </c>
      <c r="Q9" s="163">
        <f>((2*(N9+1))+(K9+1))/8</f>
        <v>4.5049999999999999</v>
      </c>
      <c r="R9" s="163">
        <f t="shared" si="58"/>
        <v>5.0635085091007106</v>
      </c>
      <c r="S9" s="163">
        <f>(0.5*O9+ 0.3*P9)/10</f>
        <v>0.33914285714285713</v>
      </c>
      <c r="T9" s="163">
        <f>(0.4*K9+0.3*P9)/10</f>
        <v>0.8500000000000002</v>
      </c>
      <c r="U9" s="163">
        <f t="shared" ca="1" si="0"/>
        <v>11.932292150207173</v>
      </c>
      <c r="V9" s="159">
        <f t="shared" si="1"/>
        <v>6.1298910471308634</v>
      </c>
      <c r="W9" s="159">
        <f t="shared" si="2"/>
        <v>9.304189165917462</v>
      </c>
      <c r="X9" s="159">
        <f>V9</f>
        <v>6.1298910471308634</v>
      </c>
      <c r="Y9" s="159">
        <f t="shared" si="3"/>
        <v>8.6338627495069034</v>
      </c>
      <c r="Z9" s="159">
        <f t="shared" si="4"/>
        <v>16.732292150207176</v>
      </c>
      <c r="AA9" s="159">
        <f>Y9/2</f>
        <v>4.3169313747534517</v>
      </c>
      <c r="AB9" s="159">
        <f t="shared" si="5"/>
        <v>2.8183068650826408</v>
      </c>
      <c r="AC9" s="159">
        <f t="shared" si="6"/>
        <v>6.3248064327783124</v>
      </c>
      <c r="AD9" s="159">
        <f t="shared" si="7"/>
        <v>12.097447224599788</v>
      </c>
      <c r="AE9" s="159">
        <f>AC9/2</f>
        <v>3.1624032163891562</v>
      </c>
      <c r="AF9" s="159">
        <f t="shared" si="8"/>
        <v>4.5590258111630959</v>
      </c>
      <c r="AG9" s="357">
        <f t="shared" si="9"/>
        <v>15.393708778190602</v>
      </c>
      <c r="AH9" s="159">
        <f t="shared" si="10"/>
        <v>6.9271689501857701</v>
      </c>
      <c r="AI9" s="159">
        <f t="shared" si="11"/>
        <v>1.977551455751265</v>
      </c>
      <c r="AJ9" s="357">
        <f t="shared" si="12"/>
        <v>9.8924877843218155</v>
      </c>
      <c r="AK9" s="159">
        <f t="shared" si="13"/>
        <v>12.61614828125621</v>
      </c>
      <c r="AL9" s="159">
        <f t="shared" si="14"/>
        <v>11.84646284234668</v>
      </c>
      <c r="AM9" s="159">
        <f t="shared" si="15"/>
        <v>1.992692789084598</v>
      </c>
      <c r="AN9" s="159">
        <f t="shared" si="16"/>
        <v>2.0267401392596658</v>
      </c>
      <c r="AO9" s="159">
        <f t="shared" si="17"/>
        <v>4.5177188805559378</v>
      </c>
      <c r="AP9" s="159">
        <f t="shared" si="18"/>
        <v>9.9389815372230625</v>
      </c>
      <c r="AQ9" s="159">
        <f>AO9/2</f>
        <v>2.2588594402779689</v>
      </c>
      <c r="AR9" s="159">
        <f t="shared" si="19"/>
        <v>11.178494456462239</v>
      </c>
      <c r="AS9" s="159">
        <f t="shared" si="20"/>
        <v>1.5537979795269323</v>
      </c>
      <c r="AT9" s="159">
        <f t="shared" si="21"/>
        <v>2.0700758857249872</v>
      </c>
      <c r="AU9" s="159">
        <f>AS9/2</f>
        <v>0.77689898976346616</v>
      </c>
      <c r="AV9" s="159">
        <f t="shared" si="22"/>
        <v>3.1624032163891562</v>
      </c>
      <c r="AW9" s="159">
        <f t="shared" si="23"/>
        <v>6.692916860082871</v>
      </c>
      <c r="AX9" s="159">
        <f>AV9/2</f>
        <v>1.5812016081945781</v>
      </c>
      <c r="AY9" s="159">
        <f t="shared" si="24"/>
        <v>11.841625483540508</v>
      </c>
      <c r="AZ9" s="159">
        <f t="shared" si="25"/>
        <v>3.0239299140024145</v>
      </c>
      <c r="BA9" s="159">
        <f t="shared" si="26"/>
        <v>4.8475129747641521</v>
      </c>
      <c r="BB9" s="159">
        <f>AZ9/2</f>
        <v>1.5119649570012073</v>
      </c>
      <c r="BC9" s="159">
        <f t="shared" si="27"/>
        <v>4.8690970157102882</v>
      </c>
      <c r="BD9" s="159">
        <f t="shared" si="28"/>
        <v>5.822837668272097</v>
      </c>
      <c r="BE9" s="159">
        <f t="shared" si="29"/>
        <v>10.432472050999188</v>
      </c>
      <c r="BF9" s="159">
        <f t="shared" si="30"/>
        <v>13.421924388200839</v>
      </c>
      <c r="BG9" s="159">
        <f t="shared" si="31"/>
        <v>2.880502408199928</v>
      </c>
      <c r="BH9" s="159">
        <f t="shared" si="32"/>
        <v>8.1151616928504797</v>
      </c>
      <c r="BI9" s="159">
        <f t="shared" si="33"/>
        <v>4.4173251276546948</v>
      </c>
      <c r="BJ9" s="159">
        <f t="shared" si="34"/>
        <v>4.5116593092289339</v>
      </c>
      <c r="BK9" s="159">
        <f t="shared" si="35"/>
        <v>13.724935005947735</v>
      </c>
      <c r="BL9" s="159">
        <f t="shared" si="36"/>
        <v>0.62151919181077286</v>
      </c>
      <c r="BM9" s="159">
        <f t="shared" si="37"/>
        <v>3.0118125870372916</v>
      </c>
      <c r="BN9" s="159">
        <f t="shared" si="38"/>
        <v>1.1377958662140881</v>
      </c>
      <c r="BO9" s="159">
        <f t="shared" si="39"/>
        <v>3.6116957724798548</v>
      </c>
      <c r="BP9" s="159">
        <f t="shared" si="40"/>
        <v>20.242314371833089</v>
      </c>
      <c r="BQ9" s="159">
        <f t="shared" si="41"/>
        <v>1.6135594402779683</v>
      </c>
      <c r="BR9" s="159">
        <f t="shared" si="42"/>
        <v>4.7519709706588378</v>
      </c>
      <c r="BS9" s="159">
        <f t="shared" si="43"/>
        <v>4.0826792846505509</v>
      </c>
      <c r="BT9" s="159">
        <f t="shared" si="44"/>
        <v>5.3879395950109314</v>
      </c>
      <c r="BU9" s="159">
        <f t="shared" si="45"/>
        <v>17.452259702429544</v>
      </c>
      <c r="BV9" s="159">
        <f t="shared" si="46"/>
        <v>1.4462273501750678</v>
      </c>
      <c r="BW9" s="159">
        <f t="shared" si="47"/>
        <v>4.7519709706588378</v>
      </c>
      <c r="BX9" s="159">
        <f t="shared" si="48"/>
        <v>4.0826792846505509</v>
      </c>
      <c r="BY9" s="159">
        <f t="shared" si="49"/>
        <v>7.4720656801140608</v>
      </c>
      <c r="BZ9" s="159">
        <f t="shared" si="50"/>
        <v>14.117211474435418</v>
      </c>
      <c r="CA9" s="159">
        <f t="shared" si="51"/>
        <v>1.7689392382306612</v>
      </c>
      <c r="CB9" s="159">
        <f t="shared" si="52"/>
        <v>4.8076999463174461</v>
      </c>
      <c r="CC9" s="159">
        <f t="shared" si="53"/>
        <v>5.8774670674007936</v>
      </c>
      <c r="CD9" s="159">
        <f t="shared" si="54"/>
        <v>8.6327066754189907</v>
      </c>
      <c r="CE9" s="159">
        <f>CC9</f>
        <v>5.8774670674007936</v>
      </c>
      <c r="CF9" s="159">
        <f t="shared" si="55"/>
        <v>6.370859200055258</v>
      </c>
      <c r="CG9" s="159">
        <f t="shared" si="56"/>
        <v>8.0855450964907618</v>
      </c>
      <c r="CH9" s="159">
        <f>CF9</f>
        <v>6.370859200055258</v>
      </c>
      <c r="CI9" s="159">
        <f>((L9+G9+(LOG(H9)*4/3))*0.25)</f>
        <v>2.9604063708851269</v>
      </c>
    </row>
    <row r="10" spans="1:87" x14ac:dyDescent="0.25">
      <c r="A10" t="str">
        <f>PLANTILLA!D12</f>
        <v>E. Romweber</v>
      </c>
      <c r="B10" t="s">
        <v>855</v>
      </c>
      <c r="C10" s="633">
        <f>PLANTILLA!E12</f>
        <v>30</v>
      </c>
      <c r="D10" s="633">
        <f ca="1">PLANTILLA!F12</f>
        <v>89</v>
      </c>
      <c r="E10" s="633" t="str">
        <f>PLANTILLA!G12</f>
        <v>IMP</v>
      </c>
      <c r="F10" s="290">
        <v>41583</v>
      </c>
      <c r="G10" s="497">
        <v>1.5</v>
      </c>
      <c r="H10" s="498">
        <f>PLANTILLA!I12</f>
        <v>12.3</v>
      </c>
      <c r="I10" s="341"/>
      <c r="J10" s="163">
        <f>PLANTILLA!X12</f>
        <v>0</v>
      </c>
      <c r="K10" s="163">
        <f>PLANTILLA!Y12</f>
        <v>11.95</v>
      </c>
      <c r="L10" s="163">
        <f>PLANTILLA!Z12</f>
        <v>12.489111111111114</v>
      </c>
      <c r="M10" s="163">
        <f>PLANTILLA!AA12</f>
        <v>13.133333333333335</v>
      </c>
      <c r="N10" s="163">
        <f>PLANTILLA!AB12</f>
        <v>10.91</v>
      </c>
      <c r="O10" s="163">
        <f>PLANTILLA!AC12</f>
        <v>7.7700000000000005</v>
      </c>
      <c r="P10" s="163">
        <f>PLANTILLA!AD12</f>
        <v>17.13</v>
      </c>
      <c r="Q10" s="163">
        <f t="shared" si="57"/>
        <v>4.5962499999999995</v>
      </c>
      <c r="R10" s="163">
        <f t="shared" si="58"/>
        <v>21.246287061708095</v>
      </c>
      <c r="S10" s="163">
        <f t="shared" si="59"/>
        <v>0.90239999999999987</v>
      </c>
      <c r="T10" s="163">
        <f t="shared" si="60"/>
        <v>0.9919</v>
      </c>
      <c r="U10" s="163">
        <f t="shared" ca="1" si="0"/>
        <v>19.583206815252531</v>
      </c>
      <c r="V10" s="159">
        <f t="shared" si="1"/>
        <v>5.8763495497154601</v>
      </c>
      <c r="W10" s="159">
        <f t="shared" si="2"/>
        <v>8.8913399984910164</v>
      </c>
      <c r="X10" s="159">
        <f t="shared" si="61"/>
        <v>5.8763495497154601</v>
      </c>
      <c r="Y10" s="159">
        <f t="shared" si="3"/>
        <v>7.6900547166703053</v>
      </c>
      <c r="Z10" s="159">
        <f t="shared" si="4"/>
        <v>14.903206815252529</v>
      </c>
      <c r="AA10" s="159">
        <f t="shared" si="62"/>
        <v>3.8450273583351526</v>
      </c>
      <c r="AB10" s="159">
        <f t="shared" si="5"/>
        <v>3.6752716664745471</v>
      </c>
      <c r="AC10" s="159">
        <f t="shared" si="6"/>
        <v>5.6334121761654563</v>
      </c>
      <c r="AD10" s="159">
        <f t="shared" si="7"/>
        <v>10.775018527427578</v>
      </c>
      <c r="AE10" s="159">
        <f t="shared" si="63"/>
        <v>2.8167060880827282</v>
      </c>
      <c r="AF10" s="159">
        <f t="shared" si="8"/>
        <v>5.9452924016500033</v>
      </c>
      <c r="AG10" s="357">
        <f t="shared" si="9"/>
        <v>13.710950270032328</v>
      </c>
      <c r="AH10" s="159">
        <f t="shared" si="10"/>
        <v>6.1699276215145469</v>
      </c>
      <c r="AI10" s="159">
        <f t="shared" si="11"/>
        <v>2.5788670937027289</v>
      </c>
      <c r="AJ10" s="357">
        <f t="shared" si="12"/>
        <v>9.4588856073684884</v>
      </c>
      <c r="AK10" s="159">
        <f t="shared" si="13"/>
        <v>11.237017938700408</v>
      </c>
      <c r="AL10" s="159">
        <f t="shared" si="14"/>
        <v>10.55147042519879</v>
      </c>
      <c r="AM10" s="159">
        <f t="shared" si="15"/>
        <v>3.3538955381471727</v>
      </c>
      <c r="AN10" s="159">
        <f t="shared" si="16"/>
        <v>2.1742435627927286</v>
      </c>
      <c r="AO10" s="159">
        <f t="shared" si="17"/>
        <v>4.0238658401181828</v>
      </c>
      <c r="AP10" s="159">
        <f t="shared" si="18"/>
        <v>8.8525048482600024</v>
      </c>
      <c r="AQ10" s="159">
        <f t="shared" si="64"/>
        <v>2.0119329200590914</v>
      </c>
      <c r="AR10" s="159">
        <f t="shared" si="19"/>
        <v>14.577548122487279</v>
      </c>
      <c r="AS10" s="159">
        <f t="shared" si="20"/>
        <v>1.8022168859828289</v>
      </c>
      <c r="AT10" s="159">
        <f t="shared" si="21"/>
        <v>3.5186995968689914</v>
      </c>
      <c r="AU10" s="159">
        <f t="shared" si="65"/>
        <v>0.90110844299141446</v>
      </c>
      <c r="AV10" s="159">
        <f t="shared" si="22"/>
        <v>2.8167060880827282</v>
      </c>
      <c r="AW10" s="159">
        <f t="shared" si="23"/>
        <v>5.961282726101012</v>
      </c>
      <c r="AX10" s="159">
        <f t="shared" si="66"/>
        <v>1.4083530440413641</v>
      </c>
      <c r="AY10" s="159">
        <f t="shared" si="24"/>
        <v>15.442317926363645</v>
      </c>
      <c r="AZ10" s="159">
        <f t="shared" si="25"/>
        <v>3.5073913242588901</v>
      </c>
      <c r="BA10" s="159">
        <f t="shared" si="26"/>
        <v>6.9792269552041448</v>
      </c>
      <c r="BB10" s="159">
        <f t="shared" si="67"/>
        <v>1.7536956621294451</v>
      </c>
      <c r="BC10" s="159">
        <f t="shared" si="27"/>
        <v>4.3368331832384861</v>
      </c>
      <c r="BD10" s="159">
        <f t="shared" si="28"/>
        <v>5.1863159717078799</v>
      </c>
      <c r="BE10" s="159">
        <f t="shared" si="29"/>
        <v>13.604682093126371</v>
      </c>
      <c r="BF10" s="159">
        <f t="shared" si="30"/>
        <v>13.600584192092832</v>
      </c>
      <c r="BG10" s="159">
        <f t="shared" si="31"/>
        <v>3.3410328424758595</v>
      </c>
      <c r="BH10" s="159">
        <f t="shared" si="32"/>
        <v>7.2280553053974765</v>
      </c>
      <c r="BI10" s="159">
        <f t="shared" si="33"/>
        <v>3.9344465992266682</v>
      </c>
      <c r="BJ10" s="159">
        <f t="shared" si="34"/>
        <v>5.8835231299445487</v>
      </c>
      <c r="BK10" s="159">
        <f t="shared" si="35"/>
        <v>13.612746089864046</v>
      </c>
      <c r="BL10" s="159">
        <f t="shared" si="36"/>
        <v>0.72088675439313155</v>
      </c>
      <c r="BM10" s="159">
        <f t="shared" si="37"/>
        <v>2.6825772267454551</v>
      </c>
      <c r="BN10" s="159">
        <f t="shared" si="38"/>
        <v>1.0134180634371721</v>
      </c>
      <c r="BO10" s="159">
        <f t="shared" si="39"/>
        <v>4.7099069675409115</v>
      </c>
      <c r="BP10" s="159">
        <f t="shared" si="40"/>
        <v>20.051417297748088</v>
      </c>
      <c r="BQ10" s="159">
        <f t="shared" si="41"/>
        <v>1.8715329200590918</v>
      </c>
      <c r="BR10" s="159">
        <f t="shared" si="42"/>
        <v>4.2325107355317177</v>
      </c>
      <c r="BS10" s="159">
        <f t="shared" si="43"/>
        <v>3.6363824629216173</v>
      </c>
      <c r="BT10" s="159">
        <f t="shared" si="44"/>
        <v>7.0262546564954587</v>
      </c>
      <c r="BU10" s="159">
        <f t="shared" si="45"/>
        <v>17.281393151299806</v>
      </c>
      <c r="BV10" s="159">
        <f t="shared" si="46"/>
        <v>1.6774480246455561</v>
      </c>
      <c r="BW10" s="159">
        <f t="shared" si="47"/>
        <v>4.2325107355317177</v>
      </c>
      <c r="BX10" s="159">
        <f t="shared" si="48"/>
        <v>3.6363824629216173</v>
      </c>
      <c r="BY10" s="159">
        <f t="shared" si="49"/>
        <v>9.7441026115354603</v>
      </c>
      <c r="BZ10" s="159">
        <f t="shared" si="50"/>
        <v>13.968350099651015</v>
      </c>
      <c r="CA10" s="159">
        <f t="shared" si="51"/>
        <v>2.0517546086573746</v>
      </c>
      <c r="CB10" s="159">
        <f t="shared" si="52"/>
        <v>6.2695810781036405</v>
      </c>
      <c r="CC10" s="159">
        <f t="shared" si="53"/>
        <v>7.1441107507465684</v>
      </c>
      <c r="CD10" s="159">
        <f t="shared" si="54"/>
        <v>13.779350873974348</v>
      </c>
      <c r="CE10" s="159">
        <f t="shared" si="68"/>
        <v>7.1441107507465684</v>
      </c>
      <c r="CF10" s="159">
        <f t="shared" si="55"/>
        <v>8.181734512568994</v>
      </c>
      <c r="CG10" s="159">
        <f t="shared" si="56"/>
        <v>15.838730130080712</v>
      </c>
      <c r="CH10" s="159">
        <f t="shared" si="69"/>
        <v>8.181734512568994</v>
      </c>
      <c r="CI10" s="159">
        <f t="shared" si="70"/>
        <v>3.8605794815909111</v>
      </c>
    </row>
    <row r="11" spans="1:87" x14ac:dyDescent="0.25">
      <c r="A11" t="str">
        <f>PLANTILLA!D13</f>
        <v>K. Helms</v>
      </c>
      <c r="B11" t="s">
        <v>855</v>
      </c>
      <c r="C11" s="633">
        <f>PLANTILLA!E13</f>
        <v>30</v>
      </c>
      <c r="D11" s="633">
        <f ca="1">PLANTILLA!F13</f>
        <v>36</v>
      </c>
      <c r="E11" s="633" t="str">
        <f>PLANTILLA!G13</f>
        <v>TEC</v>
      </c>
      <c r="F11" s="290">
        <v>41722</v>
      </c>
      <c r="G11" s="497">
        <v>1.5</v>
      </c>
      <c r="H11" s="498">
        <f>PLANTILLA!I13</f>
        <v>10.3</v>
      </c>
      <c r="I11" s="341"/>
      <c r="J11" s="163">
        <f>PLANTILLA!X13</f>
        <v>0</v>
      </c>
      <c r="K11" s="163">
        <f>PLANTILLA!Y13</f>
        <v>7.11</v>
      </c>
      <c r="L11" s="163">
        <f>PLANTILLA!Z13</f>
        <v>10.450000000000003</v>
      </c>
      <c r="M11" s="163">
        <f>PLANTILLA!AA13</f>
        <v>13.388333333333334</v>
      </c>
      <c r="N11" s="163">
        <f>PLANTILLA!AB13</f>
        <v>10.359999999999998</v>
      </c>
      <c r="O11" s="163">
        <f>PLANTILLA!AC13</f>
        <v>5.4050000000000002</v>
      </c>
      <c r="P11" s="163">
        <f>PLANTILLA!AD13</f>
        <v>17.300000000000004</v>
      </c>
      <c r="Q11" s="163">
        <f t="shared" si="57"/>
        <v>3.8537499999999993</v>
      </c>
      <c r="R11" s="163">
        <f t="shared" si="58"/>
        <v>17.186793688797913</v>
      </c>
      <c r="S11" s="163">
        <f t="shared" si="59"/>
        <v>0.78925000000000023</v>
      </c>
      <c r="T11" s="163">
        <f t="shared" si="60"/>
        <v>0.80340000000000023</v>
      </c>
      <c r="U11" s="163">
        <f t="shared" ca="1" si="0"/>
        <v>19.650449632940234</v>
      </c>
      <c r="V11" s="159">
        <f t="shared" si="1"/>
        <v>4.4508025295568201</v>
      </c>
      <c r="W11" s="159">
        <f t="shared" si="2"/>
        <v>6.7016804761258353</v>
      </c>
      <c r="X11" s="159">
        <f t="shared" si="61"/>
        <v>4.4508025295568201</v>
      </c>
      <c r="Y11" s="159">
        <f t="shared" si="3"/>
        <v>5.1395920105971582</v>
      </c>
      <c r="Z11" s="159">
        <f t="shared" si="4"/>
        <v>9.9604496329402288</v>
      </c>
      <c r="AA11" s="159">
        <f t="shared" si="62"/>
        <v>2.5697960052985791</v>
      </c>
      <c r="AB11" s="159">
        <f t="shared" si="5"/>
        <v>3.1655070126397753</v>
      </c>
      <c r="AC11" s="159">
        <f t="shared" si="6"/>
        <v>3.7650499612514063</v>
      </c>
      <c r="AD11" s="159">
        <f t="shared" si="7"/>
        <v>7.2014050846157849</v>
      </c>
      <c r="AE11" s="159">
        <f t="shared" si="63"/>
        <v>1.8825249806257032</v>
      </c>
      <c r="AF11" s="159">
        <f t="shared" si="8"/>
        <v>5.1206731086819897</v>
      </c>
      <c r="AG11" s="357">
        <f t="shared" si="9"/>
        <v>9.1636136623050106</v>
      </c>
      <c r="AH11" s="159">
        <f t="shared" si="10"/>
        <v>4.1236261480372542</v>
      </c>
      <c r="AI11" s="159">
        <f t="shared" si="11"/>
        <v>2.2211750887010191</v>
      </c>
      <c r="AJ11" s="357">
        <f t="shared" si="12"/>
        <v>9.5484043841688564</v>
      </c>
      <c r="AK11" s="159">
        <f t="shared" si="13"/>
        <v>7.5101790232369323</v>
      </c>
      <c r="AL11" s="159">
        <f t="shared" si="14"/>
        <v>7.0519983401216813</v>
      </c>
      <c r="AM11" s="159">
        <f t="shared" si="15"/>
        <v>3.3651250887010193</v>
      </c>
      <c r="AN11" s="159">
        <f t="shared" si="16"/>
        <v>1.9308094942867859</v>
      </c>
      <c r="AO11" s="159">
        <f t="shared" si="17"/>
        <v>2.6893214008938617</v>
      </c>
      <c r="AP11" s="159">
        <f t="shared" si="18"/>
        <v>5.916507081966496</v>
      </c>
      <c r="AQ11" s="159">
        <f t="shared" si="64"/>
        <v>1.3446607004469309</v>
      </c>
      <c r="AR11" s="159">
        <f t="shared" si="19"/>
        <v>12.555624453495579</v>
      </c>
      <c r="AS11" s="159">
        <f t="shared" si="20"/>
        <v>1.7173584522822296</v>
      </c>
      <c r="AT11" s="159">
        <f t="shared" si="21"/>
        <v>3.013446742451487</v>
      </c>
      <c r="AU11" s="159">
        <f t="shared" si="65"/>
        <v>0.8586792261411148</v>
      </c>
      <c r="AV11" s="159">
        <f t="shared" si="22"/>
        <v>1.8825249806257032</v>
      </c>
      <c r="AW11" s="159">
        <f t="shared" si="23"/>
        <v>3.9841798531760917</v>
      </c>
      <c r="AX11" s="159">
        <f t="shared" si="66"/>
        <v>0.94126249031285159</v>
      </c>
      <c r="AY11" s="159">
        <f t="shared" si="24"/>
        <v>13.300449632940232</v>
      </c>
      <c r="AZ11" s="159">
        <f t="shared" si="25"/>
        <v>3.3422437571338777</v>
      </c>
      <c r="BA11" s="159">
        <f t="shared" si="26"/>
        <v>6.2384077477500659</v>
      </c>
      <c r="BB11" s="159">
        <f t="shared" si="67"/>
        <v>1.6711218785669388</v>
      </c>
      <c r="BC11" s="159">
        <f t="shared" si="27"/>
        <v>2.8984908431856065</v>
      </c>
      <c r="BD11" s="159">
        <f t="shared" si="28"/>
        <v>3.4662364722631995</v>
      </c>
      <c r="BE11" s="159">
        <f t="shared" si="29"/>
        <v>11.717696126620345</v>
      </c>
      <c r="BF11" s="159">
        <f t="shared" si="30"/>
        <v>13.482353057017196</v>
      </c>
      <c r="BG11" s="159">
        <f t="shared" si="31"/>
        <v>3.1837183615385944</v>
      </c>
      <c r="BH11" s="159">
        <f t="shared" si="32"/>
        <v>4.8308180719760108</v>
      </c>
      <c r="BI11" s="159">
        <f t="shared" si="33"/>
        <v>2.6295587030962206</v>
      </c>
      <c r="BJ11" s="159">
        <f t="shared" si="34"/>
        <v>5.0674713101502284</v>
      </c>
      <c r="BK11" s="159">
        <f t="shared" si="35"/>
        <v>13.584001312523096</v>
      </c>
      <c r="BL11" s="159">
        <f t="shared" si="36"/>
        <v>0.68694338091289175</v>
      </c>
      <c r="BM11" s="159">
        <f t="shared" si="37"/>
        <v>1.7928809339292411</v>
      </c>
      <c r="BN11" s="159">
        <f t="shared" si="38"/>
        <v>0.67731057503993564</v>
      </c>
      <c r="BO11" s="159">
        <f t="shared" si="39"/>
        <v>4.0566371380467707</v>
      </c>
      <c r="BP11" s="159">
        <f t="shared" si="40"/>
        <v>20.016971561294469</v>
      </c>
      <c r="BQ11" s="159">
        <f t="shared" si="41"/>
        <v>1.7834107004469308</v>
      </c>
      <c r="BR11" s="159">
        <f t="shared" si="42"/>
        <v>2.8287676957550247</v>
      </c>
      <c r="BS11" s="159">
        <f t="shared" si="43"/>
        <v>2.4303497104374157</v>
      </c>
      <c r="BT11" s="159">
        <f t="shared" si="44"/>
        <v>6.0517045829878056</v>
      </c>
      <c r="BU11" s="159">
        <f t="shared" si="45"/>
        <v>17.253658193297774</v>
      </c>
      <c r="BV11" s="159">
        <f t="shared" si="46"/>
        <v>1.5984644055857675</v>
      </c>
      <c r="BW11" s="159">
        <f t="shared" si="47"/>
        <v>2.8287676957550247</v>
      </c>
      <c r="BX11" s="159">
        <f t="shared" si="48"/>
        <v>2.4303497104374157</v>
      </c>
      <c r="BY11" s="159">
        <f t="shared" si="49"/>
        <v>8.3925837183852874</v>
      </c>
      <c r="BZ11" s="159">
        <f t="shared" si="50"/>
        <v>13.949242421481506</v>
      </c>
      <c r="CA11" s="159">
        <f t="shared" si="51"/>
        <v>1.9551465456751536</v>
      </c>
      <c r="CB11" s="159">
        <f t="shared" si="52"/>
        <v>5.3999825509737347</v>
      </c>
      <c r="CC11" s="159">
        <f t="shared" si="53"/>
        <v>7.7644452293970767</v>
      </c>
      <c r="CD11" s="159">
        <f t="shared" si="54"/>
        <v>11.986201286690697</v>
      </c>
      <c r="CE11" s="159">
        <f t="shared" si="68"/>
        <v>7.7644452293970767</v>
      </c>
      <c r="CF11" s="159">
        <f t="shared" si="55"/>
        <v>7.4810717879884301</v>
      </c>
      <c r="CG11" s="159">
        <f t="shared" si="56"/>
        <v>13.130105547495173</v>
      </c>
      <c r="CH11" s="159">
        <f t="shared" si="69"/>
        <v>7.4810717879884301</v>
      </c>
      <c r="CI11" s="159">
        <f t="shared" si="70"/>
        <v>3.325112408235058</v>
      </c>
    </row>
    <row r="12" spans="1:87" x14ac:dyDescent="0.25">
      <c r="A12" t="str">
        <f>PLANTILLA!D14</f>
        <v>S. Zobbe</v>
      </c>
      <c r="B12" t="s">
        <v>855</v>
      </c>
      <c r="C12" s="633">
        <f>PLANTILLA!E14</f>
        <v>27</v>
      </c>
      <c r="D12" s="633">
        <f ca="1">PLANTILLA!F14</f>
        <v>51</v>
      </c>
      <c r="E12" s="633" t="str">
        <f>PLANTILLA!G14</f>
        <v>CAB</v>
      </c>
      <c r="F12" s="290">
        <v>41911</v>
      </c>
      <c r="G12" s="497">
        <v>1.5</v>
      </c>
      <c r="H12" s="498">
        <f>PLANTILLA!I14</f>
        <v>8.6999999999999993</v>
      </c>
      <c r="I12" s="341"/>
      <c r="J12" s="163">
        <f>PLANTILLA!X14</f>
        <v>0</v>
      </c>
      <c r="K12" s="163">
        <f>PLANTILLA!Y14</f>
        <v>8.1199999999999992</v>
      </c>
      <c r="L12" s="163">
        <f>PLANTILLA!Z14</f>
        <v>12.058412698412699</v>
      </c>
      <c r="M12" s="163">
        <f>PLANTILLA!AA14</f>
        <v>12.25</v>
      </c>
      <c r="N12" s="163">
        <f>PLANTILLA!AB14</f>
        <v>10.24</v>
      </c>
      <c r="O12" s="163">
        <f>PLANTILLA!AC14</f>
        <v>7.4766666666666666</v>
      </c>
      <c r="P12" s="163">
        <f>PLANTILLA!AD14</f>
        <v>15.270000000000001</v>
      </c>
      <c r="Q12" s="163">
        <f t="shared" si="57"/>
        <v>3.95</v>
      </c>
      <c r="R12" s="163">
        <f t="shared" si="58"/>
        <v>19.293216731049526</v>
      </c>
      <c r="S12" s="163">
        <f t="shared" si="59"/>
        <v>0.8319333333333333</v>
      </c>
      <c r="T12" s="163">
        <f t="shared" si="60"/>
        <v>0.78290000000000004</v>
      </c>
      <c r="U12" s="163">
        <f t="shared" ca="1" si="0"/>
        <v>17.522692336824829</v>
      </c>
      <c r="V12" s="159">
        <f t="shared" si="1"/>
        <v>4.6442204100480717</v>
      </c>
      <c r="W12" s="159">
        <f t="shared" si="2"/>
        <v>7.0047258068408471</v>
      </c>
      <c r="X12" s="159">
        <f t="shared" si="61"/>
        <v>4.6442204100480717</v>
      </c>
      <c r="Y12" s="159">
        <f t="shared" si="3"/>
        <v>5.6103092458016084</v>
      </c>
      <c r="Z12" s="159">
        <f t="shared" si="4"/>
        <v>10.872692336824823</v>
      </c>
      <c r="AA12" s="159">
        <f t="shared" si="62"/>
        <v>2.8051546229008042</v>
      </c>
      <c r="AB12" s="159">
        <f t="shared" si="5"/>
        <v>3.5250429983865308</v>
      </c>
      <c r="AC12" s="159">
        <f t="shared" si="6"/>
        <v>4.1098777033197829</v>
      </c>
      <c r="AD12" s="159">
        <f t="shared" si="7"/>
        <v>7.8609565595243467</v>
      </c>
      <c r="AE12" s="159">
        <f t="shared" si="63"/>
        <v>2.0549388516598914</v>
      </c>
      <c r="AF12" s="159">
        <f t="shared" si="8"/>
        <v>5.7022754385664474</v>
      </c>
      <c r="AG12" s="357">
        <f t="shared" si="9"/>
        <v>10.002876949878837</v>
      </c>
      <c r="AH12" s="159">
        <f t="shared" si="10"/>
        <v>4.5012946274454766</v>
      </c>
      <c r="AI12" s="159">
        <f t="shared" si="11"/>
        <v>2.4734545408846667</v>
      </c>
      <c r="AJ12" s="357">
        <f t="shared" si="12"/>
        <v>8.8215830940529969</v>
      </c>
      <c r="AK12" s="159">
        <f t="shared" si="13"/>
        <v>8.1980100219659171</v>
      </c>
      <c r="AL12" s="159">
        <f t="shared" si="14"/>
        <v>7.6978661744719741</v>
      </c>
      <c r="AM12" s="159">
        <f t="shared" si="15"/>
        <v>3.0097896202497467</v>
      </c>
      <c r="AN12" s="159">
        <f t="shared" si="16"/>
        <v>1.9303753930055494</v>
      </c>
      <c r="AO12" s="159">
        <f t="shared" si="17"/>
        <v>2.9356269309427026</v>
      </c>
      <c r="AP12" s="159">
        <f t="shared" si="18"/>
        <v>6.4583792480739444</v>
      </c>
      <c r="AQ12" s="159">
        <f t="shared" si="64"/>
        <v>1.4678134654713513</v>
      </c>
      <c r="AR12" s="159">
        <f t="shared" si="19"/>
        <v>13.981683153264223</v>
      </c>
      <c r="AS12" s="159">
        <f t="shared" si="20"/>
        <v>1.6890500037872271</v>
      </c>
      <c r="AT12" s="159">
        <f t="shared" si="21"/>
        <v>3.3288021880230065</v>
      </c>
      <c r="AU12" s="159">
        <f t="shared" si="65"/>
        <v>0.84452500189361357</v>
      </c>
      <c r="AV12" s="159">
        <f t="shared" si="22"/>
        <v>2.0549388516598914</v>
      </c>
      <c r="AW12" s="159">
        <f t="shared" si="23"/>
        <v>4.3490769347299292</v>
      </c>
      <c r="AX12" s="159">
        <f t="shared" si="66"/>
        <v>1.0274694258299457</v>
      </c>
      <c r="AY12" s="159">
        <f t="shared" si="24"/>
        <v>14.811105035237524</v>
      </c>
      <c r="AZ12" s="159">
        <f t="shared" si="25"/>
        <v>3.2871511612166806</v>
      </c>
      <c r="BA12" s="159">
        <f t="shared" si="26"/>
        <v>6.5786734775904785</v>
      </c>
      <c r="BB12" s="159">
        <f t="shared" si="67"/>
        <v>1.6435755806083403</v>
      </c>
      <c r="BC12" s="159">
        <f t="shared" si="27"/>
        <v>3.1639534700160232</v>
      </c>
      <c r="BD12" s="159">
        <f t="shared" si="28"/>
        <v>3.7836969332150381</v>
      </c>
      <c r="BE12" s="159">
        <f t="shared" si="29"/>
        <v>13.048583536044259</v>
      </c>
      <c r="BF12" s="159">
        <f t="shared" si="30"/>
        <v>12.704243487437269</v>
      </c>
      <c r="BG12" s="159">
        <f t="shared" si="31"/>
        <v>3.1312388531747826</v>
      </c>
      <c r="BH12" s="159">
        <f t="shared" si="32"/>
        <v>5.2732557833600389</v>
      </c>
      <c r="BI12" s="159">
        <f t="shared" si="33"/>
        <v>2.8703907769217536</v>
      </c>
      <c r="BJ12" s="159">
        <f t="shared" si="34"/>
        <v>5.6430310184254973</v>
      </c>
      <c r="BK12" s="159">
        <f t="shared" si="35"/>
        <v>12.708343102384898</v>
      </c>
      <c r="BL12" s="159">
        <f t="shared" si="36"/>
        <v>0.67562000151489077</v>
      </c>
      <c r="BM12" s="159">
        <f t="shared" si="37"/>
        <v>1.957084620628468</v>
      </c>
      <c r="BN12" s="159">
        <f t="shared" si="38"/>
        <v>0.73934307890408801</v>
      </c>
      <c r="BO12" s="159">
        <f t="shared" si="39"/>
        <v>4.5173870357474453</v>
      </c>
      <c r="BP12" s="159">
        <f t="shared" si="40"/>
        <v>18.718602345156725</v>
      </c>
      <c r="BQ12" s="159">
        <f t="shared" si="41"/>
        <v>1.7540134654713513</v>
      </c>
      <c r="BR12" s="159">
        <f t="shared" si="42"/>
        <v>3.0878446236582495</v>
      </c>
      <c r="BS12" s="159">
        <f t="shared" si="43"/>
        <v>2.6529369301852568</v>
      </c>
      <c r="BT12" s="159">
        <f t="shared" si="44"/>
        <v>6.7390527910330738</v>
      </c>
      <c r="BU12" s="159">
        <f t="shared" si="45"/>
        <v>16.132543109201908</v>
      </c>
      <c r="BV12" s="159">
        <f t="shared" si="46"/>
        <v>1.5721157727558037</v>
      </c>
      <c r="BW12" s="159">
        <f t="shared" si="47"/>
        <v>3.0878446236582495</v>
      </c>
      <c r="BX12" s="159">
        <f t="shared" si="48"/>
        <v>2.6529369301852568</v>
      </c>
      <c r="BY12" s="159">
        <f t="shared" si="49"/>
        <v>9.3458072772348775</v>
      </c>
      <c r="BZ12" s="159">
        <f t="shared" si="50"/>
        <v>13.039479641458218</v>
      </c>
      <c r="CA12" s="159">
        <f t="shared" si="51"/>
        <v>1.9229184658500738</v>
      </c>
      <c r="CB12" s="159">
        <f t="shared" si="52"/>
        <v>6.0133086443064352</v>
      </c>
      <c r="CC12" s="159">
        <f t="shared" si="53"/>
        <v>6.7076893741524</v>
      </c>
      <c r="CD12" s="159">
        <f t="shared" si="54"/>
        <v>13.018748237931419</v>
      </c>
      <c r="CE12" s="159">
        <f t="shared" si="68"/>
        <v>6.7076893741524</v>
      </c>
      <c r="CF12" s="159">
        <f t="shared" si="55"/>
        <v>7.6901906591751992</v>
      </c>
      <c r="CG12" s="159">
        <f t="shared" si="56"/>
        <v>15.023662475779851</v>
      </c>
      <c r="CH12" s="159">
        <f t="shared" si="69"/>
        <v>7.6901906591751992</v>
      </c>
      <c r="CI12" s="159">
        <f t="shared" si="70"/>
        <v>3.7027762588093811</v>
      </c>
    </row>
    <row r="13" spans="1:87" x14ac:dyDescent="0.25">
      <c r="A13" t="str">
        <f>PLANTILLA!D15</f>
        <v>S. Buschelman</v>
      </c>
      <c r="B13" t="s">
        <v>855</v>
      </c>
      <c r="C13" s="633">
        <f>PLANTILLA!E15</f>
        <v>29</v>
      </c>
      <c r="D13" s="633">
        <f ca="1">PLANTILLA!F15</f>
        <v>48</v>
      </c>
      <c r="E13" s="633" t="str">
        <f>PLANTILLA!G15</f>
        <v>TEC</v>
      </c>
      <c r="F13" s="290">
        <v>41747</v>
      </c>
      <c r="G13" s="497">
        <v>1.5</v>
      </c>
      <c r="H13" s="498">
        <f>PLANTILLA!I15</f>
        <v>10.4</v>
      </c>
      <c r="I13" s="341"/>
      <c r="J13" s="163">
        <f>PLANTILLA!X15</f>
        <v>0</v>
      </c>
      <c r="K13" s="163">
        <f>PLANTILLA!Y15</f>
        <v>9.1936666666666653</v>
      </c>
      <c r="L13" s="163">
        <f>PLANTILLA!Z15</f>
        <v>13.679999999999998</v>
      </c>
      <c r="M13" s="163">
        <f>PLANTILLA!AA15</f>
        <v>12.835000000000001</v>
      </c>
      <c r="N13" s="163">
        <f>PLANTILLA!AB15</f>
        <v>9.6733333333333356</v>
      </c>
      <c r="O13" s="163">
        <f>PLANTILLA!AC15</f>
        <v>5.0296666666666656</v>
      </c>
      <c r="P13" s="163">
        <f>PLANTILLA!AD15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3.9355785796708123</v>
      </c>
      <c r="AC13" s="159">
        <f t="shared" si="6"/>
        <v>4.5547908030065845</v>
      </c>
      <c r="AD13" s="159">
        <f t="shared" si="7"/>
        <v>8.7119411390840238</v>
      </c>
      <c r="AE13" s="159">
        <f t="shared" si="63"/>
        <v>2.2773954015032922</v>
      </c>
      <c r="AF13" s="159">
        <f t="shared" si="8"/>
        <v>6.3663771141733729</v>
      </c>
      <c r="AG13" s="357">
        <f t="shared" si="9"/>
        <v>11.085734229539836</v>
      </c>
      <c r="AH13" s="159">
        <f t="shared" si="10"/>
        <v>4.988580403292926</v>
      </c>
      <c r="AI13" s="159">
        <f t="shared" si="11"/>
        <v>2.7615194235505283</v>
      </c>
      <c r="AJ13" s="357">
        <f t="shared" si="12"/>
        <v>9.2263341380102428</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15.610025963064063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16.536044452398372</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14.568255162562965</v>
      </c>
      <c r="BF13" s="159">
        <f t="shared" si="30"/>
        <v>12.953413518182156</v>
      </c>
      <c r="BG13" s="159">
        <f t="shared" si="31"/>
        <v>3.0195800463613418</v>
      </c>
      <c r="BH13" s="159">
        <f t="shared" si="32"/>
        <v>5.8441098927465438</v>
      </c>
      <c r="BI13" s="159">
        <f t="shared" si="33"/>
        <v>3.1811237354331703</v>
      </c>
      <c r="BJ13" s="159">
        <f t="shared" si="34"/>
        <v>6.3002329363637797</v>
      </c>
      <c r="BK13" s="159">
        <f t="shared" si="35"/>
        <v>13.07847785139618</v>
      </c>
      <c r="BL13" s="159">
        <f t="shared" si="36"/>
        <v>0.65152764485804882</v>
      </c>
      <c r="BM13" s="159">
        <f t="shared" si="37"/>
        <v>2.1689480014317071</v>
      </c>
      <c r="BN13" s="159">
        <f t="shared" si="38"/>
        <v>0.81938035609642268</v>
      </c>
      <c r="BO13" s="159">
        <f t="shared" si="39"/>
        <v>5.0434935579815035</v>
      </c>
      <c r="BP13" s="159">
        <f t="shared" si="40"/>
        <v>19.274446499117644</v>
      </c>
      <c r="BQ13" s="159">
        <f t="shared" si="41"/>
        <v>1.6914660010737808</v>
      </c>
      <c r="BR13" s="159">
        <f t="shared" si="42"/>
        <v>3.4221179578144709</v>
      </c>
      <c r="BS13" s="159">
        <f t="shared" si="43"/>
        <v>2.9401295130518696</v>
      </c>
      <c r="BT13" s="159">
        <f t="shared" si="44"/>
        <v>7.5239002258412597</v>
      </c>
      <c r="BU13" s="159">
        <f t="shared" si="45"/>
        <v>16.614230586590732</v>
      </c>
      <c r="BV13" s="159">
        <f t="shared" si="46"/>
        <v>1.5160547120735368</v>
      </c>
      <c r="BW13" s="159">
        <f t="shared" si="47"/>
        <v>3.4221179578144709</v>
      </c>
      <c r="BX13" s="159">
        <f t="shared" si="48"/>
        <v>2.9401295130518696</v>
      </c>
      <c r="BY13" s="159">
        <f t="shared" si="49"/>
        <v>10.434244049463372</v>
      </c>
      <c r="BZ13" s="159">
        <f t="shared" si="50"/>
        <v>13.433283118229879</v>
      </c>
      <c r="CA13" s="159">
        <f t="shared" si="51"/>
        <v>1.8543479122882929</v>
      </c>
      <c r="CB13" s="159">
        <f t="shared" si="52"/>
        <v>6.7136340476737395</v>
      </c>
      <c r="CC13" s="159">
        <f t="shared" si="53"/>
        <v>7.4146603825580897</v>
      </c>
      <c r="CD13" s="159">
        <f t="shared" si="54"/>
        <v>11.400821720067237</v>
      </c>
      <c r="CE13" s="159">
        <f t="shared" si="68"/>
        <v>7.4146603825580897</v>
      </c>
      <c r="CF13" s="159">
        <f t="shared" si="55"/>
        <v>7.1671773605108537</v>
      </c>
      <c r="CG13" s="159">
        <f t="shared" si="56"/>
        <v>12.509051522000039</v>
      </c>
      <c r="CH13" s="159">
        <f t="shared" si="69"/>
        <v>7.1671773605108537</v>
      </c>
      <c r="CI13" s="159">
        <f t="shared" si="70"/>
        <v>4.1340111130995929</v>
      </c>
    </row>
    <row r="14" spans="1:87" x14ac:dyDescent="0.25">
      <c r="A14" t="str">
        <f>PLANTILLA!D16</f>
        <v>C. Rojas</v>
      </c>
      <c r="B14" t="s">
        <v>855</v>
      </c>
      <c r="C14" s="633">
        <f>PLANTILLA!E16</f>
        <v>31</v>
      </c>
      <c r="D14" s="633">
        <f ca="1">PLANTILLA!F16</f>
        <v>82</v>
      </c>
      <c r="E14" s="633" t="str">
        <f>PLANTILLA!G16</f>
        <v>TEC</v>
      </c>
      <c r="F14" s="290">
        <v>41653</v>
      </c>
      <c r="G14" s="497">
        <v>1.5</v>
      </c>
      <c r="H14" s="498">
        <f>PLANTILLA!I16</f>
        <v>11</v>
      </c>
      <c r="I14" s="341"/>
      <c r="J14" s="163">
        <f>PLANTILLA!X16</f>
        <v>0</v>
      </c>
      <c r="K14" s="163">
        <f>PLANTILLA!Y16</f>
        <v>8.6075555555555585</v>
      </c>
      <c r="L14" s="163">
        <f>PLANTILLA!Z16</f>
        <v>14.190398412698405</v>
      </c>
      <c r="M14" s="163">
        <f>PLANTILLA!AA16</f>
        <v>9.99</v>
      </c>
      <c r="N14" s="163">
        <f>PLANTILLA!AB16</f>
        <v>10.09</v>
      </c>
      <c r="O14" s="163">
        <f>PLANTILLA!AC16</f>
        <v>4.3999999999999995</v>
      </c>
      <c r="P14" s="163">
        <f>PLANTILLA!AD16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4.0647834343124307</v>
      </c>
      <c r="AC14" s="159">
        <f t="shared" si="6"/>
        <v>4.3455179133197461</v>
      </c>
      <c r="AD14" s="159">
        <f t="shared" si="7"/>
        <v>8.3116652151591968</v>
      </c>
      <c r="AE14" s="159">
        <f t="shared" si="63"/>
        <v>2.1727589566598731</v>
      </c>
      <c r="AF14" s="159">
        <f t="shared" si="8"/>
        <v>6.5753849672701081</v>
      </c>
      <c r="AG14" s="357">
        <f t="shared" si="9"/>
        <v>10.576392804905204</v>
      </c>
      <c r="AH14" s="159">
        <f t="shared" si="10"/>
        <v>4.7593767622073413</v>
      </c>
      <c r="AI14" s="159">
        <f t="shared" si="11"/>
        <v>2.8521799728158652</v>
      </c>
      <c r="AJ14" s="357">
        <f t="shared" si="12"/>
        <v>7.5725718651640479</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16.122502361306445</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17.078921992909372</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15.046530275753156</v>
      </c>
      <c r="BF14" s="159">
        <f t="shared" si="30"/>
        <v>11.480507462807548</v>
      </c>
      <c r="BG14" s="159">
        <f t="shared" si="31"/>
        <v>3.1278241828308428</v>
      </c>
      <c r="BH14" s="159">
        <f t="shared" si="32"/>
        <v>5.5755983808467642</v>
      </c>
      <c r="BI14" s="159">
        <f t="shared" si="33"/>
        <v>3.0349648918423626</v>
      </c>
      <c r="BJ14" s="159">
        <f t="shared" si="34"/>
        <v>6.507069279298471</v>
      </c>
      <c r="BK14" s="159">
        <f t="shared" si="35"/>
        <v>11.275929609104386</v>
      </c>
      <c r="BL14" s="159">
        <f t="shared" si="36"/>
        <v>0.67488322617097019</v>
      </c>
      <c r="BM14" s="159">
        <f t="shared" si="37"/>
        <v>2.0692942444379745</v>
      </c>
      <c r="BN14" s="159">
        <f t="shared" si="38"/>
        <v>0.78173338123212377</v>
      </c>
      <c r="BO14" s="159">
        <f t="shared" si="39"/>
        <v>5.2090712078373587</v>
      </c>
      <c r="BP14" s="159">
        <f t="shared" si="40"/>
        <v>16.590381324151302</v>
      </c>
      <c r="BQ14" s="159">
        <f t="shared" si="41"/>
        <v>1.7521006833284807</v>
      </c>
      <c r="BR14" s="159">
        <f t="shared" si="42"/>
        <v>3.2648864745576929</v>
      </c>
      <c r="BS14" s="159">
        <f t="shared" si="43"/>
        <v>2.8050433091270319</v>
      </c>
      <c r="BT14" s="159">
        <f t="shared" si="44"/>
        <v>7.7709095067737648</v>
      </c>
      <c r="BU14" s="159">
        <f t="shared" si="45"/>
        <v>14.293804126873752</v>
      </c>
      <c r="BV14" s="159">
        <f t="shared" si="46"/>
        <v>1.570401353205527</v>
      </c>
      <c r="BW14" s="159">
        <f t="shared" si="47"/>
        <v>3.2648864745576929</v>
      </c>
      <c r="BX14" s="159">
        <f t="shared" si="48"/>
        <v>2.8050433091270319</v>
      </c>
      <c r="BY14" s="159">
        <f t="shared" si="49"/>
        <v>10.776799777525813</v>
      </c>
      <c r="BZ14" s="159">
        <f t="shared" si="50"/>
        <v>11.545578604288814</v>
      </c>
      <c r="CA14" s="159">
        <f t="shared" si="51"/>
        <v>1.920821489871223</v>
      </c>
      <c r="CB14" s="159">
        <f t="shared" si="52"/>
        <v>6.9340423291212057</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4.269730498227343</v>
      </c>
    </row>
    <row r="15" spans="1:87" x14ac:dyDescent="0.25">
      <c r="A15" t="str">
        <f>PLANTILLA!D17</f>
        <v>E. Gross</v>
      </c>
      <c r="B15" t="s">
        <v>855</v>
      </c>
      <c r="C15" s="633">
        <f>PLANTILLA!E17</f>
        <v>30</v>
      </c>
      <c r="D15" s="633">
        <f ca="1">PLANTILLA!F17</f>
        <v>76</v>
      </c>
      <c r="E15" s="633"/>
      <c r="F15" s="290">
        <v>41552</v>
      </c>
      <c r="G15" s="497">
        <v>1.5</v>
      </c>
      <c r="H15" s="498">
        <f>PLANTILLA!I17</f>
        <v>9.1</v>
      </c>
      <c r="I15" s="341"/>
      <c r="J15" s="163">
        <f>PLANTILLA!X17</f>
        <v>0</v>
      </c>
      <c r="K15" s="163">
        <f>PLANTILLA!Y17</f>
        <v>10.349999999999996</v>
      </c>
      <c r="L15" s="163">
        <f>PLANTILLA!Z17</f>
        <v>12.859777777777778</v>
      </c>
      <c r="M15" s="163">
        <f>PLANTILLA!AA17</f>
        <v>5.1299999999999981</v>
      </c>
      <c r="N15" s="163">
        <f>PLANTILLA!AB17</f>
        <v>9.24</v>
      </c>
      <c r="O15" s="163">
        <f>PLANTILLA!AC17</f>
        <v>2.98</v>
      </c>
      <c r="P15" s="163">
        <f>PLANTILLA!AD17</f>
        <v>16.959999999999997</v>
      </c>
      <c r="Q15" s="163">
        <f t="shared" si="57"/>
        <v>3.9787499999999998</v>
      </c>
      <c r="R15" s="163">
        <f t="shared" si="58"/>
        <v>12.815775302706152</v>
      </c>
      <c r="S15" s="163">
        <f t="shared" si="59"/>
        <v>0.65779999999999994</v>
      </c>
      <c r="T15" s="163">
        <f t="shared" si="60"/>
        <v>0.92279999999999984</v>
      </c>
      <c r="U15" s="163">
        <f t="shared" ca="1" si="0"/>
        <v>19.238721856428121</v>
      </c>
      <c r="V15" s="159">
        <f t="shared" si="1"/>
        <v>5.282424180661752</v>
      </c>
      <c r="W15" s="159">
        <f t="shared" si="2"/>
        <v>7.9860799166487073</v>
      </c>
      <c r="X15" s="159">
        <f t="shared" si="61"/>
        <v>5.282424180661752</v>
      </c>
      <c r="Y15" s="159">
        <f t="shared" si="3"/>
        <v>6.7744204779169097</v>
      </c>
      <c r="Z15" s="159">
        <f t="shared" si="4"/>
        <v>13.12872185642812</v>
      </c>
      <c r="AA15" s="159">
        <f t="shared" si="62"/>
        <v>3.3872102389584549</v>
      </c>
      <c r="AB15" s="159">
        <f t="shared" si="5"/>
        <v>3.7219629129410046</v>
      </c>
      <c r="AC15" s="159">
        <f t="shared" si="6"/>
        <v>4.9626568617298297</v>
      </c>
      <c r="AD15" s="159">
        <f t="shared" si="7"/>
        <v>9.4920659021975311</v>
      </c>
      <c r="AE15" s="159">
        <f t="shared" si="63"/>
        <v>2.4813284308649148</v>
      </c>
      <c r="AF15" s="159">
        <f t="shared" si="8"/>
        <v>6.020822359169272</v>
      </c>
      <c r="AG15" s="357">
        <f t="shared" si="9"/>
        <v>12.078424107913872</v>
      </c>
      <c r="AH15" s="159">
        <f t="shared" si="10"/>
        <v>5.435290848561241</v>
      </c>
      <c r="AI15" s="159">
        <f t="shared" si="11"/>
        <v>2.6116294389123857</v>
      </c>
      <c r="AJ15" s="357">
        <f t="shared" si="12"/>
        <v>4.6503284515797363</v>
      </c>
      <c r="AK15" s="159">
        <f t="shared" si="13"/>
        <v>9.8990562797468034</v>
      </c>
      <c r="AL15" s="159">
        <f t="shared" si="14"/>
        <v>9.2951350743511085</v>
      </c>
      <c r="AM15" s="159">
        <f t="shared" si="15"/>
        <v>3.2963665500234964</v>
      </c>
      <c r="AN15" s="159">
        <f t="shared" si="16"/>
        <v>1.9461518946512997</v>
      </c>
      <c r="AO15" s="159">
        <f t="shared" si="17"/>
        <v>3.5447549012355926</v>
      </c>
      <c r="AP15" s="159">
        <f t="shared" si="18"/>
        <v>7.798460782718303</v>
      </c>
      <c r="AQ15" s="159">
        <f t="shared" si="64"/>
        <v>1.7723774506177963</v>
      </c>
      <c r="AR15" s="159">
        <f t="shared" si="19"/>
        <v>14.76274365469037</v>
      </c>
      <c r="AS15" s="159">
        <f t="shared" si="20"/>
        <v>1.5624338413356562</v>
      </c>
      <c r="AT15" s="159">
        <f t="shared" si="21"/>
        <v>2.4385055039334405</v>
      </c>
      <c r="AU15" s="159">
        <f t="shared" si="65"/>
        <v>0.78121692066782811</v>
      </c>
      <c r="AV15" s="159">
        <f t="shared" si="22"/>
        <v>2.4813284308649148</v>
      </c>
      <c r="AW15" s="159">
        <f t="shared" si="23"/>
        <v>5.2514887425712482</v>
      </c>
      <c r="AX15" s="159">
        <f t="shared" si="66"/>
        <v>1.2406642154324574</v>
      </c>
      <c r="AY15" s="159">
        <f t="shared" si="24"/>
        <v>15.638499634205902</v>
      </c>
      <c r="AZ15" s="159">
        <f t="shared" si="25"/>
        <v>3.0407366296763154</v>
      </c>
      <c r="BA15" s="159">
        <f t="shared" si="26"/>
        <v>5.3077157428918973</v>
      </c>
      <c r="BB15" s="159">
        <f t="shared" si="67"/>
        <v>1.5203683148381577</v>
      </c>
      <c r="BC15" s="159">
        <f t="shared" si="27"/>
        <v>3.8204580602205827</v>
      </c>
      <c r="BD15" s="159">
        <f t="shared" si="28"/>
        <v>4.5687952060369854</v>
      </c>
      <c r="BE15" s="159">
        <f t="shared" si="29"/>
        <v>13.777518177735399</v>
      </c>
      <c r="BF15" s="159">
        <f t="shared" si="30"/>
        <v>8.325503730364602</v>
      </c>
      <c r="BG15" s="159">
        <f t="shared" si="31"/>
        <v>2.8965119673991779</v>
      </c>
      <c r="BH15" s="159">
        <f t="shared" si="32"/>
        <v>6.3674301003676383</v>
      </c>
      <c r="BI15" s="159">
        <f t="shared" si="33"/>
        <v>3.4659825700970237</v>
      </c>
      <c r="BJ15" s="159">
        <f t="shared" si="34"/>
        <v>5.9582683606324487</v>
      </c>
      <c r="BK15" s="159">
        <f t="shared" si="35"/>
        <v>7.73833290251818</v>
      </c>
      <c r="BL15" s="159">
        <f t="shared" si="36"/>
        <v>0.62497353653426246</v>
      </c>
      <c r="BM15" s="159">
        <f t="shared" si="37"/>
        <v>2.3631699341570616</v>
      </c>
      <c r="BN15" s="159">
        <f t="shared" si="38"/>
        <v>0.89275308623711225</v>
      </c>
      <c r="BO15" s="159">
        <f t="shared" si="39"/>
        <v>4.7697423884327996</v>
      </c>
      <c r="BP15" s="159">
        <f t="shared" si="40"/>
        <v>11.346076307366566</v>
      </c>
      <c r="BQ15" s="159">
        <f t="shared" si="41"/>
        <v>1.6225274506177969</v>
      </c>
      <c r="BR15" s="159">
        <f t="shared" si="42"/>
        <v>3.7285570072255858</v>
      </c>
      <c r="BS15" s="159">
        <f t="shared" si="43"/>
        <v>3.2034081329684612</v>
      </c>
      <c r="BT15" s="159">
        <f t="shared" si="44"/>
        <v>7.1155173335636857</v>
      </c>
      <c r="BU15" s="159">
        <f t="shared" si="45"/>
        <v>9.7657038169223611</v>
      </c>
      <c r="BV15" s="159">
        <f t="shared" si="46"/>
        <v>1.4542653446278029</v>
      </c>
      <c r="BW15" s="159">
        <f t="shared" si="47"/>
        <v>3.7285570072255858</v>
      </c>
      <c r="BX15" s="159">
        <f t="shared" si="48"/>
        <v>3.2034081329684612</v>
      </c>
      <c r="BY15" s="159">
        <f t="shared" si="49"/>
        <v>9.8678932691839236</v>
      </c>
      <c r="BZ15" s="159">
        <f t="shared" si="50"/>
        <v>7.8715360615031704</v>
      </c>
      <c r="CA15" s="159">
        <f t="shared" si="51"/>
        <v>1.7787708347513622</v>
      </c>
      <c r="CB15" s="159">
        <f t="shared" si="52"/>
        <v>6.3492308514875964</v>
      </c>
      <c r="CC15" s="159">
        <f t="shared" si="53"/>
        <v>4.8748940871990527</v>
      </c>
      <c r="CD15" s="159">
        <f t="shared" si="54"/>
        <v>9.8835008103380684</v>
      </c>
      <c r="CE15" s="159">
        <f t="shared" si="68"/>
        <v>4.8748940871990527</v>
      </c>
      <c r="CF15" s="159">
        <f t="shared" si="55"/>
        <v>4.8217537165547206</v>
      </c>
      <c r="CG15" s="159">
        <f t="shared" si="56"/>
        <v>10.193630221450103</v>
      </c>
      <c r="CH15" s="159">
        <f t="shared" si="69"/>
        <v>4.8217537165547206</v>
      </c>
      <c r="CI15" s="159">
        <f t="shared" si="70"/>
        <v>3.9096249085514754</v>
      </c>
    </row>
    <row r="16" spans="1:87" x14ac:dyDescent="0.25">
      <c r="A16" t="str">
        <f>PLANTILLA!D18</f>
        <v>L. Bauman</v>
      </c>
      <c r="B16" t="s">
        <v>855</v>
      </c>
      <c r="C16" s="633">
        <f>PLANTILLA!E18</f>
        <v>30</v>
      </c>
      <c r="D16" s="633">
        <f ca="1">PLANTILLA!F18</f>
        <v>51</v>
      </c>
      <c r="E16" s="633"/>
      <c r="F16" s="290">
        <v>41686</v>
      </c>
      <c r="G16" s="497">
        <v>1.5</v>
      </c>
      <c r="H16" s="498">
        <f>PLANTILLA!I18</f>
        <v>8.1</v>
      </c>
      <c r="I16" s="341"/>
      <c r="J16" s="163">
        <f>PLANTILLA!X18</f>
        <v>0</v>
      </c>
      <c r="K16" s="163">
        <f>PLANTILLA!Y18</f>
        <v>5.2811111111111115</v>
      </c>
      <c r="L16" s="163">
        <f>PLANTILLA!Z18</f>
        <v>14.283789947089938</v>
      </c>
      <c r="M16" s="163">
        <f>PLANTILLA!AA18</f>
        <v>3.5124999999999993</v>
      </c>
      <c r="N16" s="163">
        <f>PLANTILLA!AB18</f>
        <v>9.1400000000000041</v>
      </c>
      <c r="O16" s="163">
        <f>PLANTILLA!AC18</f>
        <v>7.4318888888888894</v>
      </c>
      <c r="P16" s="163">
        <f>PLANTILLA!AD18</f>
        <v>16.07</v>
      </c>
      <c r="Q16" s="163">
        <f t="shared" si="57"/>
        <v>3.3201388888888901</v>
      </c>
      <c r="R16" s="163">
        <f t="shared" si="58"/>
        <v>19.567438077851307</v>
      </c>
      <c r="S16" s="163">
        <f t="shared" si="59"/>
        <v>0.85369444444444442</v>
      </c>
      <c r="T16" s="163">
        <f t="shared" si="60"/>
        <v>0.69334444444444443</v>
      </c>
      <c r="U16" s="163">
        <f t="shared" ca="1" si="0"/>
        <v>18.281313358504867</v>
      </c>
      <c r="V16" s="159">
        <f t="shared" si="1"/>
        <v>3.8245632286414155</v>
      </c>
      <c r="W16" s="159">
        <f t="shared" si="2"/>
        <v>5.7447777680520051</v>
      </c>
      <c r="X16" s="159">
        <f t="shared" si="61"/>
        <v>3.8245632286414155</v>
      </c>
      <c r="Y16" s="159">
        <f t="shared" si="3"/>
        <v>4.1240910263218451</v>
      </c>
      <c r="Z16" s="159">
        <f t="shared" si="4"/>
        <v>7.9924244696159779</v>
      </c>
      <c r="AA16" s="159">
        <f t="shared" si="62"/>
        <v>2.0620455131609225</v>
      </c>
      <c r="AB16" s="159">
        <f t="shared" si="5"/>
        <v>4.0448345867315627</v>
      </c>
      <c r="AC16" s="159">
        <f t="shared" si="6"/>
        <v>3.0211364495148398</v>
      </c>
      <c r="AD16" s="159">
        <f t="shared" si="7"/>
        <v>5.7785228915323517</v>
      </c>
      <c r="AE16" s="159">
        <f t="shared" si="63"/>
        <v>1.5105682247574199</v>
      </c>
      <c r="AF16" s="159">
        <f t="shared" si="8"/>
        <v>6.5431147726539995</v>
      </c>
      <c r="AG16" s="357">
        <f t="shared" si="9"/>
        <v>7.3530305120466997</v>
      </c>
      <c r="AH16" s="159">
        <f t="shared" si="10"/>
        <v>3.3088637304210144</v>
      </c>
      <c r="AI16" s="159">
        <f t="shared" si="11"/>
        <v>2.8381822520343323</v>
      </c>
      <c r="AJ16" s="357">
        <f t="shared" si="12"/>
        <v>3.6596022548008609</v>
      </c>
      <c r="AK16" s="159">
        <f t="shared" si="13"/>
        <v>6.0262880500904474</v>
      </c>
      <c r="AL16" s="159">
        <f t="shared" si="14"/>
        <v>5.6586365244881121</v>
      </c>
      <c r="AM16" s="159">
        <f t="shared" si="15"/>
        <v>3.1364793308703129</v>
      </c>
      <c r="AN16" s="159">
        <f t="shared" si="16"/>
        <v>1.7370582472494016</v>
      </c>
      <c r="AO16" s="159">
        <f t="shared" si="17"/>
        <v>2.1579546067963142</v>
      </c>
      <c r="AP16" s="159">
        <f t="shared" si="18"/>
        <v>4.747500134951891</v>
      </c>
      <c r="AQ16" s="159">
        <f t="shared" si="64"/>
        <v>1.0789773033981571</v>
      </c>
      <c r="AR16" s="159">
        <f t="shared" si="19"/>
        <v>16.043377520481492</v>
      </c>
      <c r="AS16" s="159">
        <f t="shared" si="20"/>
        <v>1.5406707366056334</v>
      </c>
      <c r="AT16" s="159">
        <f t="shared" si="21"/>
        <v>3.1769315918197041</v>
      </c>
      <c r="AU16" s="159">
        <f t="shared" si="65"/>
        <v>0.77033536830281668</v>
      </c>
      <c r="AV16" s="159">
        <f t="shared" si="22"/>
        <v>1.5105682247574199</v>
      </c>
      <c r="AW16" s="159">
        <f t="shared" si="23"/>
        <v>3.1969697878463914</v>
      </c>
      <c r="AX16" s="159">
        <f t="shared" si="66"/>
        <v>0.75528411237870996</v>
      </c>
      <c r="AY16" s="159">
        <f t="shared" si="24"/>
        <v>16.995103305594803</v>
      </c>
      <c r="AZ16" s="159">
        <f t="shared" si="25"/>
        <v>2.9983822797017323</v>
      </c>
      <c r="BA16" s="159">
        <f t="shared" si="26"/>
        <v>6.1713703272028502</v>
      </c>
      <c r="BB16" s="159">
        <f t="shared" si="67"/>
        <v>1.4991911398508662</v>
      </c>
      <c r="BC16" s="159">
        <f t="shared" si="27"/>
        <v>2.3257955206582492</v>
      </c>
      <c r="BD16" s="159">
        <f t="shared" si="28"/>
        <v>2.7813637154263602</v>
      </c>
      <c r="BE16" s="159">
        <f t="shared" si="29"/>
        <v>14.972686012229021</v>
      </c>
      <c r="BF16" s="159">
        <f t="shared" si="30"/>
        <v>7.3056325757108267</v>
      </c>
      <c r="BG16" s="159">
        <f t="shared" si="31"/>
        <v>2.8561665193996739</v>
      </c>
      <c r="BH16" s="159">
        <f t="shared" si="32"/>
        <v>3.8763258677637493</v>
      </c>
      <c r="BI16" s="159">
        <f t="shared" si="33"/>
        <v>2.1100000599786184</v>
      </c>
      <c r="BJ16" s="159">
        <f t="shared" si="34"/>
        <v>6.4751343594316202</v>
      </c>
      <c r="BK16" s="159">
        <f t="shared" si="35"/>
        <v>6.5707403753332549</v>
      </c>
      <c r="BL16" s="159">
        <f t="shared" si="36"/>
        <v>0.6162682946422533</v>
      </c>
      <c r="BM16" s="159">
        <f t="shared" si="37"/>
        <v>1.4386364045308759</v>
      </c>
      <c r="BN16" s="159">
        <f t="shared" si="38"/>
        <v>0.54348486393388651</v>
      </c>
      <c r="BO16" s="159">
        <f t="shared" si="39"/>
        <v>5.1835065082064151</v>
      </c>
      <c r="BP16" s="159">
        <f t="shared" si="40"/>
        <v>9.6132889790372591</v>
      </c>
      <c r="BQ16" s="159">
        <f t="shared" si="41"/>
        <v>1.5999273033981578</v>
      </c>
      <c r="BR16" s="159">
        <f t="shared" si="42"/>
        <v>2.2698485493709377</v>
      </c>
      <c r="BS16" s="159">
        <f t="shared" si="43"/>
        <v>1.9501515705862986</v>
      </c>
      <c r="BT16" s="159">
        <f t="shared" si="44"/>
        <v>7.7327720040456356</v>
      </c>
      <c r="BU16" s="159">
        <f t="shared" si="45"/>
        <v>8.2690952012233918</v>
      </c>
      <c r="BV16" s="159">
        <f t="shared" si="46"/>
        <v>1.4340089163790894</v>
      </c>
      <c r="BW16" s="159">
        <f t="shared" si="47"/>
        <v>2.2698485493709377</v>
      </c>
      <c r="BX16" s="159">
        <f t="shared" si="48"/>
        <v>1.9501515705862986</v>
      </c>
      <c r="BY16" s="159">
        <f t="shared" si="49"/>
        <v>10.72391018583032</v>
      </c>
      <c r="BZ16" s="159">
        <f t="shared" si="50"/>
        <v>6.6564204558618556</v>
      </c>
      <c r="CA16" s="159">
        <f t="shared" si="51"/>
        <v>1.753994377058721</v>
      </c>
      <c r="CB16" s="159">
        <f t="shared" si="52"/>
        <v>6.9000119420714903</v>
      </c>
      <c r="CC16" s="159">
        <f t="shared" si="53"/>
        <v>5.147244148669925</v>
      </c>
      <c r="CD16" s="159">
        <f t="shared" si="54"/>
        <v>12.348750063898706</v>
      </c>
      <c r="CE16" s="159">
        <f t="shared" si="68"/>
        <v>5.147244148669925</v>
      </c>
      <c r="CF16" s="159">
        <f t="shared" si="55"/>
        <v>5.5655818334596434</v>
      </c>
      <c r="CG16" s="159">
        <f t="shared" si="56"/>
        <v>14.516336876682054</v>
      </c>
      <c r="CH16" s="159">
        <f t="shared" si="69"/>
        <v>5.5655818334596434</v>
      </c>
      <c r="CI16" s="159">
        <f t="shared" si="70"/>
        <v>4.2487758263987008</v>
      </c>
    </row>
    <row r="17" spans="1:87" x14ac:dyDescent="0.25">
      <c r="A17" t="str">
        <f>PLANTILLA!D19</f>
        <v>W. Gelifini</v>
      </c>
      <c r="B17" t="s">
        <v>855</v>
      </c>
      <c r="C17" s="633">
        <f>PLANTILLA!E19</f>
        <v>28</v>
      </c>
      <c r="D17" s="633">
        <f ca="1">PLANTILLA!F19</f>
        <v>113</v>
      </c>
      <c r="E17" s="633"/>
      <c r="F17" s="290">
        <v>41737</v>
      </c>
      <c r="G17" s="497">
        <v>1.5</v>
      </c>
      <c r="H17" s="498">
        <f>PLANTILLA!I19</f>
        <v>4</v>
      </c>
      <c r="I17" s="341"/>
      <c r="J17" s="163">
        <f>PLANTILLA!X19</f>
        <v>0</v>
      </c>
      <c r="K17" s="163">
        <f>PLANTILLA!Y19</f>
        <v>5.6315555555555523</v>
      </c>
      <c r="L17" s="163">
        <f>PLANTILLA!Z19</f>
        <v>9.8523388888888874</v>
      </c>
      <c r="M17" s="163">
        <f>PLANTILLA!AA19</f>
        <v>7.0726666666666667</v>
      </c>
      <c r="N17" s="163">
        <f>PLANTILLA!AB19</f>
        <v>9.2666666666666639</v>
      </c>
      <c r="O17" s="163">
        <f>PLANTILLA!AC19</f>
        <v>3.5417777777777766</v>
      </c>
      <c r="P17" s="163">
        <f>PLANTILLA!AD19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2.8929103594702954</v>
      </c>
      <c r="AC17" s="159">
        <f t="shared" si="6"/>
        <v>2.9991662356292919</v>
      </c>
      <c r="AD17" s="159">
        <f t="shared" si="7"/>
        <v>5.7365004983068202</v>
      </c>
      <c r="AE17" s="159">
        <f t="shared" si="63"/>
        <v>1.4995831178146459</v>
      </c>
      <c r="AF17" s="159">
        <f t="shared" si="8"/>
        <v>4.6797079344372428</v>
      </c>
      <c r="AG17" s="357">
        <f t="shared" si="9"/>
        <v>7.2995580338067425</v>
      </c>
      <c r="AH17" s="159">
        <f t="shared" si="10"/>
        <v>3.2848011152130336</v>
      </c>
      <c r="AI17" s="159">
        <f t="shared" si="11"/>
        <v>2.0298992858468039</v>
      </c>
      <c r="AJ17" s="357">
        <f t="shared" si="12"/>
        <v>5.5127430332011222</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11.474400753529238</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12.155085543992838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10.70863036425769</v>
      </c>
      <c r="BF17" s="159">
        <f t="shared" si="30"/>
        <v>9.0258524430540774</v>
      </c>
      <c r="BG17" s="159">
        <f t="shared" si="31"/>
        <v>2.7882286105467182</v>
      </c>
      <c r="BH17" s="159">
        <f t="shared" si="32"/>
        <v>3.8481365721698584</v>
      </c>
      <c r="BI17" s="159">
        <f t="shared" si="33"/>
        <v>2.0946557836141086</v>
      </c>
      <c r="BJ17" s="159">
        <f t="shared" si="34"/>
        <v>4.6310875922612711</v>
      </c>
      <c r="BK17" s="159">
        <f t="shared" si="35"/>
        <v>8.6351052432275193</v>
      </c>
      <c r="BL17" s="159">
        <f t="shared" si="36"/>
        <v>0.60160949273207198</v>
      </c>
      <c r="BM17" s="159">
        <f t="shared" si="37"/>
        <v>1.4281743979187103</v>
      </c>
      <c r="BN17" s="159">
        <f t="shared" si="38"/>
        <v>0.53953255032484615</v>
      </c>
      <c r="BO17" s="159">
        <f t="shared" si="39"/>
        <v>3.7073010909178157</v>
      </c>
      <c r="BP17" s="159">
        <f t="shared" si="40"/>
        <v>12.684265531797013</v>
      </c>
      <c r="BQ17" s="159">
        <f t="shared" si="41"/>
        <v>1.561870798439033</v>
      </c>
      <c r="BR17" s="159">
        <f t="shared" si="42"/>
        <v>2.2533418278272985</v>
      </c>
      <c r="BS17" s="159">
        <f t="shared" si="43"/>
        <v>1.9359697394009185</v>
      </c>
      <c r="BT17" s="159">
        <f t="shared" si="44"/>
        <v>5.5305639225167411</v>
      </c>
      <c r="BU17" s="159">
        <f t="shared" si="45"/>
        <v>10.923293960521843</v>
      </c>
      <c r="BV17" s="159">
        <f t="shared" si="46"/>
        <v>1.3998990119342443</v>
      </c>
      <c r="BW17" s="159">
        <f t="shared" si="47"/>
        <v>2.2533418278272985</v>
      </c>
      <c r="BX17" s="159">
        <f t="shared" si="48"/>
        <v>1.9359697394009185</v>
      </c>
      <c r="BY17" s="159">
        <f t="shared" si="49"/>
        <v>7.669858978259481</v>
      </c>
      <c r="BZ17" s="159">
        <f t="shared" si="50"/>
        <v>8.8144369229847008</v>
      </c>
      <c r="CA17" s="159">
        <f t="shared" si="51"/>
        <v>1.7122731716220509</v>
      </c>
      <c r="CB17" s="159">
        <f t="shared" si="52"/>
        <v>4.9349647308610924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3.0387713859982095</v>
      </c>
    </row>
    <row r="18" spans="1:87" x14ac:dyDescent="0.25">
      <c r="A18" t="str">
        <f>PLANTILLA!D20</f>
        <v>M. Amico</v>
      </c>
      <c r="B18" t="s">
        <v>855</v>
      </c>
      <c r="C18" s="633">
        <f>PLANTILLA!E20</f>
        <v>29</v>
      </c>
      <c r="D18" s="633">
        <f ca="1">PLANTILLA!F20</f>
        <v>8</v>
      </c>
      <c r="E18" s="633" t="str">
        <f>PLANTILLA!G20</f>
        <v>IMP</v>
      </c>
      <c r="F18" s="290">
        <v>41730</v>
      </c>
      <c r="G18" s="497">
        <v>1.5</v>
      </c>
      <c r="H18" s="498">
        <f>PLANTILLA!I20</f>
        <v>1.2</v>
      </c>
      <c r="I18" s="341"/>
      <c r="J18" s="163">
        <f>PLANTILLA!X20</f>
        <v>0</v>
      </c>
      <c r="K18" s="163">
        <f>PLANTILLA!Y20</f>
        <v>2.47611111111111</v>
      </c>
      <c r="L18" s="163">
        <f>PLANTILLA!Z20</f>
        <v>7.3199999999999976</v>
      </c>
      <c r="M18" s="163">
        <f>PLANTILLA!AA20</f>
        <v>4.17</v>
      </c>
      <c r="N18" s="163">
        <f>PLANTILLA!AB20</f>
        <v>7.2649999999999988</v>
      </c>
      <c r="O18" s="163">
        <f>PLANTILLA!AC20</f>
        <v>4.3299999999999983</v>
      </c>
      <c r="P18" s="163">
        <f>PLANTILLA!AD20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2.1242868487457787</v>
      </c>
      <c r="AC18" s="159">
        <f t="shared" si="6"/>
        <v>1.5428773480080025</v>
      </c>
      <c r="AD18" s="159">
        <f t="shared" si="7"/>
        <v>2.9510590545232427</v>
      </c>
      <c r="AE18" s="159">
        <f t="shared" si="63"/>
        <v>0.77143867400400123</v>
      </c>
      <c r="AF18" s="159">
        <f t="shared" si="8"/>
        <v>3.4363463729711126</v>
      </c>
      <c r="AG18" s="357">
        <f t="shared" si="9"/>
        <v>3.7551512173739745</v>
      </c>
      <c r="AH18" s="159">
        <f t="shared" si="10"/>
        <v>1.6898180478182885</v>
      </c>
      <c r="AI18" s="159">
        <f t="shared" si="11"/>
        <v>1.4905710241199372</v>
      </c>
      <c r="AJ18" s="357">
        <f t="shared" si="12"/>
        <v>3.3960380969013375</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8.4257427950252737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8.9255749947301624</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7.8634315703572728</v>
      </c>
      <c r="BF18" s="159">
        <f t="shared" si="30"/>
        <v>6.1094111703151164</v>
      </c>
      <c r="BG18" s="159">
        <f t="shared" si="31"/>
        <v>2.1378085737299695</v>
      </c>
      <c r="BH18" s="159">
        <f t="shared" si="32"/>
        <v>1.979617761333019</v>
      </c>
      <c r="BI18" s="159">
        <f t="shared" si="33"/>
        <v>1.0775651319420971</v>
      </c>
      <c r="BJ18" s="159">
        <f t="shared" si="34"/>
        <v>3.4006440729921921</v>
      </c>
      <c r="BK18" s="159">
        <f t="shared" si="35"/>
        <v>5.669947545394165</v>
      </c>
      <c r="BL18" s="159">
        <f t="shared" si="36"/>
        <v>0.46126989972596855</v>
      </c>
      <c r="BM18" s="159">
        <f t="shared" si="37"/>
        <v>0.73470349905142973</v>
      </c>
      <c r="BN18" s="159">
        <f t="shared" si="38"/>
        <v>0.27755465519720685</v>
      </c>
      <c r="BO18" s="159">
        <f t="shared" si="39"/>
        <v>2.7223003733926996</v>
      </c>
      <c r="BP18" s="159">
        <f t="shared" si="40"/>
        <v>8.3125594432229928</v>
      </c>
      <c r="BQ18" s="159">
        <f t="shared" si="41"/>
        <v>1.1975276242885722</v>
      </c>
      <c r="BR18" s="159">
        <f t="shared" si="42"/>
        <v>1.1591988540589224</v>
      </c>
      <c r="BS18" s="159">
        <f t="shared" si="43"/>
        <v>0.99593140982527151</v>
      </c>
      <c r="BT18" s="159">
        <f t="shared" si="44"/>
        <v>4.0611366226022243</v>
      </c>
      <c r="BU18" s="159">
        <f t="shared" si="45"/>
        <v>7.1545170941610232</v>
      </c>
      <c r="BV18" s="159">
        <f t="shared" si="46"/>
        <v>1.0733395743623499</v>
      </c>
      <c r="BW18" s="159">
        <f t="shared" si="47"/>
        <v>1.1591988540589224</v>
      </c>
      <c r="BX18" s="159">
        <f t="shared" si="48"/>
        <v>0.99593140982527151</v>
      </c>
      <c r="BY18" s="159">
        <f t="shared" si="49"/>
        <v>5.6320378216747322</v>
      </c>
      <c r="BZ18" s="159">
        <f t="shared" si="50"/>
        <v>5.766474620283498</v>
      </c>
      <c r="CA18" s="159">
        <f t="shared" si="51"/>
        <v>1.3128450992200642</v>
      </c>
      <c r="CB18" s="159">
        <f t="shared" si="52"/>
        <v>3.623783447860446</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2.2313937486825406</v>
      </c>
    </row>
    <row r="19" spans="1:87" x14ac:dyDescent="0.25">
      <c r="A19" t="str">
        <f>PLANTILLA!D21</f>
        <v>G. Kerschl</v>
      </c>
      <c r="B19" t="s">
        <v>855</v>
      </c>
      <c r="C19" s="669">
        <f>PLANTILLA!E21</f>
        <v>28</v>
      </c>
      <c r="D19" s="669">
        <f ca="1">PLANTILLA!F21</f>
        <v>78</v>
      </c>
      <c r="E19" s="669" t="str">
        <f>PLANTILLA!G21</f>
        <v>CAB</v>
      </c>
      <c r="F19" s="290">
        <v>43060</v>
      </c>
      <c r="G19" s="497">
        <v>2.5</v>
      </c>
      <c r="H19" s="498">
        <f>PLANTILLA!I21</f>
        <v>8.6</v>
      </c>
      <c r="I19" s="341"/>
      <c r="J19" s="163">
        <f>PLANTILLA!X21</f>
        <v>0</v>
      </c>
      <c r="K19" s="163">
        <f>PLANTILLA!Y21</f>
        <v>2</v>
      </c>
      <c r="L19" s="163">
        <f>PLANTILLA!Z21</f>
        <v>14.55</v>
      </c>
      <c r="M19" s="163">
        <f>PLANTILLA!AA21</f>
        <v>12.01</v>
      </c>
      <c r="N19" s="163">
        <f>PLANTILLA!AB21</f>
        <v>12</v>
      </c>
      <c r="O19" s="163">
        <f>PLANTILLA!AC21</f>
        <v>8</v>
      </c>
      <c r="P19" s="163">
        <f>PLANTILLA!AD21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3.5018810928510034</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4.3544475085279588</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7.0439592049716984</v>
      </c>
      <c r="AG19" s="357">
        <f t="shared" ref="AG19" si="87">((K19+G19+(LOG(H19)*4/3))*0.92)</f>
        <v>5.2863181001921102</v>
      </c>
      <c r="AH19" s="159">
        <f t="shared" ref="AH19" si="88">(K19+G19+(LOG(H19)*4/3))*0.414</f>
        <v>2.3788431450864493</v>
      </c>
      <c r="AI19" s="159">
        <f t="shared" ref="AI19" si="89">((L19+G19+(LOG(H19)*4/3))*0.167)</f>
        <v>3.0554316551435678</v>
      </c>
      <c r="AJ19" s="357">
        <f t="shared" ref="AJ19" si="90">(M19+G19+(LOG(H19)*4/3))*0.588</f>
        <v>9.2645267857749563</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17.271422050631902</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18.295997934991423</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16.118774180727442</v>
      </c>
      <c r="BF19" s="159">
        <f t="shared" ref="BF19" si="112">((M19+G19+(LOG(H19)*4/3))*0.574)+((N19+G19+(LOG(H19)*4/3))*0.315)</f>
        <v>14.003932164207374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6.9707752132317324</v>
      </c>
      <c r="BK19" s="159">
        <f t="shared" ref="BK19" si="117">((M19+G19+(LOG(H19)*4/3))*0.673)+((N19+G19+(LOG(H19)*4/3))*0.201)</f>
        <v>13.768732195182505</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5.5802793701723834</v>
      </c>
      <c r="BP19" s="159">
        <f t="shared" ref="BP19" si="122">((M19+G19+(LOG(H19)*4/3))*1)+((N19+G19+(LOG(H19)*4/3))*0.286)</f>
        <v>20.259353344398971</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8.3246790604210972</v>
      </c>
      <c r="BU19" s="159">
        <f t="shared" ref="BU19" si="127">((M19+G19+(LOG(H19)*4/3))*0.864)+((N19+G19+(LOG(H19)*4/3))*0.244)</f>
        <v>17.455205711970496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11.544774696979587</v>
      </c>
      <c r="BZ19" s="159">
        <f t="shared" ref="BZ19" si="132">((M19+G19+(LOG(H19)*4/3))*0.702)+((N19+G19+(LOG(H19)*4/3))*0.193)</f>
        <v>14.099688151817324</v>
      </c>
      <c r="CA19" s="159">
        <f t="shared" ref="CA19" si="133">((N19+G19+(LOG(H19)*4/3))*0.148)</f>
        <v>2.3304076943787306</v>
      </c>
      <c r="CB19" s="159">
        <f t="shared" ref="CB19" si="134">((L19+G19+(LOG(H19)*4/3))*0.406)</f>
        <v>7.4281751616065179</v>
      </c>
      <c r="CC19" s="159">
        <f t="shared" ref="CC19" si="135">IF(E19="TEC",((M19+G19+(LOG(H19)*4/3))*0.15)+((N19+G19+(LOG(H19)*4/3))*0.324)+((O19+G19+(LOG(H19)*4/3))*0.127),(((M19+G19+(LOG(H19)*4/3))*0.144)+((N19+G19+(LOG(H19)*4/3))*0.25)+((O19+G19+(LOG(H19)*4/3))*0.127)))</f>
        <v>7.6971049241305316</v>
      </c>
      <c r="CD19" s="159">
        <f t="shared" ref="CD19" si="136">((N19+G19+(LOG(H19)*4/3))*0.543)+((O19+G19+(LOG(H19)*4/3))*0.583)</f>
        <v>15.397993674800343</v>
      </c>
      <c r="CE19" s="159">
        <f t="shared" ref="CE19" si="137">CC19</f>
        <v>7.6971049241305316</v>
      </c>
      <c r="CF19" s="159">
        <f t="shared" ref="CF19" si="138">((O19+1+(LOG(H19)*4/3))*0.26)+((M19+G19+(LOG(H19)*4/3))*0.221)+((N19+G19+(LOG(H19)*4/3))*0.142)</f>
        <v>8.3819667134996578</v>
      </c>
      <c r="CG19" s="159">
        <f t="shared" ref="CG19" si="139">((O19+G19+(LOG(H19)*4/3))*1)+((N19+G19+(LOG(H19)*4/3))*0.369)</f>
        <v>17.55627117300326</v>
      </c>
      <c r="CH19" s="159">
        <f t="shared" ref="CH19" si="140">CF19</f>
        <v>8.3819667134996578</v>
      </c>
      <c r="CI19" s="159">
        <f t="shared" ref="CI19" si="141">((L19+G19+(LOG(H19)*4/3))*0.25)</f>
        <v>4.5739994837478557</v>
      </c>
    </row>
    <row r="20" spans="1:87" x14ac:dyDescent="0.25">
      <c r="A20" t="str">
        <f>PLANTILLA!D22</f>
        <v>J. Limon</v>
      </c>
      <c r="B20" t="s">
        <v>855</v>
      </c>
      <c r="C20" s="633">
        <f>PLANTILLA!E22</f>
        <v>29</v>
      </c>
      <c r="D20" s="633">
        <f ca="1">PLANTILLA!F22</f>
        <v>88</v>
      </c>
      <c r="E20" s="633" t="str">
        <f>PLANTILLA!G22</f>
        <v>RAP</v>
      </c>
      <c r="F20" s="290">
        <v>41664</v>
      </c>
      <c r="G20" s="497">
        <v>1.5</v>
      </c>
      <c r="H20" s="498">
        <f>PLANTILLA!I22</f>
        <v>10</v>
      </c>
      <c r="I20" s="341"/>
      <c r="J20" s="163">
        <f>PLANTILLA!X22</f>
        <v>0</v>
      </c>
      <c r="K20" s="163">
        <f>PLANTILLA!Y22</f>
        <v>6.8176190476190497</v>
      </c>
      <c r="L20" s="163">
        <f>PLANTILLA!Z22</f>
        <v>8.5</v>
      </c>
      <c r="M20" s="163">
        <f>PLANTILLA!AA22</f>
        <v>8.7299999999999969</v>
      </c>
      <c r="N20" s="163">
        <f>PLANTILLA!AB22</f>
        <v>9.6900000000000013</v>
      </c>
      <c r="O20" s="163">
        <f>PLANTILLA!AC22</f>
        <v>8.5625000000000018</v>
      </c>
      <c r="P20" s="163">
        <f>PLANTILLA!AD22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2.6973333333333334</v>
      </c>
      <c r="AC20" s="159">
        <f t="shared" si="6"/>
        <v>3.6480600000000014</v>
      </c>
      <c r="AD20" s="159">
        <f t="shared" si="7"/>
        <v>6.9776385714285736</v>
      </c>
      <c r="AE20" s="159">
        <f t="shared" si="63"/>
        <v>1.8240300000000007</v>
      </c>
      <c r="AF20" s="159">
        <f t="shared" si="8"/>
        <v>4.3633333333333333</v>
      </c>
      <c r="AG20" s="357">
        <f t="shared" si="9"/>
        <v>8.8788761904761948</v>
      </c>
      <c r="AH20" s="159">
        <f t="shared" si="10"/>
        <v>3.9954942857142868</v>
      </c>
      <c r="AI20" s="159">
        <f t="shared" si="11"/>
        <v>1.8926666666666669</v>
      </c>
      <c r="AJ20" s="357">
        <f t="shared" si="12"/>
        <v>6.7992399999999984</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10.698666666666666</v>
      </c>
      <c r="AS20" s="159">
        <f t="shared" si="20"/>
        <v>1.6280333333333337</v>
      </c>
      <c r="AT20" s="159">
        <f t="shared" si="21"/>
        <v>3.4742791666666673</v>
      </c>
      <c r="AU20" s="159">
        <f t="shared" si="65"/>
        <v>0.81401666666666683</v>
      </c>
      <c r="AV20" s="357">
        <f t="shared" si="22"/>
        <v>1.8240300000000007</v>
      </c>
      <c r="AW20" s="357">
        <f t="shared" si="23"/>
        <v>3.8603809523809538</v>
      </c>
      <c r="AX20" s="357">
        <f t="shared" si="66"/>
        <v>0.91201500000000035</v>
      </c>
      <c r="AY20" s="357">
        <f t="shared" si="24"/>
        <v>11.333333333333334</v>
      </c>
      <c r="AZ20" s="357">
        <f t="shared" si="25"/>
        <v>3.1684033333333339</v>
      </c>
      <c r="BA20" s="357">
        <f t="shared" si="26"/>
        <v>6.6635816666666683</v>
      </c>
      <c r="BB20" s="357">
        <f t="shared" si="67"/>
        <v>1.584201666666667</v>
      </c>
      <c r="BC20" s="357">
        <f t="shared" si="27"/>
        <v>2.8084271428571439</v>
      </c>
      <c r="BD20" s="357">
        <f t="shared" si="28"/>
        <v>3.3585314285714296</v>
      </c>
      <c r="BE20" s="357">
        <f t="shared" si="29"/>
        <v>9.9846666666666675</v>
      </c>
      <c r="BF20" s="357">
        <f t="shared" si="30"/>
        <v>10.582203333333332</v>
      </c>
      <c r="BG20" s="357">
        <f t="shared" si="31"/>
        <v>3.0181233333333335</v>
      </c>
      <c r="BH20" s="357">
        <f t="shared" si="32"/>
        <v>4.6807119047619068</v>
      </c>
      <c r="BI20" s="357">
        <f t="shared" si="33"/>
        <v>2.5478514285714295</v>
      </c>
      <c r="BJ20" s="357">
        <f t="shared" si="34"/>
        <v>4.3180000000000005</v>
      </c>
      <c r="BK20" s="357">
        <f t="shared" si="35"/>
        <v>10.299313333333332</v>
      </c>
      <c r="BL20" s="357">
        <f t="shared" si="36"/>
        <v>0.65121333333333342</v>
      </c>
      <c r="BM20" s="357">
        <f t="shared" si="37"/>
        <v>1.7371714285714293</v>
      </c>
      <c r="BN20" s="357">
        <f t="shared" si="38"/>
        <v>0.65626476190476224</v>
      </c>
      <c r="BO20" s="357">
        <f t="shared" si="39"/>
        <v>3.4566666666666666</v>
      </c>
      <c r="BP20" s="357">
        <f t="shared" si="40"/>
        <v>15.145006666666664</v>
      </c>
      <c r="BQ20" s="357">
        <f t="shared" si="41"/>
        <v>1.6906500000000004</v>
      </c>
      <c r="BR20" s="357">
        <f t="shared" si="42"/>
        <v>2.740870476190477</v>
      </c>
      <c r="BS20" s="357">
        <f t="shared" si="43"/>
        <v>2.3548323809523817</v>
      </c>
      <c r="BT20" s="357">
        <f t="shared" si="44"/>
        <v>5.1566666666666672</v>
      </c>
      <c r="BU20" s="357">
        <f t="shared" si="45"/>
        <v>13.046413333333332</v>
      </c>
      <c r="BV20" s="357">
        <f t="shared" si="46"/>
        <v>1.5153233333333336</v>
      </c>
      <c r="BW20" s="357">
        <f t="shared" si="47"/>
        <v>2.740870476190477</v>
      </c>
      <c r="BX20" s="357">
        <f t="shared" si="48"/>
        <v>2.3548323809523817</v>
      </c>
      <c r="BY20" s="357">
        <f t="shared" si="49"/>
        <v>7.1513333333333335</v>
      </c>
      <c r="BZ20" s="357">
        <f t="shared" si="50"/>
        <v>10.534463333333331</v>
      </c>
      <c r="CA20" s="357">
        <f t="shared" si="51"/>
        <v>1.8534533333333336</v>
      </c>
      <c r="CB20" s="357">
        <f t="shared" si="52"/>
        <v>4.6013333333333337</v>
      </c>
      <c r="CC20" s="357">
        <f t="shared" si="53"/>
        <v>6.2432241666666668</v>
      </c>
      <c r="CD20" s="357">
        <f t="shared" si="54"/>
        <v>13.443940833333336</v>
      </c>
      <c r="CE20" s="357">
        <f t="shared" si="68"/>
        <v>6.2432241666666668</v>
      </c>
      <c r="CF20" s="357">
        <f t="shared" si="55"/>
        <v>7.1667266666666665</v>
      </c>
      <c r="CG20" s="357">
        <f t="shared" si="56"/>
        <v>16.016943333333337</v>
      </c>
      <c r="CH20" s="357">
        <f t="shared" si="69"/>
        <v>7.1667266666666665</v>
      </c>
      <c r="CI20" s="357">
        <f t="shared" si="70"/>
        <v>2.8333333333333335</v>
      </c>
    </row>
    <row r="21" spans="1:87" x14ac:dyDescent="0.25">
      <c r="A21" t="str">
        <f>PLANTILLA!D23</f>
        <v>L. Calosso</v>
      </c>
      <c r="C21" s="633">
        <f>PLANTILLA!E23</f>
        <v>30</v>
      </c>
      <c r="D21" s="633">
        <f ca="1">PLANTILLA!F23</f>
        <v>45</v>
      </c>
      <c r="E21" s="633" t="str">
        <f>PLANTILLA!G23</f>
        <v>TEC</v>
      </c>
      <c r="F21" s="290">
        <v>41890</v>
      </c>
      <c r="G21" s="497">
        <v>1</v>
      </c>
      <c r="H21" s="498">
        <f>PLANTILLA!I23</f>
        <v>10.199999999999999</v>
      </c>
      <c r="I21" s="341"/>
      <c r="J21" s="163">
        <f>PLANTILLA!X23</f>
        <v>0</v>
      </c>
      <c r="K21" s="163">
        <f>PLANTILLA!Y23</f>
        <v>2</v>
      </c>
      <c r="L21" s="163">
        <f>PLANTILLA!Z23</f>
        <v>14.127609523809523</v>
      </c>
      <c r="M21" s="163">
        <f>PLANTILLA!AA23</f>
        <v>3.02</v>
      </c>
      <c r="N21" s="163">
        <f>PLANTILLA!AB23</f>
        <v>15.02</v>
      </c>
      <c r="O21" s="163">
        <f>PLANTILLA!AC23</f>
        <v>10</v>
      </c>
      <c r="P21" s="163">
        <f>PLANTILLA!AD23</f>
        <v>9.3000000000000007</v>
      </c>
      <c r="Q21" s="163">
        <f t="shared" si="57"/>
        <v>4.38</v>
      </c>
      <c r="R21" s="163">
        <f t="shared" si="58"/>
        <v>19.297008506125117</v>
      </c>
      <c r="S21" s="163">
        <f t="shared" si="59"/>
        <v>0.77900000000000003</v>
      </c>
      <c r="T21" s="163">
        <f t="shared" si="60"/>
        <v>0.35899999999999999</v>
      </c>
      <c r="U21" s="163">
        <f t="shared" ca="1" si="0"/>
        <v>11.644800229015891</v>
      </c>
      <c r="V21" s="159">
        <f t="shared" si="1"/>
        <v>2.5990105999308719</v>
      </c>
      <c r="W21" s="159">
        <f t="shared" si="2"/>
        <v>3.8771370956595135</v>
      </c>
      <c r="X21" s="159">
        <f t="shared" si="61"/>
        <v>2.5990105999308719</v>
      </c>
      <c r="Y21" s="159">
        <f t="shared" si="3"/>
        <v>2.2419169181721994</v>
      </c>
      <c r="Z21" s="159">
        <f t="shared" si="4"/>
        <v>4.34480022901589</v>
      </c>
      <c r="AA21" s="159">
        <f t="shared" si="62"/>
        <v>1.1209584590860997</v>
      </c>
      <c r="AB21" s="159">
        <f t="shared" si="5"/>
        <v>3.9204335211724484</v>
      </c>
      <c r="AC21" s="159">
        <f t="shared" si="6"/>
        <v>1.6423344865680065</v>
      </c>
      <c r="AD21" s="159">
        <f t="shared" si="7"/>
        <v>3.1412905655784882</v>
      </c>
      <c r="AE21" s="159">
        <f t="shared" si="63"/>
        <v>0.82116724328400326</v>
      </c>
      <c r="AF21" s="159">
        <f t="shared" si="8"/>
        <v>6.3418777548377845</v>
      </c>
      <c r="AG21" s="357">
        <f t="shared" si="9"/>
        <v>3.997216210694619</v>
      </c>
      <c r="AH21" s="159">
        <f t="shared" si="10"/>
        <v>1.7987472948125784</v>
      </c>
      <c r="AI21" s="159">
        <f t="shared" si="11"/>
        <v>2.7508924287218441</v>
      </c>
      <c r="AJ21" s="357">
        <f t="shared" si="12"/>
        <v>3.1545025346613431</v>
      </c>
      <c r="AK21" s="159">
        <f t="shared" si="13"/>
        <v>3.2759793726779809</v>
      </c>
      <c r="AL21" s="159">
        <f t="shared" si="14"/>
        <v>3.0761185621432499</v>
      </c>
      <c r="AM21" s="159">
        <f t="shared" si="15"/>
        <v>1.9446816382456538</v>
      </c>
      <c r="AN21" s="159">
        <f t="shared" si="16"/>
        <v>1.9367424659565762</v>
      </c>
      <c r="AO21" s="159">
        <f t="shared" si="17"/>
        <v>1.1730960618342905</v>
      </c>
      <c r="AP21" s="159">
        <f t="shared" si="18"/>
        <v>2.5808113360354388</v>
      </c>
      <c r="AQ21" s="159">
        <f t="shared" si="64"/>
        <v>0.58654803091714525</v>
      </c>
      <c r="AR21" s="159">
        <f t="shared" si="19"/>
        <v>15.54995480666719</v>
      </c>
      <c r="AS21" s="159">
        <f t="shared" si="20"/>
        <v>2.257424029772066</v>
      </c>
      <c r="AT21" s="159">
        <f t="shared" si="21"/>
        <v>4.2194264671016555</v>
      </c>
      <c r="AU21" s="159">
        <f t="shared" si="65"/>
        <v>1.128712014886033</v>
      </c>
      <c r="AV21" s="357">
        <f t="shared" si="22"/>
        <v>0.82116724328400326</v>
      </c>
      <c r="AW21" s="357">
        <f t="shared" si="23"/>
        <v>1.7379200916063562</v>
      </c>
      <c r="AX21" s="357">
        <f t="shared" si="66"/>
        <v>0.41058362164200163</v>
      </c>
      <c r="AY21" s="357">
        <f t="shared" si="24"/>
        <v>16.472409752825413</v>
      </c>
      <c r="AZ21" s="357">
        <f t="shared" si="25"/>
        <v>4.3932944579410202</v>
      </c>
      <c r="BA21" s="357">
        <f t="shared" si="26"/>
        <v>8.5138049261877562</v>
      </c>
      <c r="BB21" s="357">
        <f t="shared" si="67"/>
        <v>2.1966472289705101</v>
      </c>
      <c r="BC21" s="357">
        <f t="shared" si="27"/>
        <v>1.2643368666436239</v>
      </c>
      <c r="BD21" s="357">
        <f t="shared" si="28"/>
        <v>1.5119904796975296</v>
      </c>
      <c r="BE21" s="357">
        <f t="shared" si="29"/>
        <v>14.512192992239189</v>
      </c>
      <c r="BF21" s="357">
        <f t="shared" si="30"/>
        <v>8.549307403595126</v>
      </c>
      <c r="BG21" s="357">
        <f t="shared" si="31"/>
        <v>4.1849168551928297</v>
      </c>
      <c r="BH21" s="357">
        <f t="shared" si="32"/>
        <v>2.1072281110727067</v>
      </c>
      <c r="BI21" s="357">
        <f t="shared" si="33"/>
        <v>1.147027260460195</v>
      </c>
      <c r="BJ21" s="357">
        <f t="shared" si="34"/>
        <v>6.2759881158264825</v>
      </c>
      <c r="BK21" s="357">
        <f t="shared" si="35"/>
        <v>7.1008354001598883</v>
      </c>
      <c r="BL21" s="357">
        <f t="shared" si="36"/>
        <v>0.9029696119088263</v>
      </c>
      <c r="BM21" s="357">
        <f t="shared" si="37"/>
        <v>0.78206404122286022</v>
      </c>
      <c r="BN21" s="357">
        <f t="shared" si="38"/>
        <v>0.29544641557308055</v>
      </c>
      <c r="BO21" s="357">
        <f t="shared" si="39"/>
        <v>5.0240849746117506</v>
      </c>
      <c r="BP21" s="357">
        <f t="shared" si="40"/>
        <v>10.331133094514435</v>
      </c>
      <c r="BQ21" s="357">
        <f t="shared" si="41"/>
        <v>2.3442480309171456</v>
      </c>
      <c r="BR21" s="357">
        <f t="shared" si="42"/>
        <v>1.2339232650405128</v>
      </c>
      <c r="BS21" s="357">
        <f t="shared" si="43"/>
        <v>1.0601312558798772</v>
      </c>
      <c r="BT21" s="357">
        <f t="shared" si="44"/>
        <v>7.494946437535563</v>
      </c>
      <c r="BU21" s="357">
        <f t="shared" si="45"/>
        <v>8.8721986537496065</v>
      </c>
      <c r="BV21" s="357">
        <f t="shared" si="46"/>
        <v>2.1011408277109229</v>
      </c>
      <c r="BW21" s="357">
        <f t="shared" si="47"/>
        <v>1.2339232650405128</v>
      </c>
      <c r="BX21" s="357">
        <f t="shared" si="48"/>
        <v>1.0601312558798772</v>
      </c>
      <c r="BY21" s="357">
        <f t="shared" si="49"/>
        <v>10.394090554032836</v>
      </c>
      <c r="BZ21" s="357">
        <f t="shared" si="50"/>
        <v>7.1174962049692212</v>
      </c>
      <c r="CA21" s="357">
        <f t="shared" si="51"/>
        <v>2.5699904338943518</v>
      </c>
      <c r="CB21" s="357">
        <f t="shared" si="52"/>
        <v>6.6877983596471182</v>
      </c>
      <c r="CC21" s="357">
        <f t="shared" si="53"/>
        <v>7.9987049376385508</v>
      </c>
      <c r="CD21" s="357">
        <f t="shared" si="54"/>
        <v>16.626105057871893</v>
      </c>
      <c r="CE21" s="357">
        <f t="shared" si="68"/>
        <v>7.9987049376385508</v>
      </c>
      <c r="CF21" s="357">
        <f t="shared" si="55"/>
        <v>6.8610705426768996</v>
      </c>
      <c r="CG21" s="357">
        <f t="shared" si="56"/>
        <v>18.752411513522752</v>
      </c>
      <c r="CH21" s="357">
        <f t="shared" si="69"/>
        <v>6.8610705426768996</v>
      </c>
      <c r="CI21" s="357">
        <f t="shared" si="70"/>
        <v>4.1181024382063534</v>
      </c>
    </row>
    <row r="22" spans="1:87" x14ac:dyDescent="0.25">
      <c r="A22" t="str">
        <f>PLANTILLA!D24</f>
        <v>P .Trivadi</v>
      </c>
      <c r="B22" t="s">
        <v>855</v>
      </c>
      <c r="C22" s="633">
        <f>PLANTILLA!E24</f>
        <v>27</v>
      </c>
      <c r="D22" s="633">
        <f ca="1">PLANTILLA!F24</f>
        <v>7</v>
      </c>
      <c r="E22" s="633"/>
      <c r="F22" s="290">
        <v>41973</v>
      </c>
      <c r="G22" s="497">
        <v>1.5</v>
      </c>
      <c r="H22" s="498">
        <f>PLANTILLA!I24</f>
        <v>5.3</v>
      </c>
      <c r="I22" s="341"/>
      <c r="J22" s="163">
        <f>PLANTILLA!X24</f>
        <v>0</v>
      </c>
      <c r="K22" s="163">
        <f>PLANTILLA!Y24</f>
        <v>4</v>
      </c>
      <c r="L22" s="163">
        <f>PLANTILLA!Z24</f>
        <v>5.5438722222222205</v>
      </c>
      <c r="M22" s="163">
        <f>PLANTILLA!AA24</f>
        <v>5.4899999999999993</v>
      </c>
      <c r="N22" s="163">
        <f>PLANTILLA!AB24</f>
        <v>10.799999999999999</v>
      </c>
      <c r="O22" s="163">
        <f>PLANTILLA!AC24</f>
        <v>8.384500000000001</v>
      </c>
      <c r="P22" s="163">
        <f>PLANTILLA!AD24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1.9062784648422055</v>
      </c>
      <c r="AC22" s="159">
        <f t="shared" si="6"/>
        <v>2.4440350382787974</v>
      </c>
      <c r="AD22" s="159">
        <f t="shared" si="7"/>
        <v>4.6747019382951605</v>
      </c>
      <c r="AE22" s="159">
        <f t="shared" si="63"/>
        <v>1.2220175191393987</v>
      </c>
      <c r="AF22" s="159">
        <f t="shared" si="8"/>
        <v>3.0836857519506267</v>
      </c>
      <c r="AG22" s="357">
        <f t="shared" si="9"/>
        <v>5.9484450667103008</v>
      </c>
      <c r="AH22" s="159">
        <f t="shared" si="10"/>
        <v>2.6768002800196351</v>
      </c>
      <c r="AI22" s="159">
        <f t="shared" si="11"/>
        <v>1.3375987547422199</v>
      </c>
      <c r="AJ22" s="357">
        <f t="shared" si="12"/>
        <v>4.6779522817670181</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7.5610372723153025</v>
      </c>
      <c r="AS22" s="159">
        <f t="shared" si="20"/>
        <v>1.7245411507308033</v>
      </c>
      <c r="AT22" s="159">
        <f t="shared" si="21"/>
        <v>3.4689689397240411</v>
      </c>
      <c r="AU22" s="159">
        <f t="shared" si="65"/>
        <v>0.86227057536540164</v>
      </c>
      <c r="AV22" s="357">
        <f t="shared" si="22"/>
        <v>1.2220175191393987</v>
      </c>
      <c r="AW22" s="357">
        <f t="shared" si="23"/>
        <v>2.5862804637870873</v>
      </c>
      <c r="AX22" s="357">
        <f t="shared" si="66"/>
        <v>0.61100875956969936</v>
      </c>
      <c r="AY22" s="357">
        <f t="shared" si="24"/>
        <v>8.0095733816899397</v>
      </c>
      <c r="AZ22" s="357">
        <f t="shared" si="25"/>
        <v>3.3562223933453326</v>
      </c>
      <c r="BA22" s="357">
        <f t="shared" si="26"/>
        <v>6.8021463388667129</v>
      </c>
      <c r="BB22" s="357">
        <f t="shared" si="67"/>
        <v>1.6781111966726663</v>
      </c>
      <c r="BC22" s="357">
        <f t="shared" si="27"/>
        <v>1.8815190374051058</v>
      </c>
      <c r="BD22" s="357">
        <f t="shared" si="28"/>
        <v>2.2500640034947659</v>
      </c>
      <c r="BE22" s="357">
        <f t="shared" si="29"/>
        <v>7.0564341492688367</v>
      </c>
      <c r="BF22" s="357">
        <f t="shared" si="30"/>
        <v>8.7452683307668018</v>
      </c>
      <c r="BG22" s="357">
        <f t="shared" si="31"/>
        <v>3.19703397943172</v>
      </c>
      <c r="BH22" s="357">
        <f t="shared" si="32"/>
        <v>3.1358650623418431</v>
      </c>
      <c r="BI22" s="357">
        <f t="shared" si="33"/>
        <v>1.7069451060994778</v>
      </c>
      <c r="BJ22" s="357">
        <f t="shared" si="34"/>
        <v>3.0516474584238669</v>
      </c>
      <c r="BK22" s="357">
        <f t="shared" si="35"/>
        <v>8.0205928133747868</v>
      </c>
      <c r="BL22" s="357">
        <f t="shared" si="36"/>
        <v>0.68981646029232124</v>
      </c>
      <c r="BM22" s="357">
        <f t="shared" si="37"/>
        <v>1.1638262087041893</v>
      </c>
      <c r="BN22" s="357">
        <f t="shared" si="38"/>
        <v>0.43966767884380487</v>
      </c>
      <c r="BO22" s="357">
        <f t="shared" si="39"/>
        <v>2.4429198814154316</v>
      </c>
      <c r="BP22" s="357">
        <f t="shared" si="40"/>
        <v>11.749691691075485</v>
      </c>
      <c r="BQ22" s="357">
        <f t="shared" si="41"/>
        <v>1.7908696565281419</v>
      </c>
      <c r="BR22" s="357">
        <f t="shared" si="42"/>
        <v>1.8362591292888317</v>
      </c>
      <c r="BS22" s="357">
        <f t="shared" si="43"/>
        <v>1.5776310829101232</v>
      </c>
      <c r="BT22" s="357">
        <f t="shared" si="44"/>
        <v>3.6443558886689229</v>
      </c>
      <c r="BU22" s="357">
        <f t="shared" si="45"/>
        <v>10.110556884690231</v>
      </c>
      <c r="BV22" s="357">
        <f t="shared" si="46"/>
        <v>1.6051498402955937</v>
      </c>
      <c r="BW22" s="357">
        <f t="shared" si="47"/>
        <v>1.8362591292888317</v>
      </c>
      <c r="BX22" s="357">
        <f t="shared" si="48"/>
        <v>1.5776310829101232</v>
      </c>
      <c r="BY22" s="357">
        <f t="shared" si="49"/>
        <v>5.0540408038463518</v>
      </c>
      <c r="BZ22" s="357">
        <f t="shared" si="50"/>
        <v>8.145182537723608</v>
      </c>
      <c r="CA22" s="357">
        <f t="shared" si="51"/>
        <v>1.963323771601222</v>
      </c>
      <c r="CB22" s="357">
        <f t="shared" si="52"/>
        <v>3.2518867929661157</v>
      </c>
      <c r="CC22" s="357">
        <f t="shared" si="53"/>
        <v>5.8400218040826815</v>
      </c>
      <c r="CD22" s="357">
        <f t="shared" si="54"/>
        <v>13.528943005560652</v>
      </c>
      <c r="CE22" s="357">
        <f t="shared" si="68"/>
        <v>5.8400218040826815</v>
      </c>
      <c r="CF22" s="357">
        <f t="shared" si="55"/>
        <v>6.3329918223483883</v>
      </c>
      <c r="CG22" s="357">
        <f t="shared" si="56"/>
        <v>15.745244887311307</v>
      </c>
      <c r="CH22" s="357">
        <f t="shared" si="69"/>
        <v>6.3329918223483883</v>
      </c>
      <c r="CI22" s="357">
        <f t="shared" si="70"/>
        <v>2.0023933454224849</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2017-12-13T16:47:01Z</dcterms:modified>
</cp:coreProperties>
</file>