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3"/>
  </bookViews>
  <sheets>
    <sheet name="Resistencia" sheetId="6" r:id="rId1"/>
    <sheet name="Amortización" sheetId="5" r:id="rId2"/>
    <sheet name="TL_v1" sheetId="7" r:id="rId3"/>
    <sheet name="CA_v1" sheetId="14" r:id="rId4"/>
    <sheet name="Planning_Entrenador" sheetId="11" r:id="rId5"/>
    <sheet name="PLANTILLA" sheetId="1" r:id="rId6"/>
    <sheet name="CAPITAN" sheetId="12" r:id="rId7"/>
    <sheet name="Evaluacion Jugadores" sheetId="3" r:id="rId8"/>
    <sheet name="CambioENTRENADOR" sheetId="9" r:id="rId9"/>
    <sheet name="Rendimiento_ENTRENAMIENTO" sheetId="10" r:id="rId10"/>
    <sheet name="Calculador de Sueldo" sheetId="2" r:id="rId11"/>
    <sheet name="Empleados" sheetId="4" r:id="rId12"/>
  </sheets>
  <calcPr calcId="152511"/>
</workbook>
</file>

<file path=xl/calcChain.xml><?xml version="1.0" encoding="utf-8"?>
<calcChain xmlns="http://schemas.openxmlformats.org/spreadsheetml/2006/main">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U6" i="1" l="1"/>
  <c r="AR6" i="1"/>
  <c r="W6" i="1"/>
  <c r="R6" i="1"/>
  <c r="S6" i="1"/>
  <c r="P6" i="1"/>
  <c r="N6" i="1"/>
  <c r="AI6" i="1" s="1"/>
  <c r="J6" i="1"/>
  <c r="K6" i="1"/>
  <c r="L6" i="1"/>
  <c r="AK6" i="1" l="1"/>
  <c r="AM6" i="1"/>
  <c r="AL6" i="1"/>
  <c r="AH6" i="1"/>
  <c r="AN6" i="1"/>
  <c r="AG6" i="1"/>
  <c r="AJ6" i="1"/>
  <c r="K9" i="9"/>
  <c r="AD24" i="1" l="1"/>
  <c r="AD23" i="1"/>
  <c r="AD21" i="1"/>
  <c r="AD20" i="1"/>
  <c r="AD19" i="1"/>
  <c r="AD18" i="1"/>
  <c r="A4" i="12" l="1"/>
  <c r="O6" i="12" s="1"/>
  <c r="B4" i="12"/>
  <c r="C4" i="12"/>
  <c r="G4" i="12" s="1"/>
  <c r="D4" i="12"/>
  <c r="E4" i="12" s="1"/>
  <c r="P6" i="12" s="1"/>
  <c r="A5" i="12"/>
  <c r="O4" i="12" s="1"/>
  <c r="B5" i="12"/>
  <c r="C5" i="12"/>
  <c r="G5" i="12" s="1"/>
  <c r="H5" i="12" s="1"/>
  <c r="D5" i="12"/>
  <c r="E5" i="12" s="1"/>
  <c r="F5" i="12" s="1"/>
  <c r="Q4" i="12" s="1"/>
  <c r="A6" i="12"/>
  <c r="B6" i="12"/>
  <c r="C6" i="12"/>
  <c r="G6" i="12" s="1"/>
  <c r="H6" i="12" s="1"/>
  <c r="D6" i="12"/>
  <c r="E6" i="12" s="1"/>
  <c r="A7" i="12"/>
  <c r="B7" i="12"/>
  <c r="C7" i="12"/>
  <c r="G7" i="12" s="1"/>
  <c r="H7" i="12" s="1"/>
  <c r="D7" i="12"/>
  <c r="E7" i="12" s="1"/>
  <c r="F7" i="12" s="1"/>
  <c r="A8" i="12"/>
  <c r="O5" i="12" s="1"/>
  <c r="B8" i="12"/>
  <c r="C8" i="12"/>
  <c r="G8" i="12" s="1"/>
  <c r="H8" i="12" s="1"/>
  <c r="S5" i="12" s="1"/>
  <c r="D8" i="12"/>
  <c r="E8" i="12" s="1"/>
  <c r="P5" i="12" s="1"/>
  <c r="A9" i="12"/>
  <c r="V6" i="12" s="1"/>
  <c r="B9" i="12"/>
  <c r="C9" i="12"/>
  <c r="G9" i="12" s="1"/>
  <c r="H9" i="12" s="1"/>
  <c r="D9" i="12"/>
  <c r="E9" i="12" s="1"/>
  <c r="F9" i="12" s="1"/>
  <c r="A10" i="12"/>
  <c r="O11" i="12" s="1"/>
  <c r="B10" i="12"/>
  <c r="C10" i="12"/>
  <c r="G10" i="12" s="1"/>
  <c r="D10" i="12"/>
  <c r="E10" i="12" s="1"/>
  <c r="P11" i="12" s="1"/>
  <c r="A11" i="12"/>
  <c r="B11" i="12"/>
  <c r="C11" i="12"/>
  <c r="G11" i="12" s="1"/>
  <c r="H11" i="12" s="1"/>
  <c r="D11" i="12"/>
  <c r="E11" i="12" s="1"/>
  <c r="F11" i="12" s="1"/>
  <c r="A12" i="12"/>
  <c r="O13" i="12" s="1"/>
  <c r="B12" i="12"/>
  <c r="C12" i="12"/>
  <c r="G12" i="12" s="1"/>
  <c r="D12" i="12"/>
  <c r="E12" i="12" s="1"/>
  <c r="P13" i="12" s="1"/>
  <c r="A13" i="12"/>
  <c r="V10" i="12" s="1"/>
  <c r="B13" i="12"/>
  <c r="C13" i="12"/>
  <c r="G13" i="12" s="1"/>
  <c r="H13" i="12" s="1"/>
  <c r="D13" i="12"/>
  <c r="E13" i="12" s="1"/>
  <c r="F13" i="12" s="1"/>
  <c r="Q8" i="12" s="1"/>
  <c r="A14" i="12"/>
  <c r="O10" i="12" s="1"/>
  <c r="B14" i="12"/>
  <c r="C14" i="12"/>
  <c r="G14" i="12" s="1"/>
  <c r="D14" i="12"/>
  <c r="E14" i="12" s="1"/>
  <c r="P10" i="12" s="1"/>
  <c r="A15" i="12"/>
  <c r="O3" i="12" s="1"/>
  <c r="B15" i="12"/>
  <c r="C15" i="12"/>
  <c r="G15" i="12" s="1"/>
  <c r="H15" i="12" s="1"/>
  <c r="D15" i="12"/>
  <c r="E15" i="12" s="1"/>
  <c r="A16" i="12"/>
  <c r="V11" i="12" s="1"/>
  <c r="B16" i="12"/>
  <c r="C16" i="12"/>
  <c r="G16" i="12" s="1"/>
  <c r="H16" i="12" s="1"/>
  <c r="S9" i="12" s="1"/>
  <c r="D16" i="12"/>
  <c r="E16" i="12" s="1"/>
  <c r="P9" i="12" s="1"/>
  <c r="A17" i="12"/>
  <c r="O12" i="12" s="1"/>
  <c r="B17" i="12"/>
  <c r="C17" i="12"/>
  <c r="G17" i="12" s="1"/>
  <c r="H17" i="12" s="1"/>
  <c r="D17" i="12"/>
  <c r="E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A22" i="12"/>
  <c r="V13" i="12" s="1"/>
  <c r="B22" i="12"/>
  <c r="C22" i="12"/>
  <c r="G22" i="12" s="1"/>
  <c r="D22" i="12"/>
  <c r="E22" i="12" s="1"/>
  <c r="A23" i="12"/>
  <c r="B23" i="12"/>
  <c r="C23" i="12"/>
  <c r="G23" i="12" s="1"/>
  <c r="H23" i="12" s="1"/>
  <c r="D23" i="12"/>
  <c r="E23" i="12" s="1"/>
  <c r="F23" i="12" s="1"/>
  <c r="A24" i="12"/>
  <c r="B24" i="12"/>
  <c r="C24" i="12"/>
  <c r="G24" i="12" s="1"/>
  <c r="H24" i="12" s="1"/>
  <c r="D24" i="12"/>
  <c r="E24" i="12" s="1"/>
  <c r="A25" i="12"/>
  <c r="B25" i="12"/>
  <c r="C25" i="12"/>
  <c r="G25" i="12" s="1"/>
  <c r="H25" i="12" s="1"/>
  <c r="D25" i="12"/>
  <c r="E25" i="12" s="1"/>
  <c r="F25" i="12" s="1"/>
  <c r="A26" i="12"/>
  <c r="B26" i="12"/>
  <c r="C26" i="12"/>
  <c r="G26" i="12" s="1"/>
  <c r="H26" i="12" s="1"/>
  <c r="D26" i="12"/>
  <c r="E26" i="12" s="1"/>
  <c r="A27" i="12"/>
  <c r="B27" i="12"/>
  <c r="C27" i="12"/>
  <c r="G27" i="12" s="1"/>
  <c r="H27" i="12" s="1"/>
  <c r="D27" i="12"/>
  <c r="E27" i="12" s="1"/>
  <c r="F27" i="12" s="1"/>
  <c r="A28" i="12"/>
  <c r="B28" i="12"/>
  <c r="C28" i="12"/>
  <c r="G28" i="12" s="1"/>
  <c r="H28" i="12" s="1"/>
  <c r="D28" i="12"/>
  <c r="E28" i="12" s="1"/>
  <c r="A29" i="12"/>
  <c r="B29" i="12"/>
  <c r="C29" i="12"/>
  <c r="G29" i="12" s="1"/>
  <c r="H29" i="12" s="1"/>
  <c r="D29" i="12"/>
  <c r="E29" i="12" s="1"/>
  <c r="F29" i="12" s="1"/>
  <c r="A30" i="12"/>
  <c r="B30" i="12"/>
  <c r="C30" i="12"/>
  <c r="G30" i="12" s="1"/>
  <c r="H30" i="12" s="1"/>
  <c r="D30" i="12"/>
  <c r="E30" i="12" s="1"/>
  <c r="A31" i="12"/>
  <c r="B31" i="12"/>
  <c r="C31" i="12"/>
  <c r="G31" i="12" s="1"/>
  <c r="H31" i="12" s="1"/>
  <c r="D31" i="12"/>
  <c r="E31" i="12" s="1"/>
  <c r="F31" i="12" s="1"/>
  <c r="D3" i="12"/>
  <c r="E3" i="12" s="1"/>
  <c r="P7" i="12" s="1"/>
  <c r="C3" i="12"/>
  <c r="G3" i="12" s="1"/>
  <c r="R7" i="12" s="1"/>
  <c r="B3" i="12"/>
  <c r="A3" i="12"/>
  <c r="O7" i="12" s="1"/>
  <c r="V12" i="12"/>
  <c r="V8" i="12"/>
  <c r="V5" i="12"/>
  <c r="V4" i="12"/>
  <c r="V9" i="12" l="1"/>
  <c r="V7" i="12"/>
  <c r="R11" i="12"/>
  <c r="H10" i="12"/>
  <c r="S11" i="12" s="1"/>
  <c r="Y13" i="12"/>
  <c r="H22" i="12"/>
  <c r="P12" i="12"/>
  <c r="W7" i="12"/>
  <c r="F17" i="12"/>
  <c r="Q12" i="12" s="1"/>
  <c r="R10" i="12"/>
  <c r="H14" i="12"/>
  <c r="S10" i="12" s="1"/>
  <c r="R6" i="12"/>
  <c r="H4" i="12"/>
  <c r="S6" i="12" s="1"/>
  <c r="F15" i="12"/>
  <c r="Q3" i="12" s="1"/>
  <c r="W12" i="12"/>
  <c r="P3" i="12"/>
  <c r="R13" i="12"/>
  <c r="H12" i="12"/>
  <c r="S13" i="12" s="1"/>
  <c r="J25" i="12"/>
  <c r="J9" i="12"/>
  <c r="O8" i="12"/>
  <c r="R9" i="12"/>
  <c r="V3" i="12"/>
  <c r="J31" i="12"/>
  <c r="J23" i="12"/>
  <c r="J15" i="12"/>
  <c r="J7" i="12"/>
  <c r="P4" i="12"/>
  <c r="P8" i="12"/>
  <c r="S3" i="12"/>
  <c r="R5" i="12"/>
  <c r="O9" i="12"/>
  <c r="J29" i="12"/>
  <c r="J21" i="12"/>
  <c r="J13" i="12"/>
  <c r="J5" i="12"/>
  <c r="S12" i="12"/>
  <c r="S8" i="12"/>
  <c r="S4" i="12"/>
  <c r="R3" i="12"/>
  <c r="P18" i="12" s="1"/>
  <c r="J27" i="12"/>
  <c r="J19" i="12"/>
  <c r="J11" i="12"/>
  <c r="R12" i="12"/>
  <c r="R8" i="12"/>
  <c r="R4" i="12"/>
  <c r="I20" i="12"/>
  <c r="F20" i="12"/>
  <c r="J20" i="12" s="1"/>
  <c r="I4" i="12"/>
  <c r="F4" i="12"/>
  <c r="I26" i="12"/>
  <c r="F26" i="12"/>
  <c r="J26" i="12" s="1"/>
  <c r="I18" i="12"/>
  <c r="F18" i="12"/>
  <c r="J18" i="12" s="1"/>
  <c r="I10" i="12"/>
  <c r="F10" i="12"/>
  <c r="Q11" i="12" s="1"/>
  <c r="I12" i="12"/>
  <c r="F12" i="12"/>
  <c r="Q13" i="12" s="1"/>
  <c r="I24" i="12"/>
  <c r="F24" i="12"/>
  <c r="J24" i="12" s="1"/>
  <c r="I16" i="12"/>
  <c r="F16" i="12"/>
  <c r="Q9" i="12" s="1"/>
  <c r="I8" i="12"/>
  <c r="F8" i="12"/>
  <c r="I28" i="12"/>
  <c r="F28" i="12"/>
  <c r="J28" i="12" s="1"/>
  <c r="I30" i="12"/>
  <c r="F30" i="12"/>
  <c r="J30" i="12" s="1"/>
  <c r="I22" i="12"/>
  <c r="F22" i="12"/>
  <c r="I14" i="12"/>
  <c r="F14" i="12"/>
  <c r="I6" i="12"/>
  <c r="F6" i="12"/>
  <c r="J6" i="12" s="1"/>
  <c r="I31" i="12"/>
  <c r="I29" i="12"/>
  <c r="I27" i="12"/>
  <c r="I25" i="12"/>
  <c r="I23" i="12"/>
  <c r="I21" i="12"/>
  <c r="I19" i="12"/>
  <c r="I17" i="12"/>
  <c r="I15" i="12"/>
  <c r="I13" i="12"/>
  <c r="I11" i="12"/>
  <c r="I9" i="12"/>
  <c r="I7" i="12"/>
  <c r="I5" i="12"/>
  <c r="Y6" i="12"/>
  <c r="W9" i="12"/>
  <c r="Y7" i="12"/>
  <c r="X6" i="12"/>
  <c r="W6" i="12"/>
  <c r="I3" i="12"/>
  <c r="H3" i="12"/>
  <c r="S7" i="12" s="1"/>
  <c r="X13" i="12"/>
  <c r="W13" i="12"/>
  <c r="Y4" i="12"/>
  <c r="W3" i="12"/>
  <c r="W10" i="12"/>
  <c r="Y11" i="12"/>
  <c r="W11" i="12"/>
  <c r="Y8" i="12"/>
  <c r="Y5" i="12"/>
  <c r="F3" i="12"/>
  <c r="Q7" i="12" s="1"/>
  <c r="W8" i="12"/>
  <c r="Y3" i="12"/>
  <c r="W18" i="12" s="1"/>
  <c r="X5" i="12"/>
  <c r="W5" i="12"/>
  <c r="Y10" i="12"/>
  <c r="Y9" i="12"/>
  <c r="Y12" i="12"/>
  <c r="W4" i="12"/>
  <c r="C4" i="2"/>
  <c r="C7" i="2"/>
  <c r="X7" i="12" l="1"/>
  <c r="J22" i="12"/>
  <c r="J17" i="12"/>
  <c r="J10" i="12"/>
  <c r="J12" i="12"/>
  <c r="X4" i="12"/>
  <c r="Q6" i="12"/>
  <c r="J14" i="12"/>
  <c r="Q10" i="12"/>
  <c r="J4" i="12"/>
  <c r="J16" i="12"/>
  <c r="J8" i="12"/>
  <c r="Q5" i="12"/>
  <c r="X3" i="12"/>
  <c r="W19" i="12"/>
  <c r="W20" i="12" s="1"/>
  <c r="X12" i="12"/>
  <c r="Z9" i="12"/>
  <c r="Z10" i="12"/>
  <c r="X8" i="12"/>
  <c r="Z5" i="12"/>
  <c r="Z12" i="12"/>
  <c r="P14" i="12"/>
  <c r="X11" i="12"/>
  <c r="W16" i="12"/>
  <c r="W17" i="12" s="1"/>
  <c r="W21" i="12" s="1"/>
  <c r="Z4" i="12"/>
  <c r="P19" i="12"/>
  <c r="P20" i="12" s="1"/>
  <c r="Z7" i="12"/>
  <c r="Z6" i="12"/>
  <c r="J3" i="12"/>
  <c r="Q18" i="12"/>
  <c r="Q19" i="12" s="1"/>
  <c r="Q20" i="12" s="1"/>
  <c r="W14" i="12"/>
  <c r="X10" i="12"/>
  <c r="X9" i="12"/>
  <c r="Z13" i="12"/>
  <c r="Z3" i="12"/>
  <c r="X18" i="12" s="1"/>
  <c r="X19" i="12" s="1"/>
  <c r="X20" i="12" s="1"/>
  <c r="P16" i="12"/>
  <c r="P17" i="12" s="1"/>
  <c r="P21" i="12" s="1"/>
  <c r="Z8" i="12"/>
  <c r="Z11" i="12"/>
  <c r="A28" i="3"/>
  <c r="B28" i="3"/>
  <c r="D28" i="3"/>
  <c r="F28" i="3"/>
  <c r="G28" i="3" s="1"/>
  <c r="I28" i="3"/>
  <c r="J28" i="3"/>
  <c r="Z28" i="3" s="1"/>
  <c r="AB28" i="3" s="1"/>
  <c r="K28" i="3"/>
  <c r="L28" i="3"/>
  <c r="M28" i="3"/>
  <c r="N28" i="3"/>
  <c r="P28" i="3"/>
  <c r="Q28" i="3"/>
  <c r="A29" i="3"/>
  <c r="B29" i="3"/>
  <c r="D29" i="3"/>
  <c r="F29" i="3"/>
  <c r="G29" i="3" s="1"/>
  <c r="I29" i="3"/>
  <c r="J29" i="3"/>
  <c r="AQ29" i="3" s="1"/>
  <c r="K29" i="3"/>
  <c r="L29" i="3"/>
  <c r="M29" i="3"/>
  <c r="N29" i="3"/>
  <c r="AK29" i="3" s="1"/>
  <c r="P29" i="3"/>
  <c r="Q29" i="3"/>
  <c r="A17" i="3"/>
  <c r="B17" i="3"/>
  <c r="D17" i="3"/>
  <c r="F17" i="3"/>
  <c r="G17" i="3" s="1"/>
  <c r="I17" i="3"/>
  <c r="J17" i="3"/>
  <c r="AS17" i="3" s="1"/>
  <c r="K17" i="3"/>
  <c r="L17" i="3"/>
  <c r="M17" i="3"/>
  <c r="N17" i="3"/>
  <c r="AK17" i="3" s="1"/>
  <c r="P17" i="3"/>
  <c r="Q17" i="3"/>
  <c r="A18" i="3"/>
  <c r="B18" i="3"/>
  <c r="D18" i="3"/>
  <c r="F18" i="3"/>
  <c r="G18" i="3" s="1"/>
  <c r="I18" i="3"/>
  <c r="J18" i="3"/>
  <c r="BX18" i="3" s="1"/>
  <c r="K18" i="3"/>
  <c r="L18" i="3"/>
  <c r="M18" i="3"/>
  <c r="N18" i="3"/>
  <c r="AK18" i="3" s="1"/>
  <c r="P18" i="3"/>
  <c r="Q18" i="3"/>
  <c r="T18" i="3" s="1"/>
  <c r="A19" i="3"/>
  <c r="B19" i="3"/>
  <c r="D19" i="3"/>
  <c r="F19" i="3"/>
  <c r="G19" i="3" s="1"/>
  <c r="I19" i="3"/>
  <c r="J19" i="3"/>
  <c r="K19" i="3"/>
  <c r="L19" i="3"/>
  <c r="M19" i="3"/>
  <c r="N19" i="3"/>
  <c r="AK19" i="3" s="1"/>
  <c r="O19" i="3"/>
  <c r="P19" i="3"/>
  <c r="Q19" i="3"/>
  <c r="A20" i="3"/>
  <c r="B20" i="3"/>
  <c r="D20" i="3"/>
  <c r="F20" i="3"/>
  <c r="H20" i="3" s="1"/>
  <c r="I20" i="3"/>
  <c r="J20" i="3"/>
  <c r="K20" i="3"/>
  <c r="L20" i="3"/>
  <c r="M20" i="3"/>
  <c r="N20" i="3"/>
  <c r="AK20" i="3" s="1"/>
  <c r="P20" i="3"/>
  <c r="Q20" i="3"/>
  <c r="T20" i="3" s="1"/>
  <c r="A21" i="3"/>
  <c r="B21" i="3"/>
  <c r="D21" i="3"/>
  <c r="F21" i="3"/>
  <c r="I21" i="3"/>
  <c r="J21" i="3"/>
  <c r="K21" i="3"/>
  <c r="L21" i="3"/>
  <c r="M21" i="3"/>
  <c r="N21" i="3"/>
  <c r="AK21" i="3" s="1"/>
  <c r="P21" i="3"/>
  <c r="Q21" i="3"/>
  <c r="A22" i="3"/>
  <c r="B22" i="3"/>
  <c r="D22" i="3"/>
  <c r="F22" i="3"/>
  <c r="H22" i="3" s="1"/>
  <c r="I22" i="3"/>
  <c r="J22" i="3"/>
  <c r="K22" i="3"/>
  <c r="L22" i="3"/>
  <c r="M22" i="3"/>
  <c r="N22" i="3"/>
  <c r="P22" i="3"/>
  <c r="Q22" i="3"/>
  <c r="A23" i="3"/>
  <c r="B23" i="3"/>
  <c r="D23" i="3"/>
  <c r="F23" i="3"/>
  <c r="G23" i="3" s="1"/>
  <c r="I23" i="3"/>
  <c r="J23" i="3"/>
  <c r="K23" i="3"/>
  <c r="L23" i="3"/>
  <c r="M23" i="3"/>
  <c r="N23" i="3"/>
  <c r="P23" i="3"/>
  <c r="Q23" i="3"/>
  <c r="A24" i="3"/>
  <c r="B24" i="3"/>
  <c r="D24" i="3"/>
  <c r="F24" i="3"/>
  <c r="H24" i="3" s="1"/>
  <c r="I24" i="3"/>
  <c r="J24" i="3"/>
  <c r="K24" i="3"/>
  <c r="L24" i="3"/>
  <c r="M24" i="3"/>
  <c r="N24" i="3"/>
  <c r="P24" i="3"/>
  <c r="Q24" i="3"/>
  <c r="A25" i="3"/>
  <c r="B25" i="3"/>
  <c r="D25" i="3"/>
  <c r="F25" i="3"/>
  <c r="G25" i="3" s="1"/>
  <c r="I25" i="3"/>
  <c r="J25" i="3"/>
  <c r="K25" i="3"/>
  <c r="L25" i="3"/>
  <c r="M25" i="3"/>
  <c r="N25" i="3"/>
  <c r="AK25" i="3" s="1"/>
  <c r="P25" i="3"/>
  <c r="Q25" i="3"/>
  <c r="A26" i="3"/>
  <c r="B26" i="3"/>
  <c r="D26" i="3"/>
  <c r="F26" i="3"/>
  <c r="H26" i="3" s="1"/>
  <c r="I26" i="3"/>
  <c r="J26" i="3"/>
  <c r="K26" i="3"/>
  <c r="L26" i="3"/>
  <c r="M26" i="3"/>
  <c r="N26" i="3"/>
  <c r="AK26" i="3" s="1"/>
  <c r="P26" i="3"/>
  <c r="Q26" i="3"/>
  <c r="A27" i="3"/>
  <c r="B27" i="3"/>
  <c r="D27" i="3"/>
  <c r="F27" i="3"/>
  <c r="G27" i="3" s="1"/>
  <c r="I27" i="3"/>
  <c r="J27" i="3"/>
  <c r="K27" i="3"/>
  <c r="L27" i="3"/>
  <c r="M27" i="3"/>
  <c r="N27" i="3"/>
  <c r="AK27" i="3" s="1"/>
  <c r="P27" i="3"/>
  <c r="Q27" i="3"/>
  <c r="BU27"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BN19" i="3" l="1"/>
  <c r="AG20" i="3"/>
  <c r="BJ18" i="3"/>
  <c r="H27" i="3"/>
  <c r="BU20" i="3"/>
  <c r="AS27" i="3"/>
  <c r="Z20" i="3"/>
  <c r="AB20" i="3" s="1"/>
  <c r="AC21" i="3"/>
  <c r="AA27" i="3"/>
  <c r="AQ24" i="3"/>
  <c r="G26" i="3"/>
  <c r="BE19" i="3"/>
  <c r="BU28" i="3"/>
  <c r="AG27" i="3"/>
  <c r="BD25" i="3"/>
  <c r="CE24" i="3"/>
  <c r="BD19" i="3"/>
  <c r="AH24" i="3"/>
  <c r="BT20" i="3"/>
  <c r="AA19" i="3"/>
  <c r="AE19" i="3"/>
  <c r="AE18" i="3"/>
  <c r="BN29" i="3"/>
  <c r="X25" i="3"/>
  <c r="BD21" i="3"/>
  <c r="CE21" i="3"/>
  <c r="BT19" i="3"/>
  <c r="BJ19" i="3"/>
  <c r="AW19" i="3"/>
  <c r="AY19" i="3" s="1"/>
  <c r="BU19" i="3"/>
  <c r="BD18" i="3"/>
  <c r="CE29" i="3"/>
  <c r="BI25" i="3"/>
  <c r="BO25" i="3"/>
  <c r="BS19" i="3"/>
  <c r="BI19" i="3"/>
  <c r="AM19" i="3"/>
  <c r="AP18" i="3"/>
  <c r="AR18" i="3" s="1"/>
  <c r="BE18" i="3"/>
  <c r="Z29" i="3"/>
  <c r="AB29" i="3" s="1"/>
  <c r="AP26" i="3"/>
  <c r="AR26" i="3" s="1"/>
  <c r="AM23" i="3"/>
  <c r="BE20" i="3"/>
  <c r="BO19" i="3"/>
  <c r="CB19" i="3"/>
  <c r="CD19" i="3" s="1"/>
  <c r="BP18" i="3"/>
  <c r="AA18" i="3"/>
  <c r="AC17" i="3"/>
  <c r="BD29" i="3"/>
  <c r="AG26" i="3"/>
  <c r="BP23" i="3"/>
  <c r="AG21" i="3"/>
  <c r="BK20" i="3"/>
  <c r="BU18" i="3"/>
  <c r="BO18" i="3"/>
  <c r="BI18" i="3"/>
  <c r="AX18" i="3"/>
  <c r="AL18" i="3"/>
  <c r="Z18" i="3"/>
  <c r="AB18" i="3" s="1"/>
  <c r="AG18" i="3"/>
  <c r="H29" i="3"/>
  <c r="AI27" i="3"/>
  <c r="AD26" i="3"/>
  <c r="AF26" i="3" s="1"/>
  <c r="AG25" i="3"/>
  <c r="BO22" i="3"/>
  <c r="AI21" i="3"/>
  <c r="CE20" i="3"/>
  <c r="BT18" i="3"/>
  <c r="BN18" i="3"/>
  <c r="BF18" i="3"/>
  <c r="AW18" i="3"/>
  <c r="AY18" i="3" s="1"/>
  <c r="AC27" i="3"/>
  <c r="BK24" i="3"/>
  <c r="W23" i="3"/>
  <c r="Y23" i="3" s="1"/>
  <c r="BS21" i="3"/>
  <c r="AQ20" i="3"/>
  <c r="CE18" i="3"/>
  <c r="BS18" i="3"/>
  <c r="BK18" i="3"/>
  <c r="AQ18" i="3"/>
  <c r="X18" i="3"/>
  <c r="AG17" i="3"/>
  <c r="W29" i="3"/>
  <c r="Y29" i="3" s="1"/>
  <c r="BI27" i="3"/>
  <c r="CE26" i="3"/>
  <c r="BF26" i="3"/>
  <c r="BE25" i="3"/>
  <c r="BF24" i="3"/>
  <c r="BN22" i="3"/>
  <c r="BX21" i="3"/>
  <c r="BP21" i="3"/>
  <c r="AS21" i="3"/>
  <c r="AA21" i="3"/>
  <c r="BS20" i="3"/>
  <c r="BJ20" i="3"/>
  <c r="AX20" i="3"/>
  <c r="AP20" i="3"/>
  <c r="AR20" i="3" s="1"/>
  <c r="AE20" i="3"/>
  <c r="X20" i="3"/>
  <c r="AC18" i="3"/>
  <c r="BT29" i="3"/>
  <c r="BJ29" i="3"/>
  <c r="AX29" i="3"/>
  <c r="AP29" i="3"/>
  <c r="AR29" i="3" s="1"/>
  <c r="AI29" i="3"/>
  <c r="S29" i="3"/>
  <c r="BI22" i="3"/>
  <c r="BU21" i="3"/>
  <c r="BO21" i="3"/>
  <c r="AQ21" i="3"/>
  <c r="BO20" i="3"/>
  <c r="BI20" i="3"/>
  <c r="AW20" i="3"/>
  <c r="AY20" i="3" s="1"/>
  <c r="AL20" i="3"/>
  <c r="AA20" i="3"/>
  <c r="BD20" i="3"/>
  <c r="BS29" i="3"/>
  <c r="BI29" i="3"/>
  <c r="AW29" i="3"/>
  <c r="AY29" i="3" s="1"/>
  <c r="AM29" i="3"/>
  <c r="AA29" i="3"/>
  <c r="AA23" i="3"/>
  <c r="AM22" i="3"/>
  <c r="BT21" i="3"/>
  <c r="BI21" i="3"/>
  <c r="X21" i="3"/>
  <c r="BN20" i="3"/>
  <c r="BF20" i="3"/>
  <c r="AS20" i="3"/>
  <c r="BU17" i="3"/>
  <c r="BO29" i="3"/>
  <c r="BE29" i="3"/>
  <c r="AS29" i="3"/>
  <c r="AL29" i="3"/>
  <c r="Z17" i="3"/>
  <c r="AB17" i="3" s="1"/>
  <c r="AE17" i="3"/>
  <c r="AP17" i="3"/>
  <c r="AR17" i="3" s="1"/>
  <c r="AA17" i="3"/>
  <c r="AL17" i="3"/>
  <c r="AQ17" i="3"/>
  <c r="AW17" i="3"/>
  <c r="AY17" i="3" s="1"/>
  <c r="BD17" i="3"/>
  <c r="BI17" i="3"/>
  <c r="BN17" i="3"/>
  <c r="BS17" i="3"/>
  <c r="W17" i="3"/>
  <c r="Y17" i="3" s="1"/>
  <c r="AH17" i="3"/>
  <c r="AM17" i="3"/>
  <c r="AX17" i="3"/>
  <c r="BE17" i="3"/>
  <c r="BJ17" i="3"/>
  <c r="BO17" i="3"/>
  <c r="BT17" i="3"/>
  <c r="AK28" i="3"/>
  <c r="AA28" i="3"/>
  <c r="AI28" i="3"/>
  <c r="AD28" i="3"/>
  <c r="AF28" i="3" s="1"/>
  <c r="AP28" i="3"/>
  <c r="AR28" i="3" s="1"/>
  <c r="AW28" i="3"/>
  <c r="AY28" i="3" s="1"/>
  <c r="BD28" i="3"/>
  <c r="BI28" i="3"/>
  <c r="BN28" i="3"/>
  <c r="BS28" i="3"/>
  <c r="X28" i="3"/>
  <c r="AE28" i="3"/>
  <c r="AL28" i="3"/>
  <c r="AQ28" i="3"/>
  <c r="AX28" i="3"/>
  <c r="BE28" i="3"/>
  <c r="BJ28" i="3"/>
  <c r="BO28" i="3"/>
  <c r="BT28" i="3"/>
  <c r="Z27" i="3"/>
  <c r="AB27" i="3" s="1"/>
  <c r="BE27" i="3"/>
  <c r="BS27" i="3"/>
  <c r="AE27" i="3"/>
  <c r="AM27" i="3"/>
  <c r="AW27" i="3"/>
  <c r="AY27" i="3" s="1"/>
  <c r="BT27" i="3"/>
  <c r="X27" i="3"/>
  <c r="AQ27" i="3"/>
  <c r="AE26" i="3"/>
  <c r="AQ26" i="3"/>
  <c r="AX26" i="3"/>
  <c r="BN26" i="3"/>
  <c r="BS26" i="3"/>
  <c r="Z26" i="3"/>
  <c r="AB26" i="3" s="1"/>
  <c r="AL26" i="3"/>
  <c r="BI26" i="3"/>
  <c r="BO26" i="3"/>
  <c r="AA26" i="3"/>
  <c r="AH26" i="3"/>
  <c r="AM26" i="3"/>
  <c r="BJ26" i="3"/>
  <c r="AS22" i="3"/>
  <c r="CE22" i="3"/>
  <c r="BU22" i="3"/>
  <c r="AC22" i="3"/>
  <c r="R19" i="3"/>
  <c r="AO19" i="3" s="1"/>
  <c r="BL19" i="3"/>
  <c r="BQ19" i="3"/>
  <c r="CC19" i="3"/>
  <c r="BA19" i="3"/>
  <c r="BC19" i="3" s="1"/>
  <c r="BH19" i="3"/>
  <c r="BM19" i="3"/>
  <c r="BR19" i="3"/>
  <c r="BV19" i="3"/>
  <c r="AU19" i="3"/>
  <c r="BW19" i="3"/>
  <c r="X19" i="3"/>
  <c r="W19" i="3"/>
  <c r="Y19" i="3" s="1"/>
  <c r="AD17" i="3"/>
  <c r="AF17" i="3" s="1"/>
  <c r="AC29" i="3"/>
  <c r="AJ29" i="3"/>
  <c r="BU29" i="3"/>
  <c r="BP29" i="3"/>
  <c r="AG29" i="3"/>
  <c r="BF29" i="3"/>
  <c r="BK29" i="3"/>
  <c r="BX29" i="3"/>
  <c r="BD27" i="3"/>
  <c r="W27" i="3"/>
  <c r="Y27" i="3" s="1"/>
  <c r="BE26" i="3"/>
  <c r="AI26" i="3"/>
  <c r="AI24" i="3"/>
  <c r="AX24" i="3"/>
  <c r="BN24" i="3"/>
  <c r="Z24" i="3"/>
  <c r="AB24" i="3" s="1"/>
  <c r="AM24" i="3"/>
  <c r="BO24" i="3"/>
  <c r="AA24" i="3"/>
  <c r="AP24" i="3"/>
  <c r="AR24" i="3" s="1"/>
  <c r="BS24" i="3"/>
  <c r="H21" i="3"/>
  <c r="G21" i="3"/>
  <c r="BG19" i="3"/>
  <c r="AZ29" i="3"/>
  <c r="V29" i="3"/>
  <c r="AN29" i="3"/>
  <c r="U29" i="3"/>
  <c r="AM28" i="3"/>
  <c r="BO27" i="3"/>
  <c r="AW26" i="3"/>
  <c r="AY26" i="3" s="1"/>
  <c r="AI17" i="3"/>
  <c r="X17" i="3"/>
  <c r="AH28" i="3"/>
  <c r="W28" i="3"/>
  <c r="Y28" i="3" s="1"/>
  <c r="X26" i="3"/>
  <c r="X24" i="3"/>
  <c r="V28" i="3"/>
  <c r="BF28" i="3"/>
  <c r="AW25" i="3"/>
  <c r="AY25" i="3" s="1"/>
  <c r="AC25" i="3"/>
  <c r="AX22" i="3"/>
  <c r="W22" i="3"/>
  <c r="Y22" i="3" s="1"/>
  <c r="AW21" i="3"/>
  <c r="AY21" i="3" s="1"/>
  <c r="AM21" i="3"/>
  <c r="AE21" i="3"/>
  <c r="U21" i="3"/>
  <c r="AI20" i="3"/>
  <c r="AD20" i="3"/>
  <c r="AF20" i="3" s="1"/>
  <c r="AJ20" i="3"/>
  <c r="AQ19" i="3"/>
  <c r="AI19" i="3"/>
  <c r="AN18" i="3"/>
  <c r="AI18" i="3"/>
  <c r="AD18" i="3"/>
  <c r="AF18" i="3" s="1"/>
  <c r="AJ18" i="3"/>
  <c r="AE29" i="3"/>
  <c r="X29" i="3"/>
  <c r="U27" i="3"/>
  <c r="BF27" i="3"/>
  <c r="U26" i="3"/>
  <c r="BT25" i="3"/>
  <c r="T24" i="3"/>
  <c r="BK21" i="3"/>
  <c r="BE21" i="3"/>
  <c r="Z21" i="3"/>
  <c r="AB21" i="3" s="1"/>
  <c r="AM20" i="3"/>
  <c r="AH20" i="3"/>
  <c r="AC20" i="3"/>
  <c r="AX19" i="3"/>
  <c r="Z19" i="3"/>
  <c r="AB19" i="3" s="1"/>
  <c r="AZ18" i="3"/>
  <c r="AS18" i="3"/>
  <c r="AM18" i="3"/>
  <c r="AH18" i="3"/>
  <c r="U17" i="3"/>
  <c r="U28" i="3"/>
  <c r="V27" i="3"/>
  <c r="V25" i="3"/>
  <c r="H25" i="3"/>
  <c r="S24" i="3"/>
  <c r="H23" i="3"/>
  <c r="BU23" i="3"/>
  <c r="AZ23" i="3"/>
  <c r="AK23" i="3"/>
  <c r="U23" i="3"/>
  <c r="BT23" i="3"/>
  <c r="BE23" i="3"/>
  <c r="AW23" i="3"/>
  <c r="AY23" i="3" s="1"/>
  <c r="AG23" i="3"/>
  <c r="BI23" i="3"/>
  <c r="BD23" i="3"/>
  <c r="AQ23" i="3"/>
  <c r="X23" i="3"/>
  <c r="H18" i="3"/>
  <c r="T29" i="3"/>
  <c r="V26" i="3"/>
  <c r="S20" i="3"/>
  <c r="U20" i="3"/>
  <c r="G20" i="3"/>
  <c r="H19" i="3"/>
  <c r="U18" i="3"/>
  <c r="S18" i="3"/>
  <c r="Q16" i="12"/>
  <c r="Q17" i="12" s="1"/>
  <c r="Q21" i="12" s="1"/>
  <c r="X14" i="12"/>
  <c r="X16" i="12"/>
  <c r="X17" i="12" s="1"/>
  <c r="X21" i="12" s="1"/>
  <c r="Q14" i="12"/>
  <c r="AG28" i="3"/>
  <c r="AH29" i="3"/>
  <c r="AD29" i="3"/>
  <c r="AF29" i="3" s="1"/>
  <c r="BX28" i="3"/>
  <c r="BP28" i="3"/>
  <c r="AZ28" i="3"/>
  <c r="AN28" i="3"/>
  <c r="AJ28" i="3"/>
  <c r="T28" i="3"/>
  <c r="H28" i="3"/>
  <c r="AS28" i="3"/>
  <c r="AC28" i="3"/>
  <c r="CE28" i="3"/>
  <c r="BK28" i="3"/>
  <c r="S28" i="3"/>
  <c r="BX27" i="3"/>
  <c r="BP27" i="3"/>
  <c r="AZ27" i="3"/>
  <c r="AN27" i="3"/>
  <c r="AJ27" i="3"/>
  <c r="T27" i="3"/>
  <c r="BK26" i="3"/>
  <c r="BU25" i="3"/>
  <c r="BP25" i="3"/>
  <c r="AN25" i="3"/>
  <c r="S25" i="3"/>
  <c r="Z25" i="3"/>
  <c r="AB25" i="3" s="1"/>
  <c r="AD25" i="3"/>
  <c r="AF25" i="3" s="1"/>
  <c r="AH25" i="3"/>
  <c r="AL25" i="3"/>
  <c r="AP25" i="3"/>
  <c r="AR25" i="3" s="1"/>
  <c r="AX25" i="3"/>
  <c r="BJ25" i="3"/>
  <c r="BN25" i="3"/>
  <c r="W25" i="3"/>
  <c r="Y25" i="3" s="1"/>
  <c r="AA25" i="3"/>
  <c r="AE25" i="3"/>
  <c r="AI25" i="3"/>
  <c r="AM25" i="3"/>
  <c r="AQ25" i="3"/>
  <c r="AK24" i="3"/>
  <c r="BD24" i="3"/>
  <c r="BT24" i="3"/>
  <c r="U24" i="3"/>
  <c r="V24" i="3" s="1"/>
  <c r="AC24" i="3"/>
  <c r="AG24" i="3"/>
  <c r="AS24" i="3"/>
  <c r="AW24" i="3"/>
  <c r="AY24" i="3" s="1"/>
  <c r="BE24" i="3"/>
  <c r="BI24" i="3"/>
  <c r="BU24" i="3"/>
  <c r="V19" i="3"/>
  <c r="S19" i="3"/>
  <c r="T19" i="3"/>
  <c r="AN19" i="3"/>
  <c r="U19" i="3"/>
  <c r="BF19" i="3"/>
  <c r="BK19" i="3"/>
  <c r="CE19" i="3"/>
  <c r="AJ19" i="3"/>
  <c r="AZ19" i="3"/>
  <c r="BP19" i="3"/>
  <c r="BX19" i="3"/>
  <c r="AC19" i="3"/>
  <c r="AS19" i="3"/>
  <c r="AG19" i="3"/>
  <c r="BZ19" i="3"/>
  <c r="BY19" i="3"/>
  <c r="CA19" i="3" s="1"/>
  <c r="T26" i="3"/>
  <c r="AN26" i="3"/>
  <c r="AJ26" i="3"/>
  <c r="AZ26" i="3"/>
  <c r="BP26" i="3"/>
  <c r="CE27" i="3"/>
  <c r="S27" i="3"/>
  <c r="BU26" i="3"/>
  <c r="S26" i="3"/>
  <c r="CE25" i="3"/>
  <c r="AS25" i="3"/>
  <c r="U25" i="3"/>
  <c r="AE24" i="3"/>
  <c r="W24" i="3"/>
  <c r="Y24" i="3" s="1"/>
  <c r="AJ24" i="3"/>
  <c r="V23" i="3"/>
  <c r="AN23" i="3"/>
  <c r="AC23" i="3"/>
  <c r="AS23" i="3"/>
  <c r="BF23" i="3"/>
  <c r="AJ23" i="3"/>
  <c r="BK23" i="3"/>
  <c r="CE23" i="3"/>
  <c r="AK22" i="3"/>
  <c r="BD22" i="3"/>
  <c r="BT22" i="3"/>
  <c r="AD22" i="3"/>
  <c r="AF22" i="3" s="1"/>
  <c r="AI22" i="3"/>
  <c r="BE22" i="3"/>
  <c r="BJ22" i="3"/>
  <c r="Z22" i="3"/>
  <c r="AB22" i="3" s="1"/>
  <c r="AE22" i="3"/>
  <c r="AP22" i="3"/>
  <c r="AR22" i="3" s="1"/>
  <c r="V22" i="3"/>
  <c r="AA22" i="3"/>
  <c r="AG22" i="3"/>
  <c r="AL22" i="3"/>
  <c r="AQ22" i="3"/>
  <c r="AW22" i="3"/>
  <c r="AY22" i="3" s="1"/>
  <c r="BF25" i="3"/>
  <c r="BK25" i="3"/>
  <c r="BK27" i="3"/>
  <c r="BN27" i="3"/>
  <c r="BJ27" i="3"/>
  <c r="AX27" i="3"/>
  <c r="AP27" i="3"/>
  <c r="AR27" i="3" s="1"/>
  <c r="AL27" i="3"/>
  <c r="AH27" i="3"/>
  <c r="AD27" i="3"/>
  <c r="AF27" i="3" s="1"/>
  <c r="BX26" i="3"/>
  <c r="AS26" i="3"/>
  <c r="AC26" i="3"/>
  <c r="W26" i="3"/>
  <c r="Y26" i="3" s="1"/>
  <c r="BD26" i="3"/>
  <c r="BT26" i="3"/>
  <c r="BX25" i="3"/>
  <c r="BS25" i="3"/>
  <c r="AZ25" i="3"/>
  <c r="AJ25" i="3"/>
  <c r="T25" i="3"/>
  <c r="BJ24" i="3"/>
  <c r="AL24" i="3"/>
  <c r="AD24" i="3"/>
  <c r="AF24" i="3" s="1"/>
  <c r="G24" i="3"/>
  <c r="BX23" i="3"/>
  <c r="S23" i="3"/>
  <c r="Z23" i="3"/>
  <c r="AB23" i="3" s="1"/>
  <c r="AD23" i="3"/>
  <c r="AF23" i="3" s="1"/>
  <c r="AH23" i="3"/>
  <c r="AL23" i="3"/>
  <c r="AP23" i="3"/>
  <c r="AR23" i="3" s="1"/>
  <c r="AI23" i="3"/>
  <c r="AX23" i="3"/>
  <c r="BJ23" i="3"/>
  <c r="BN23" i="3"/>
  <c r="T23" i="3"/>
  <c r="AE23" i="3"/>
  <c r="BO23" i="3"/>
  <c r="BS23" i="3"/>
  <c r="BS22" i="3"/>
  <c r="AH22" i="3"/>
  <c r="T22" i="3"/>
  <c r="AN22" i="3"/>
  <c r="AJ22" i="3"/>
  <c r="AZ22" i="3"/>
  <c r="BP22" i="3"/>
  <c r="BX22" i="3"/>
  <c r="BX24" i="3"/>
  <c r="BP24" i="3"/>
  <c r="AZ24" i="3"/>
  <c r="AN24" i="3"/>
  <c r="BK22" i="3"/>
  <c r="BF22" i="3"/>
  <c r="U22" i="3"/>
  <c r="G22" i="3"/>
  <c r="V21" i="3"/>
  <c r="T21" i="3"/>
  <c r="AN21" i="3"/>
  <c r="BF21" i="3"/>
  <c r="AJ21" i="3"/>
  <c r="AZ21" i="3"/>
  <c r="W20" i="3"/>
  <c r="Y20" i="3" s="1"/>
  <c r="W18" i="3"/>
  <c r="Y18" i="3" s="1"/>
  <c r="S22" i="3"/>
  <c r="X22" i="3"/>
  <c r="V17" i="3"/>
  <c r="S17" i="3"/>
  <c r="T17" i="3"/>
  <c r="AN17" i="3"/>
  <c r="BF17" i="3"/>
  <c r="BK17" i="3"/>
  <c r="CE17" i="3"/>
  <c r="AJ17" i="3"/>
  <c r="AZ17" i="3"/>
  <c r="BP17" i="3"/>
  <c r="BX17" i="3"/>
  <c r="V20" i="3"/>
  <c r="V18" i="3"/>
  <c r="H17" i="3"/>
  <c r="W21" i="3"/>
  <c r="Y21" i="3" s="1"/>
  <c r="S21" i="3"/>
  <c r="BN21" i="3"/>
  <c r="BJ21" i="3"/>
  <c r="AX21" i="3"/>
  <c r="AP21" i="3"/>
  <c r="AR21" i="3" s="1"/>
  <c r="AL21" i="3"/>
  <c r="AH21" i="3"/>
  <c r="AD21" i="3"/>
  <c r="AF21" i="3" s="1"/>
  <c r="BX20" i="3"/>
  <c r="BP20" i="3"/>
  <c r="AZ20" i="3"/>
  <c r="AN20" i="3"/>
  <c r="BB19" i="3"/>
  <c r="AT19" i="3"/>
  <c r="AV19" i="3" s="1"/>
  <c r="AP19" i="3"/>
  <c r="AR19" i="3" s="1"/>
  <c r="AL19" i="3"/>
  <c r="AH19" i="3"/>
  <c r="AD19" i="3"/>
  <c r="AF19"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AB11" i="1" l="1"/>
  <c r="O29" i="3" s="1"/>
  <c r="AB4" i="1"/>
  <c r="O28" i="3" s="1"/>
  <c r="AB17" i="1"/>
  <c r="O27" i="3" s="1"/>
  <c r="AB10" i="1"/>
  <c r="O26" i="3" s="1"/>
  <c r="AB7" i="1"/>
  <c r="O25" i="3" s="1"/>
  <c r="AB16" i="1"/>
  <c r="O24" i="3" s="1"/>
  <c r="AB14" i="1"/>
  <c r="O23" i="3" s="1"/>
  <c r="AB8" i="1"/>
  <c r="O22" i="3" s="1"/>
  <c r="AB15" i="1"/>
  <c r="O21" i="3" s="1"/>
  <c r="AB9" i="1"/>
  <c r="O20" i="3" s="1"/>
  <c r="AB12" i="1"/>
  <c r="O17" i="3" s="1"/>
  <c r="AB5" i="1"/>
  <c r="O18" i="3" s="1"/>
  <c r="AB24" i="1"/>
  <c r="AB23" i="1"/>
  <c r="AB22" i="1"/>
  <c r="AB21" i="1"/>
  <c r="AB19" i="1"/>
  <c r="AB18" i="1"/>
  <c r="BA22" i="3" l="1"/>
  <c r="BC22" i="3" s="1"/>
  <c r="R22" i="3"/>
  <c r="AO22" i="3" s="1"/>
  <c r="BY22" i="3"/>
  <c r="CA22" i="3" s="1"/>
  <c r="BZ22" i="3"/>
  <c r="BL22" i="3"/>
  <c r="BG22" i="3"/>
  <c r="AU22" i="3"/>
  <c r="BM22" i="3"/>
  <c r="BH22" i="3"/>
  <c r="BV22" i="3"/>
  <c r="CC22" i="3"/>
  <c r="BR22" i="3"/>
  <c r="BQ22" i="3"/>
  <c r="AT22" i="3"/>
  <c r="AV22" i="3" s="1"/>
  <c r="BW22" i="3"/>
  <c r="CB22" i="3"/>
  <c r="CD22" i="3" s="1"/>
  <c r="BB22" i="3"/>
  <c r="BH17" i="3"/>
  <c r="BM17" i="3"/>
  <c r="BR17" i="3"/>
  <c r="BV17" i="3"/>
  <c r="R17" i="3"/>
  <c r="AO17" i="3" s="1"/>
  <c r="BW17" i="3"/>
  <c r="BY17" i="3"/>
  <c r="CA17" i="3" s="1"/>
  <c r="AT17" i="3"/>
  <c r="AV17" i="3" s="1"/>
  <c r="BQ17" i="3"/>
  <c r="BA17" i="3"/>
  <c r="BC17" i="3" s="1"/>
  <c r="BG17" i="3"/>
  <c r="CB17" i="3"/>
  <c r="CD17" i="3" s="1"/>
  <c r="BL17" i="3"/>
  <c r="AU17" i="3"/>
  <c r="BZ17" i="3"/>
  <c r="BB17" i="3"/>
  <c r="CC17" i="3"/>
  <c r="BA23" i="3"/>
  <c r="BC23" i="3" s="1"/>
  <c r="BH23" i="3"/>
  <c r="BW23" i="3"/>
  <c r="CC23" i="3"/>
  <c r="BM23" i="3"/>
  <c r="BL23" i="3"/>
  <c r="BY23" i="3"/>
  <c r="CA23" i="3" s="1"/>
  <c r="BB23" i="3"/>
  <c r="BV23" i="3"/>
  <c r="CB23" i="3"/>
  <c r="CD23" i="3" s="1"/>
  <c r="BG23" i="3"/>
  <c r="BZ23" i="3"/>
  <c r="BQ23" i="3"/>
  <c r="AU23" i="3"/>
  <c r="R23" i="3"/>
  <c r="AO23" i="3" s="1"/>
  <c r="BR23" i="3"/>
  <c r="AT23" i="3"/>
  <c r="AV23" i="3" s="1"/>
  <c r="R27" i="3"/>
  <c r="AO27" i="3" s="1"/>
  <c r="BL27" i="3"/>
  <c r="BY27" i="3"/>
  <c r="CA27" i="3" s="1"/>
  <c r="BG27" i="3"/>
  <c r="BM27" i="3"/>
  <c r="BA27" i="3"/>
  <c r="BC27" i="3" s="1"/>
  <c r="BQ27" i="3"/>
  <c r="BW27" i="3"/>
  <c r="BH27" i="3"/>
  <c r="CC27" i="3"/>
  <c r="AT27" i="3"/>
  <c r="AV27" i="3" s="1"/>
  <c r="BB27" i="3"/>
  <c r="CB27" i="3"/>
  <c r="CD27" i="3" s="1"/>
  <c r="AU27" i="3"/>
  <c r="BV27" i="3"/>
  <c r="BZ27" i="3"/>
  <c r="BR27" i="3"/>
  <c r="BG18" i="3"/>
  <c r="AU18" i="3"/>
  <c r="BW18" i="3"/>
  <c r="BH18" i="3"/>
  <c r="BM18" i="3"/>
  <c r="R18" i="3"/>
  <c r="AO18" i="3" s="1"/>
  <c r="BV18" i="3"/>
  <c r="CC18" i="3"/>
  <c r="BL18" i="3"/>
  <c r="BQ18" i="3"/>
  <c r="AT18" i="3"/>
  <c r="AV18" i="3" s="1"/>
  <c r="BZ18" i="3"/>
  <c r="BA18" i="3"/>
  <c r="BC18" i="3" s="1"/>
  <c r="BR18" i="3"/>
  <c r="CB18" i="3"/>
  <c r="CD18" i="3" s="1"/>
  <c r="BY18" i="3"/>
  <c r="CA18" i="3" s="1"/>
  <c r="BB18" i="3"/>
  <c r="AU20" i="3"/>
  <c r="BG20" i="3"/>
  <c r="BW20" i="3"/>
  <c r="CB20" i="3"/>
  <c r="CD20" i="3" s="1"/>
  <c r="BY20" i="3"/>
  <c r="CA20" i="3" s="1"/>
  <c r="BB20" i="3"/>
  <c r="AT20" i="3"/>
  <c r="AV20" i="3" s="1"/>
  <c r="BA20" i="3"/>
  <c r="BC20" i="3" s="1"/>
  <c r="CC20" i="3"/>
  <c r="BR20" i="3"/>
  <c r="BQ20" i="3"/>
  <c r="BH20" i="3"/>
  <c r="BM20" i="3"/>
  <c r="R20" i="3"/>
  <c r="AO20" i="3" s="1"/>
  <c r="BV20" i="3"/>
  <c r="BL20" i="3"/>
  <c r="BZ20" i="3"/>
  <c r="AU24" i="3"/>
  <c r="BG24" i="3"/>
  <c r="BW24" i="3"/>
  <c r="BV24" i="3"/>
  <c r="BQ24" i="3"/>
  <c r="CB24" i="3"/>
  <c r="CD24" i="3" s="1"/>
  <c r="BM24" i="3"/>
  <c r="BR24" i="3"/>
  <c r="AT24" i="3"/>
  <c r="AV24" i="3" s="1"/>
  <c r="R24" i="3"/>
  <c r="AO24" i="3" s="1"/>
  <c r="BY24" i="3"/>
  <c r="CA24" i="3" s="1"/>
  <c r="CC24" i="3"/>
  <c r="BA24" i="3"/>
  <c r="BC24" i="3" s="1"/>
  <c r="BL24" i="3"/>
  <c r="BH24" i="3"/>
  <c r="BB24" i="3"/>
  <c r="BZ24" i="3"/>
  <c r="BH28" i="3"/>
  <c r="BM28" i="3"/>
  <c r="BR28" i="3"/>
  <c r="BW28" i="3"/>
  <c r="BA28" i="3"/>
  <c r="BC28" i="3" s="1"/>
  <c r="R28" i="3"/>
  <c r="AO28" i="3" s="1"/>
  <c r="AT28" i="3"/>
  <c r="AV28" i="3" s="1"/>
  <c r="AU28" i="3"/>
  <c r="BQ28" i="3"/>
  <c r="BY28" i="3"/>
  <c r="CA28" i="3" s="1"/>
  <c r="BB28" i="3"/>
  <c r="CB28" i="3"/>
  <c r="CD28" i="3" s="1"/>
  <c r="BZ28" i="3"/>
  <c r="CC28" i="3"/>
  <c r="BL28" i="3"/>
  <c r="BG28" i="3"/>
  <c r="BV28" i="3"/>
  <c r="BH26" i="3"/>
  <c r="BG26" i="3"/>
  <c r="BZ26" i="3"/>
  <c r="AT26" i="3"/>
  <c r="AV26" i="3" s="1"/>
  <c r="BA26" i="3"/>
  <c r="BC26" i="3" s="1"/>
  <c r="BV26" i="3"/>
  <c r="BQ26" i="3"/>
  <c r="BW26" i="3"/>
  <c r="BY26" i="3"/>
  <c r="CA26" i="3" s="1"/>
  <c r="BM26" i="3"/>
  <c r="BR26" i="3"/>
  <c r="AU26" i="3"/>
  <c r="CB26" i="3"/>
  <c r="CD26" i="3" s="1"/>
  <c r="BB26" i="3"/>
  <c r="R26" i="3"/>
  <c r="AO26" i="3" s="1"/>
  <c r="BL26" i="3"/>
  <c r="CC26" i="3"/>
  <c r="R21" i="3"/>
  <c r="AO21" i="3" s="1"/>
  <c r="CB21" i="3"/>
  <c r="CD21" i="3" s="1"/>
  <c r="BQ21" i="3"/>
  <c r="BW21" i="3"/>
  <c r="CC21" i="3"/>
  <c r="BA21" i="3"/>
  <c r="BC21" i="3" s="1"/>
  <c r="BH21" i="3"/>
  <c r="BM21" i="3"/>
  <c r="BY21" i="3"/>
  <c r="CA21" i="3" s="1"/>
  <c r="AT21" i="3"/>
  <c r="AV21" i="3" s="1"/>
  <c r="BL21" i="3"/>
  <c r="BZ21" i="3"/>
  <c r="BR21" i="3"/>
  <c r="BG21" i="3"/>
  <c r="AU21" i="3"/>
  <c r="BV21" i="3"/>
  <c r="BB21" i="3"/>
  <c r="BM25" i="3"/>
  <c r="BW25" i="3"/>
  <c r="BA25" i="3"/>
  <c r="BC25" i="3" s="1"/>
  <c r="BH25" i="3"/>
  <c r="CB25" i="3"/>
  <c r="CD25" i="3" s="1"/>
  <c r="BQ25" i="3"/>
  <c r="BG25" i="3"/>
  <c r="R25" i="3"/>
  <c r="AO25" i="3" s="1"/>
  <c r="AT25" i="3"/>
  <c r="AV25" i="3" s="1"/>
  <c r="BZ25" i="3"/>
  <c r="AU25" i="3"/>
  <c r="BY25" i="3"/>
  <c r="CA25" i="3" s="1"/>
  <c r="CC25" i="3"/>
  <c r="BL25" i="3"/>
  <c r="BV25" i="3"/>
  <c r="BB25" i="3"/>
  <c r="BR25" i="3"/>
  <c r="BH29" i="3"/>
  <c r="BW29" i="3"/>
  <c r="BG29" i="3"/>
  <c r="BR29" i="3"/>
  <c r="BY29" i="3"/>
  <c r="CA29" i="3" s="1"/>
  <c r="BL29" i="3"/>
  <c r="CC29" i="3"/>
  <c r="BB29" i="3"/>
  <c r="R29" i="3"/>
  <c r="AO29" i="3" s="1"/>
  <c r="BQ29" i="3"/>
  <c r="BA29" i="3"/>
  <c r="BC29" i="3" s="1"/>
  <c r="BZ29" i="3"/>
  <c r="AT29" i="3"/>
  <c r="AV29" i="3" s="1"/>
  <c r="BM29" i="3"/>
  <c r="AU29" i="3"/>
  <c r="BV29" i="3"/>
  <c r="CB29" i="3"/>
  <c r="CD29" i="3" s="1"/>
  <c r="U13" i="1"/>
  <c r="AR13" i="1"/>
  <c r="W13" i="1"/>
  <c r="R13" i="1"/>
  <c r="S13" i="1"/>
  <c r="P13" i="1"/>
  <c r="N13" i="1"/>
  <c r="AG13" i="1" s="1"/>
  <c r="J13" i="1"/>
  <c r="K13" i="1"/>
  <c r="L13" i="1"/>
  <c r="AK13" i="1" l="1"/>
  <c r="AJ13" i="1"/>
  <c r="AI13" i="1"/>
  <c r="AM13" i="1"/>
  <c r="AL13" i="1"/>
  <c r="AH13" i="1"/>
  <c r="AN13" i="1"/>
  <c r="U5" i="1"/>
  <c r="AR5" i="1"/>
  <c r="W5" i="1"/>
  <c r="R5" i="1"/>
  <c r="S5" i="1"/>
  <c r="P5" i="1"/>
  <c r="N5" i="1"/>
  <c r="AN5" i="1" s="1"/>
  <c r="J5" i="1"/>
  <c r="K5" i="1"/>
  <c r="L5" i="1"/>
  <c r="AG5" i="1" l="1"/>
  <c r="AK5" i="1"/>
  <c r="AH5" i="1"/>
  <c r="AL5" i="1"/>
  <c r="AI5" i="1"/>
  <c r="AM5" i="1"/>
  <c r="AJ5" i="1"/>
  <c r="AR4" i="1" l="1"/>
  <c r="W4" i="1"/>
  <c r="U4" i="1"/>
  <c r="S4" i="1"/>
  <c r="R4" i="1"/>
  <c r="P4" i="1"/>
  <c r="N4" i="1"/>
  <c r="AN4" i="1" s="1"/>
  <c r="L4" i="1"/>
  <c r="K4" i="1"/>
  <c r="J4" i="1"/>
  <c r="AR16" i="1"/>
  <c r="W16" i="1"/>
  <c r="U16" i="1"/>
  <c r="S16" i="1"/>
  <c r="R16" i="1"/>
  <c r="P16" i="1"/>
  <c r="N16" i="1"/>
  <c r="AM16" i="1" s="1"/>
  <c r="L16" i="1"/>
  <c r="K16" i="1"/>
  <c r="J16" i="1"/>
  <c r="AR17" i="1"/>
  <c r="W17" i="1"/>
  <c r="U17" i="1"/>
  <c r="S17" i="1"/>
  <c r="R17" i="1"/>
  <c r="P17" i="1"/>
  <c r="N17" i="1"/>
  <c r="AN17" i="1" s="1"/>
  <c r="L17" i="1"/>
  <c r="K17" i="1"/>
  <c r="J17" i="1"/>
  <c r="AR14" i="1"/>
  <c r="W14" i="1"/>
  <c r="U14" i="1"/>
  <c r="S14" i="1"/>
  <c r="R14" i="1"/>
  <c r="P14" i="1"/>
  <c r="N14" i="1"/>
  <c r="AK14" i="1" s="1"/>
  <c r="L14" i="1"/>
  <c r="K14" i="1"/>
  <c r="J14" i="1"/>
  <c r="AG4" i="1" l="1"/>
  <c r="AK4" i="1"/>
  <c r="AH4" i="1"/>
  <c r="AL4" i="1"/>
  <c r="AI4" i="1"/>
  <c r="AM4" i="1"/>
  <c r="AJ4" i="1"/>
  <c r="AG16" i="1"/>
  <c r="AL16" i="1"/>
  <c r="AK16" i="1"/>
  <c r="AH16" i="1"/>
  <c r="AN16" i="1"/>
  <c r="AJ16" i="1"/>
  <c r="AI16" i="1"/>
  <c r="AG17" i="1"/>
  <c r="AK17" i="1"/>
  <c r="AH17" i="1"/>
  <c r="AL17" i="1"/>
  <c r="AI17" i="1"/>
  <c r="AM17" i="1"/>
  <c r="AJ17" i="1"/>
  <c r="AI14" i="1"/>
  <c r="AM14" i="1"/>
  <c r="AL14" i="1"/>
  <c r="AJ14" i="1"/>
  <c r="AN14" i="1"/>
  <c r="AH14" i="1"/>
  <c r="AG14" i="1"/>
  <c r="AR11" i="1"/>
  <c r="W11" i="1"/>
  <c r="U11" i="1"/>
  <c r="S11" i="1"/>
  <c r="R11" i="1"/>
  <c r="P11" i="1"/>
  <c r="N11" i="1"/>
  <c r="AK11" i="1" s="1"/>
  <c r="L11" i="1"/>
  <c r="K11" i="1"/>
  <c r="J11" i="1"/>
  <c r="AR7" i="1"/>
  <c r="W7" i="1"/>
  <c r="U7" i="1"/>
  <c r="S7" i="1"/>
  <c r="R7" i="1"/>
  <c r="P7" i="1"/>
  <c r="N7" i="1"/>
  <c r="AK7" i="1" s="1"/>
  <c r="L7" i="1"/>
  <c r="K7" i="1"/>
  <c r="J7" i="1"/>
  <c r="AR10" i="1"/>
  <c r="W10" i="1"/>
  <c r="U10" i="1"/>
  <c r="S10" i="1"/>
  <c r="R10" i="1"/>
  <c r="P10" i="1"/>
  <c r="N10" i="1"/>
  <c r="AL10" i="1" s="1"/>
  <c r="L10" i="1"/>
  <c r="K10" i="1"/>
  <c r="J10" i="1"/>
  <c r="AR8" i="1"/>
  <c r="W8" i="1"/>
  <c r="U8" i="1"/>
  <c r="S8" i="1"/>
  <c r="R8" i="1"/>
  <c r="P8" i="1"/>
  <c r="N8" i="1"/>
  <c r="L8" i="1"/>
  <c r="K8" i="1"/>
  <c r="J8" i="1"/>
  <c r="AR15" i="1"/>
  <c r="W15" i="1"/>
  <c r="U15" i="1"/>
  <c r="S15" i="1"/>
  <c r="R15" i="1"/>
  <c r="P15" i="1"/>
  <c r="N15" i="1"/>
  <c r="AN15" i="1" s="1"/>
  <c r="L15" i="1"/>
  <c r="K15" i="1"/>
  <c r="J15" i="1"/>
  <c r="AR9" i="1"/>
  <c r="W9" i="1"/>
  <c r="U9" i="1"/>
  <c r="S9" i="1"/>
  <c r="R9" i="1"/>
  <c r="P9" i="1"/>
  <c r="N9" i="1"/>
  <c r="AK9" i="1" s="1"/>
  <c r="L9" i="1"/>
  <c r="K9" i="1"/>
  <c r="J9" i="1"/>
  <c r="AR12" i="1"/>
  <c r="W12" i="1"/>
  <c r="U12" i="1"/>
  <c r="S12" i="1"/>
  <c r="R12" i="1"/>
  <c r="P12" i="1"/>
  <c r="AI12" i="1"/>
  <c r="L12" i="1"/>
  <c r="K12" i="1"/>
  <c r="J12" i="1"/>
  <c r="AH11" i="1" l="1"/>
  <c r="AL11" i="1"/>
  <c r="AI11" i="1"/>
  <c r="AM11" i="1"/>
  <c r="AJ11" i="1"/>
  <c r="AN11" i="1"/>
  <c r="AG11" i="1"/>
  <c r="AK10" i="1"/>
  <c r="AJ10" i="1"/>
  <c r="AI10" i="1"/>
  <c r="AJ15" i="1"/>
  <c r="AG15" i="1"/>
  <c r="AH15" i="1"/>
  <c r="AM12" i="1"/>
  <c r="AK15" i="1"/>
  <c r="AM10" i="1"/>
  <c r="AN7" i="1"/>
  <c r="AM7" i="1"/>
  <c r="AJ12" i="1"/>
  <c r="AG12" i="1"/>
  <c r="AN9" i="1"/>
  <c r="AL15" i="1"/>
  <c r="AK8" i="1"/>
  <c r="AM8" i="1"/>
  <c r="AJ7" i="1"/>
  <c r="AL7" i="1"/>
  <c r="AJ9" i="1"/>
  <c r="AJ8" i="1"/>
  <c r="AN8" i="1"/>
  <c r="AH9" i="1"/>
  <c r="AL9" i="1"/>
  <c r="AG8" i="1"/>
  <c r="AN10" i="1"/>
  <c r="AH7" i="1"/>
  <c r="AN12" i="1"/>
  <c r="AI9" i="1"/>
  <c r="AM9" i="1"/>
  <c r="AI15" i="1"/>
  <c r="AM15" i="1"/>
  <c r="AK12" i="1"/>
  <c r="AH8" i="1"/>
  <c r="AL8" i="1"/>
  <c r="AG10" i="1"/>
  <c r="AI7" i="1"/>
  <c r="AH12" i="1"/>
  <c r="AL12" i="1"/>
  <c r="AG9" i="1"/>
  <c r="AI8" i="1"/>
  <c r="AH10" i="1"/>
  <c r="AG7" i="1"/>
  <c r="AA24" i="1"/>
  <c r="AA23" i="1"/>
  <c r="AA22" i="1"/>
  <c r="AA21" i="1"/>
  <c r="AA20" i="1"/>
  <c r="AA19" i="1"/>
  <c r="AA18" i="1"/>
  <c r="AC24" i="1" l="1"/>
  <c r="AC23" i="1"/>
  <c r="AC19" i="1"/>
  <c r="AC18" i="1"/>
  <c r="Z24" i="1" l="1"/>
  <c r="Z23" i="1"/>
  <c r="Z22" i="1"/>
  <c r="Z20" i="1"/>
  <c r="Z19" i="1"/>
  <c r="Z18" i="1"/>
  <c r="AB20" i="1" l="1"/>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18" i="1"/>
  <c r="U19" i="1"/>
  <c r="U20" i="1"/>
  <c r="U21" i="1"/>
  <c r="U22" i="1"/>
  <c r="U23" i="1"/>
  <c r="U24" i="1"/>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6" i="5" l="1"/>
  <c r="G6" i="5"/>
  <c r="L6" i="5"/>
  <c r="M6" i="5"/>
  <c r="O6" i="5"/>
  <c r="Z6" i="5" s="1"/>
  <c r="P6" i="5"/>
  <c r="Q6" i="5"/>
  <c r="R6" i="5"/>
  <c r="S6" i="5"/>
  <c r="AE6" i="5" s="1"/>
  <c r="T6" i="5"/>
  <c r="U6" i="5"/>
  <c r="V6" i="5"/>
  <c r="W6" i="5"/>
  <c r="X6" i="5"/>
  <c r="Y6" i="5"/>
  <c r="AH6" i="5"/>
  <c r="AO6" i="5" l="1"/>
  <c r="AG6" i="5"/>
  <c r="AJ6" i="5"/>
  <c r="AL6" i="5"/>
  <c r="AI6" i="5"/>
  <c r="AD6" i="5"/>
  <c r="AF6" i="5"/>
  <c r="AM6" i="5"/>
  <c r="AA6" i="5"/>
  <c r="AQ6" i="5"/>
  <c r="AC6" i="5"/>
  <c r="AN6" i="5"/>
  <c r="AS6" i="5"/>
  <c r="AP6" i="5"/>
  <c r="AB6" i="5"/>
  <c r="AR6" i="5"/>
  <c r="AK6" i="5"/>
  <c r="Y24" i="1" l="1"/>
  <c r="Y23" i="1"/>
  <c r="Y22" i="1"/>
  <c r="Y21" i="1"/>
  <c r="I19" i="5" l="1"/>
  <c r="K19" i="5" s="1"/>
  <c r="L19" i="5"/>
  <c r="N19" i="5"/>
  <c r="Z19" i="5"/>
  <c r="AA19" i="5"/>
  <c r="AB19" i="5"/>
  <c r="AC19" i="5"/>
  <c r="AD19" i="5"/>
  <c r="AE19" i="5"/>
  <c r="AF19" i="5"/>
  <c r="AG19" i="5"/>
  <c r="AH19" i="5"/>
  <c r="AI19" i="5"/>
  <c r="AJ19" i="5"/>
  <c r="AK19" i="5"/>
  <c r="AL19" i="5"/>
  <c r="AM19" i="5"/>
  <c r="AN19" i="5"/>
  <c r="AO19" i="5"/>
  <c r="AP19" i="5"/>
  <c r="AQ19" i="5"/>
  <c r="AR19" i="5"/>
  <c r="AS19" i="5"/>
  <c r="I20" i="5"/>
  <c r="K20" i="5" s="1"/>
  <c r="L20" i="5"/>
  <c r="N20" i="5"/>
  <c r="Z20" i="5"/>
  <c r="AA20" i="5"/>
  <c r="AB20" i="5"/>
  <c r="AC20" i="5"/>
  <c r="AD20" i="5"/>
  <c r="AE20" i="5"/>
  <c r="AF20" i="5"/>
  <c r="AG20" i="5"/>
  <c r="AH20" i="5"/>
  <c r="AI20" i="5"/>
  <c r="AJ20" i="5"/>
  <c r="AK20" i="5"/>
  <c r="AL20" i="5"/>
  <c r="AM20" i="5"/>
  <c r="AN20" i="5"/>
  <c r="AO20" i="5"/>
  <c r="AP20" i="5"/>
  <c r="AQ20" i="5"/>
  <c r="AR20" i="5"/>
  <c r="AS20" i="5"/>
  <c r="I21" i="5"/>
  <c r="K21" i="5" s="1"/>
  <c r="L21" i="5"/>
  <c r="N21" i="5"/>
  <c r="Z21" i="5"/>
  <c r="AA21" i="5"/>
  <c r="AB21" i="5"/>
  <c r="AC21" i="5"/>
  <c r="AD21" i="5"/>
  <c r="AE21" i="5"/>
  <c r="AF21" i="5"/>
  <c r="AG21" i="5"/>
  <c r="AH21" i="5"/>
  <c r="AI21" i="5"/>
  <c r="AJ21" i="5"/>
  <c r="AK21" i="5"/>
  <c r="AL21" i="5"/>
  <c r="AM21" i="5"/>
  <c r="AN21" i="5"/>
  <c r="AO21" i="5"/>
  <c r="AP21" i="5"/>
  <c r="AQ21" i="5"/>
  <c r="AR21" i="5"/>
  <c r="AS21" i="5"/>
  <c r="I22" i="5"/>
  <c r="K22" i="5" s="1"/>
  <c r="L22" i="5"/>
  <c r="N22" i="5"/>
  <c r="Z22" i="5"/>
  <c r="AA22" i="5"/>
  <c r="AB22" i="5"/>
  <c r="AC22" i="5"/>
  <c r="AD22" i="5"/>
  <c r="AE22" i="5"/>
  <c r="AF22" i="5"/>
  <c r="AG22" i="5"/>
  <c r="AH22" i="5"/>
  <c r="AI22" i="5"/>
  <c r="AJ22" i="5"/>
  <c r="AK22" i="5"/>
  <c r="AL22" i="5"/>
  <c r="AM22" i="5"/>
  <c r="AN22" i="5"/>
  <c r="AO22" i="5"/>
  <c r="AP22" i="5"/>
  <c r="AQ22" i="5"/>
  <c r="AR22" i="5"/>
  <c r="AS22" i="5"/>
  <c r="I23" i="5"/>
  <c r="K23" i="5" s="1"/>
  <c r="L23" i="5"/>
  <c r="N23" i="5"/>
  <c r="Z23" i="5"/>
  <c r="AA23" i="5"/>
  <c r="AB23" i="5"/>
  <c r="AC23" i="5"/>
  <c r="AD23" i="5"/>
  <c r="AE23" i="5"/>
  <c r="AF23" i="5"/>
  <c r="AG23" i="5"/>
  <c r="AH23" i="5"/>
  <c r="AI23" i="5"/>
  <c r="AJ23" i="5"/>
  <c r="AK23" i="5"/>
  <c r="AL23" i="5"/>
  <c r="AM23" i="5"/>
  <c r="AN23" i="5"/>
  <c r="AO23" i="5"/>
  <c r="AP23" i="5"/>
  <c r="AQ23" i="5"/>
  <c r="AR23" i="5"/>
  <c r="AS23" i="5"/>
  <c r="I24" i="5"/>
  <c r="K24" i="5" s="1"/>
  <c r="L24" i="5"/>
  <c r="N24" i="5"/>
  <c r="Z24" i="5"/>
  <c r="AA24" i="5"/>
  <c r="AB24" i="5"/>
  <c r="AC24" i="5"/>
  <c r="AD24" i="5"/>
  <c r="AE24" i="5"/>
  <c r="AF24" i="5"/>
  <c r="AG24" i="5"/>
  <c r="AH24" i="5"/>
  <c r="AI24" i="5"/>
  <c r="AJ24" i="5"/>
  <c r="AK24" i="5"/>
  <c r="AL24" i="5"/>
  <c r="AM24" i="5"/>
  <c r="AN24" i="5"/>
  <c r="AO24" i="5"/>
  <c r="AP24" i="5"/>
  <c r="AQ24" i="5"/>
  <c r="AR24" i="5"/>
  <c r="AS24" i="5"/>
  <c r="I25" i="5"/>
  <c r="K25" i="5" s="1"/>
  <c r="L25" i="5"/>
  <c r="N25" i="5"/>
  <c r="Z25" i="5"/>
  <c r="AA25" i="5"/>
  <c r="AB25" i="5"/>
  <c r="AC25" i="5"/>
  <c r="AD25" i="5"/>
  <c r="AE25" i="5"/>
  <c r="AF25" i="5"/>
  <c r="AG25" i="5"/>
  <c r="AH25" i="5"/>
  <c r="AI25" i="5"/>
  <c r="AJ25" i="5"/>
  <c r="AK25" i="5"/>
  <c r="AL25" i="5"/>
  <c r="AM25" i="5"/>
  <c r="AN25" i="5"/>
  <c r="AO25" i="5"/>
  <c r="AP25" i="5"/>
  <c r="AQ25" i="5"/>
  <c r="AR25" i="5"/>
  <c r="AS25" i="5"/>
  <c r="I26" i="5"/>
  <c r="K26" i="5" s="1"/>
  <c r="L26" i="5"/>
  <c r="N26" i="5"/>
  <c r="Z26" i="5"/>
  <c r="AA26" i="5"/>
  <c r="AB26" i="5"/>
  <c r="AC26" i="5"/>
  <c r="AD26" i="5"/>
  <c r="AE26" i="5"/>
  <c r="AF26" i="5"/>
  <c r="AG26" i="5"/>
  <c r="AH26" i="5"/>
  <c r="AI26" i="5"/>
  <c r="AJ26" i="5"/>
  <c r="AK26" i="5"/>
  <c r="AL26" i="5"/>
  <c r="AM26" i="5"/>
  <c r="AN26" i="5"/>
  <c r="AO26" i="5"/>
  <c r="AP26" i="5"/>
  <c r="AQ26" i="5"/>
  <c r="AR26" i="5"/>
  <c r="AS26" i="5"/>
  <c r="I27" i="5"/>
  <c r="K27" i="5" s="1"/>
  <c r="L27" i="5"/>
  <c r="N27" i="5"/>
  <c r="Z27" i="5"/>
  <c r="AA27" i="5"/>
  <c r="AB27" i="5"/>
  <c r="AC27" i="5"/>
  <c r="AD27" i="5"/>
  <c r="AE27" i="5"/>
  <c r="AF27" i="5"/>
  <c r="AG27" i="5"/>
  <c r="AH27" i="5"/>
  <c r="AI27" i="5"/>
  <c r="AJ27" i="5"/>
  <c r="AK27" i="5"/>
  <c r="AL27" i="5"/>
  <c r="AM27" i="5"/>
  <c r="AN27" i="5"/>
  <c r="AO27" i="5"/>
  <c r="AP27" i="5"/>
  <c r="AQ27" i="5"/>
  <c r="AR27" i="5"/>
  <c r="AS27" i="5"/>
  <c r="I28" i="5"/>
  <c r="K28" i="5" s="1"/>
  <c r="L28" i="5"/>
  <c r="N28" i="5"/>
  <c r="Z28" i="5"/>
  <c r="AA28" i="5"/>
  <c r="AB28" i="5"/>
  <c r="AC28" i="5"/>
  <c r="AD28" i="5"/>
  <c r="AE28" i="5"/>
  <c r="AF28" i="5"/>
  <c r="AG28" i="5"/>
  <c r="AH28" i="5"/>
  <c r="AI28" i="5"/>
  <c r="AJ28" i="5"/>
  <c r="AK28" i="5"/>
  <c r="AL28" i="5"/>
  <c r="AM28" i="5"/>
  <c r="AN28" i="5"/>
  <c r="AO28" i="5"/>
  <c r="AP28" i="5"/>
  <c r="AQ28" i="5"/>
  <c r="AR28" i="5"/>
  <c r="AS28" i="5"/>
  <c r="I29" i="5"/>
  <c r="K29" i="5" s="1"/>
  <c r="L29" i="5"/>
  <c r="N29" i="5"/>
  <c r="Z29" i="5"/>
  <c r="AA29" i="5"/>
  <c r="AB29" i="5"/>
  <c r="AC29" i="5"/>
  <c r="AD29" i="5"/>
  <c r="AE29" i="5"/>
  <c r="AF29" i="5"/>
  <c r="AG29" i="5"/>
  <c r="AH29" i="5"/>
  <c r="AI29" i="5"/>
  <c r="AJ29" i="5"/>
  <c r="AK29" i="5"/>
  <c r="AL29" i="5"/>
  <c r="AM29" i="5"/>
  <c r="AN29" i="5"/>
  <c r="AO29" i="5"/>
  <c r="AP29" i="5"/>
  <c r="AQ29" i="5"/>
  <c r="AR29" i="5"/>
  <c r="AS29" i="5"/>
  <c r="I30" i="5"/>
  <c r="K30" i="5" s="1"/>
  <c r="L30" i="5"/>
  <c r="N30" i="5"/>
  <c r="Z30" i="5"/>
  <c r="AA30" i="5"/>
  <c r="AB30" i="5"/>
  <c r="AC30" i="5"/>
  <c r="AD30" i="5"/>
  <c r="AE30" i="5"/>
  <c r="AF30" i="5"/>
  <c r="AG30" i="5"/>
  <c r="AH30" i="5"/>
  <c r="AI30" i="5"/>
  <c r="AJ30" i="5"/>
  <c r="AK30" i="5"/>
  <c r="AL30" i="5"/>
  <c r="AM30" i="5"/>
  <c r="AN30" i="5"/>
  <c r="AO30" i="5"/>
  <c r="AP30" i="5"/>
  <c r="AQ30" i="5"/>
  <c r="AR30" i="5"/>
  <c r="AS30" i="5"/>
  <c r="I31" i="5"/>
  <c r="K31" i="5" s="1"/>
  <c r="L31" i="5"/>
  <c r="N31" i="5"/>
  <c r="Z31" i="5"/>
  <c r="AA31" i="5"/>
  <c r="AB31" i="5"/>
  <c r="AC31" i="5"/>
  <c r="AD31" i="5"/>
  <c r="AE31" i="5"/>
  <c r="AF31" i="5"/>
  <c r="AG31" i="5"/>
  <c r="AH31" i="5"/>
  <c r="AI31" i="5"/>
  <c r="AJ31" i="5"/>
  <c r="AK31" i="5"/>
  <c r="AL31" i="5"/>
  <c r="AM31" i="5"/>
  <c r="AN31" i="5"/>
  <c r="AO31" i="5"/>
  <c r="AP31" i="5"/>
  <c r="AQ31" i="5"/>
  <c r="AR31" i="5"/>
  <c r="AS31" i="5"/>
  <c r="I32" i="5"/>
  <c r="K32" i="5" s="1"/>
  <c r="L32" i="5"/>
  <c r="N32" i="5"/>
  <c r="Z32" i="5"/>
  <c r="AA32" i="5"/>
  <c r="AB32" i="5"/>
  <c r="AC32" i="5"/>
  <c r="AD32" i="5"/>
  <c r="AE32" i="5"/>
  <c r="AF32" i="5"/>
  <c r="AG32" i="5"/>
  <c r="AH32" i="5"/>
  <c r="AI32" i="5"/>
  <c r="AJ32" i="5"/>
  <c r="AK32" i="5"/>
  <c r="AL32" i="5"/>
  <c r="AM32" i="5"/>
  <c r="AN32" i="5"/>
  <c r="AO32" i="5"/>
  <c r="AP32" i="5"/>
  <c r="AQ32" i="5"/>
  <c r="AR32" i="5"/>
  <c r="AS32" i="5"/>
  <c r="I33" i="5"/>
  <c r="K33" i="5" s="1"/>
  <c r="L33" i="5"/>
  <c r="N33" i="5"/>
  <c r="Z33" i="5"/>
  <c r="AA33" i="5"/>
  <c r="AB33" i="5"/>
  <c r="AC33" i="5"/>
  <c r="AD33" i="5"/>
  <c r="AE33" i="5"/>
  <c r="AF33" i="5"/>
  <c r="AG33" i="5"/>
  <c r="AH33" i="5"/>
  <c r="AI33" i="5"/>
  <c r="AJ33" i="5"/>
  <c r="AK33" i="5"/>
  <c r="AL33" i="5"/>
  <c r="AM33" i="5"/>
  <c r="AN33" i="5"/>
  <c r="AO33" i="5"/>
  <c r="AP33" i="5"/>
  <c r="AQ33" i="5"/>
  <c r="AR33" i="5"/>
  <c r="AS33" i="5"/>
  <c r="I34" i="5"/>
  <c r="K34" i="5" s="1"/>
  <c r="L34" i="5"/>
  <c r="N34" i="5"/>
  <c r="Z34" i="5"/>
  <c r="AA34" i="5"/>
  <c r="AB34" i="5"/>
  <c r="AC34" i="5"/>
  <c r="AD34" i="5"/>
  <c r="AE34" i="5"/>
  <c r="AF34" i="5"/>
  <c r="AG34" i="5"/>
  <c r="AH34" i="5"/>
  <c r="AI34" i="5"/>
  <c r="AJ34" i="5"/>
  <c r="AK34" i="5"/>
  <c r="AL34" i="5"/>
  <c r="AM34" i="5"/>
  <c r="AN34" i="5"/>
  <c r="AO34" i="5"/>
  <c r="AP34" i="5"/>
  <c r="AQ34" i="5"/>
  <c r="AR34" i="5"/>
  <c r="AS34" i="5"/>
  <c r="I35" i="5"/>
  <c r="K35" i="5" s="1"/>
  <c r="L35" i="5"/>
  <c r="N35" i="5"/>
  <c r="Z35" i="5"/>
  <c r="AA35" i="5"/>
  <c r="AB35" i="5"/>
  <c r="AC35" i="5"/>
  <c r="AD35" i="5"/>
  <c r="AE35" i="5"/>
  <c r="AF35" i="5"/>
  <c r="AG35" i="5"/>
  <c r="AH35" i="5"/>
  <c r="AI35" i="5"/>
  <c r="AJ35" i="5"/>
  <c r="AK35" i="5"/>
  <c r="AL35" i="5"/>
  <c r="AM35" i="5"/>
  <c r="AN35" i="5"/>
  <c r="AO35" i="5"/>
  <c r="AP35" i="5"/>
  <c r="AQ35" i="5"/>
  <c r="AR35" i="5"/>
  <c r="AS35" i="5"/>
  <c r="I36" i="5"/>
  <c r="K36" i="5" s="1"/>
  <c r="L36" i="5"/>
  <c r="N36" i="5"/>
  <c r="Z36" i="5"/>
  <c r="AA36" i="5"/>
  <c r="AB36" i="5"/>
  <c r="AC36" i="5"/>
  <c r="AD36" i="5"/>
  <c r="AE36" i="5"/>
  <c r="AF36" i="5"/>
  <c r="AG36" i="5"/>
  <c r="AH36" i="5"/>
  <c r="AI36" i="5"/>
  <c r="AJ36" i="5"/>
  <c r="AK36" i="5"/>
  <c r="AL36" i="5"/>
  <c r="AM36" i="5"/>
  <c r="AN36" i="5"/>
  <c r="AO36" i="5"/>
  <c r="AP36" i="5"/>
  <c r="AQ36" i="5"/>
  <c r="AR36" i="5"/>
  <c r="AS36" i="5"/>
  <c r="I37" i="5"/>
  <c r="K37" i="5" s="1"/>
  <c r="L37" i="5"/>
  <c r="N37" i="5"/>
  <c r="Z37" i="5"/>
  <c r="AA37" i="5"/>
  <c r="AB37" i="5"/>
  <c r="AC37" i="5"/>
  <c r="AD37" i="5"/>
  <c r="AE37" i="5"/>
  <c r="AF37" i="5"/>
  <c r="AG37" i="5"/>
  <c r="AH37" i="5"/>
  <c r="AI37" i="5"/>
  <c r="AJ37" i="5"/>
  <c r="AK37" i="5"/>
  <c r="AL37" i="5"/>
  <c r="AM37" i="5"/>
  <c r="AN37" i="5"/>
  <c r="AO37" i="5"/>
  <c r="AP37" i="5"/>
  <c r="AQ37" i="5"/>
  <c r="AR37" i="5"/>
  <c r="AS37" i="5"/>
  <c r="I38" i="5"/>
  <c r="K38" i="5" s="1"/>
  <c r="L38" i="5"/>
  <c r="N38" i="5"/>
  <c r="Z38" i="5"/>
  <c r="AA38" i="5"/>
  <c r="AB38" i="5"/>
  <c r="AC38" i="5"/>
  <c r="AD38" i="5"/>
  <c r="AE38" i="5"/>
  <c r="AF38" i="5"/>
  <c r="AG38" i="5"/>
  <c r="AH38" i="5"/>
  <c r="AI38" i="5"/>
  <c r="AJ38" i="5"/>
  <c r="AK38" i="5"/>
  <c r="AL38" i="5"/>
  <c r="AM38" i="5"/>
  <c r="AN38" i="5"/>
  <c r="AO38" i="5"/>
  <c r="AP38" i="5"/>
  <c r="AQ38" i="5"/>
  <c r="AR38" i="5"/>
  <c r="AS38" i="5"/>
  <c r="I39" i="5"/>
  <c r="K39" i="5" s="1"/>
  <c r="L39" i="5"/>
  <c r="N39" i="5"/>
  <c r="Z39" i="5"/>
  <c r="AA39" i="5"/>
  <c r="AB39" i="5"/>
  <c r="AC39" i="5"/>
  <c r="AD39" i="5"/>
  <c r="AE39" i="5"/>
  <c r="AF39" i="5"/>
  <c r="AG39" i="5"/>
  <c r="AH39" i="5"/>
  <c r="AI39" i="5"/>
  <c r="AJ39" i="5"/>
  <c r="AK39" i="5"/>
  <c r="AL39" i="5"/>
  <c r="AM39" i="5"/>
  <c r="AN39" i="5"/>
  <c r="AO39" i="5"/>
  <c r="AP39" i="5"/>
  <c r="AQ39" i="5"/>
  <c r="AR39" i="5"/>
  <c r="AS39" i="5"/>
  <c r="I40" i="5"/>
  <c r="K40" i="5" s="1"/>
  <c r="L40" i="5"/>
  <c r="N40" i="5"/>
  <c r="Z40" i="5"/>
  <c r="AA40" i="5"/>
  <c r="AB40" i="5"/>
  <c r="AC40" i="5"/>
  <c r="AD40" i="5"/>
  <c r="AE40" i="5"/>
  <c r="AF40" i="5"/>
  <c r="AG40" i="5"/>
  <c r="AH40" i="5"/>
  <c r="AI40" i="5"/>
  <c r="AJ40" i="5"/>
  <c r="AK40" i="5"/>
  <c r="AL40" i="5"/>
  <c r="AM40" i="5"/>
  <c r="AN40" i="5"/>
  <c r="AO40" i="5"/>
  <c r="AP40" i="5"/>
  <c r="AQ40" i="5"/>
  <c r="AR40" i="5"/>
  <c r="AS40" i="5"/>
  <c r="I41" i="5"/>
  <c r="K41" i="5" s="1"/>
  <c r="L41" i="5"/>
  <c r="N41" i="5"/>
  <c r="Z41" i="5"/>
  <c r="AA41" i="5"/>
  <c r="AB41" i="5"/>
  <c r="AC41" i="5"/>
  <c r="AD41" i="5"/>
  <c r="AE41" i="5"/>
  <c r="AF41" i="5"/>
  <c r="AG41" i="5"/>
  <c r="AH41" i="5"/>
  <c r="AI41" i="5"/>
  <c r="AJ41" i="5"/>
  <c r="AK41" i="5"/>
  <c r="AL41" i="5"/>
  <c r="AM41" i="5"/>
  <c r="AN41" i="5"/>
  <c r="AO41" i="5"/>
  <c r="AP41" i="5"/>
  <c r="AQ41" i="5"/>
  <c r="AR41" i="5"/>
  <c r="AS41" i="5"/>
  <c r="I42" i="5"/>
  <c r="K42" i="5" s="1"/>
  <c r="L42" i="5"/>
  <c r="N42" i="5"/>
  <c r="Z42" i="5"/>
  <c r="AA42" i="5"/>
  <c r="AB42" i="5"/>
  <c r="AC42" i="5"/>
  <c r="AD42" i="5"/>
  <c r="AE42" i="5"/>
  <c r="AF42" i="5"/>
  <c r="AG42" i="5"/>
  <c r="AH42" i="5"/>
  <c r="AI42" i="5"/>
  <c r="AJ42" i="5"/>
  <c r="AK42" i="5"/>
  <c r="AL42" i="5"/>
  <c r="AM42" i="5"/>
  <c r="AN42" i="5"/>
  <c r="AO42" i="5"/>
  <c r="AP42" i="5"/>
  <c r="AQ42" i="5"/>
  <c r="AR42" i="5"/>
  <c r="AS42" i="5"/>
  <c r="I43" i="5"/>
  <c r="K43" i="5" s="1"/>
  <c r="L43" i="5"/>
  <c r="N43" i="5"/>
  <c r="Z43" i="5"/>
  <c r="AA43" i="5"/>
  <c r="AB43" i="5"/>
  <c r="AC43" i="5"/>
  <c r="AD43" i="5"/>
  <c r="AE43" i="5"/>
  <c r="AF43" i="5"/>
  <c r="AG43" i="5"/>
  <c r="AH43" i="5"/>
  <c r="AI43" i="5"/>
  <c r="AJ43" i="5"/>
  <c r="AK43" i="5"/>
  <c r="AL43" i="5"/>
  <c r="AM43" i="5"/>
  <c r="AN43" i="5"/>
  <c r="AO43" i="5"/>
  <c r="AP43" i="5"/>
  <c r="AQ43" i="5"/>
  <c r="AR43" i="5"/>
  <c r="AS43" i="5"/>
  <c r="I44" i="5"/>
  <c r="K44" i="5" s="1"/>
  <c r="L44" i="5"/>
  <c r="N44" i="5"/>
  <c r="Z44" i="5"/>
  <c r="AA44" i="5"/>
  <c r="AB44" i="5"/>
  <c r="AC44" i="5"/>
  <c r="AD44" i="5"/>
  <c r="AE44" i="5"/>
  <c r="AF44" i="5"/>
  <c r="AG44" i="5"/>
  <c r="AH44" i="5"/>
  <c r="AI44" i="5"/>
  <c r="AJ44" i="5"/>
  <c r="AK44" i="5"/>
  <c r="AL44" i="5"/>
  <c r="AM44" i="5"/>
  <c r="AN44" i="5"/>
  <c r="AO44" i="5"/>
  <c r="AP44" i="5"/>
  <c r="AQ44" i="5"/>
  <c r="AR44" i="5"/>
  <c r="AS44" i="5"/>
  <c r="I45" i="5"/>
  <c r="K45" i="5" s="1"/>
  <c r="L45" i="5"/>
  <c r="N45" i="5"/>
  <c r="Z45" i="5"/>
  <c r="AA45" i="5"/>
  <c r="AB45" i="5"/>
  <c r="AC45" i="5"/>
  <c r="AD45" i="5"/>
  <c r="AE45" i="5"/>
  <c r="AF45" i="5"/>
  <c r="AG45" i="5"/>
  <c r="AH45" i="5"/>
  <c r="AI45" i="5"/>
  <c r="AJ45" i="5"/>
  <c r="AK45" i="5"/>
  <c r="AL45" i="5"/>
  <c r="AM45" i="5"/>
  <c r="AN45" i="5"/>
  <c r="AO45" i="5"/>
  <c r="AP45" i="5"/>
  <c r="AQ45" i="5"/>
  <c r="AR45" i="5"/>
  <c r="AS45" i="5"/>
  <c r="I46" i="5"/>
  <c r="K46" i="5" s="1"/>
  <c r="L46" i="5"/>
  <c r="N46" i="5"/>
  <c r="Z46" i="5"/>
  <c r="AA46" i="5"/>
  <c r="AB46" i="5"/>
  <c r="AC46" i="5"/>
  <c r="AD46" i="5"/>
  <c r="AE46" i="5"/>
  <c r="AF46" i="5"/>
  <c r="AG46" i="5"/>
  <c r="AH46" i="5"/>
  <c r="AI46" i="5"/>
  <c r="AJ46" i="5"/>
  <c r="AK46" i="5"/>
  <c r="AL46" i="5"/>
  <c r="AM46" i="5"/>
  <c r="AN46" i="5"/>
  <c r="AO46" i="5"/>
  <c r="AP46" i="5"/>
  <c r="AQ46" i="5"/>
  <c r="AR46" i="5"/>
  <c r="AS46" i="5"/>
  <c r="I47" i="5"/>
  <c r="K47" i="5" s="1"/>
  <c r="L47" i="5"/>
  <c r="N47" i="5"/>
  <c r="Z47" i="5"/>
  <c r="AA47" i="5"/>
  <c r="AB47" i="5"/>
  <c r="AC47" i="5"/>
  <c r="AD47" i="5"/>
  <c r="AE47" i="5"/>
  <c r="AF47" i="5"/>
  <c r="AG47" i="5"/>
  <c r="AH47" i="5"/>
  <c r="AI47" i="5"/>
  <c r="AJ47" i="5"/>
  <c r="AK47" i="5"/>
  <c r="AL47" i="5"/>
  <c r="AM47" i="5"/>
  <c r="AN47" i="5"/>
  <c r="AO47" i="5"/>
  <c r="AP47" i="5"/>
  <c r="AQ47" i="5"/>
  <c r="AR47" i="5"/>
  <c r="AS47" i="5"/>
  <c r="I48" i="5"/>
  <c r="K48" i="5" s="1"/>
  <c r="L48" i="5"/>
  <c r="N48" i="5"/>
  <c r="Z48" i="5"/>
  <c r="AA48" i="5"/>
  <c r="AB48" i="5"/>
  <c r="AC48" i="5"/>
  <c r="AD48" i="5"/>
  <c r="AE48" i="5"/>
  <c r="AF48" i="5"/>
  <c r="AG48" i="5"/>
  <c r="AH48" i="5"/>
  <c r="AI48" i="5"/>
  <c r="AJ48" i="5"/>
  <c r="AK48" i="5"/>
  <c r="AL48" i="5"/>
  <c r="AM48" i="5"/>
  <c r="AN48" i="5"/>
  <c r="AO48" i="5"/>
  <c r="AP48" i="5"/>
  <c r="AQ48" i="5"/>
  <c r="AR48" i="5"/>
  <c r="AS48" i="5"/>
  <c r="I49" i="5"/>
  <c r="K49" i="5" s="1"/>
  <c r="L49" i="5"/>
  <c r="N49" i="5"/>
  <c r="Z49" i="5"/>
  <c r="AA49" i="5"/>
  <c r="AB49" i="5"/>
  <c r="AC49" i="5"/>
  <c r="AD49" i="5"/>
  <c r="AE49" i="5"/>
  <c r="AF49" i="5"/>
  <c r="AG49" i="5"/>
  <c r="AH49" i="5"/>
  <c r="AI49" i="5"/>
  <c r="AJ49" i="5"/>
  <c r="AK49" i="5"/>
  <c r="AL49" i="5"/>
  <c r="AM49" i="5"/>
  <c r="AN49" i="5"/>
  <c r="AO49" i="5"/>
  <c r="AP49" i="5"/>
  <c r="AQ49" i="5"/>
  <c r="AR49" i="5"/>
  <c r="AS49" i="5"/>
  <c r="I50" i="5"/>
  <c r="K50" i="5" s="1"/>
  <c r="L50" i="5"/>
  <c r="N50" i="5"/>
  <c r="Z50" i="5"/>
  <c r="AA50" i="5"/>
  <c r="AB50" i="5"/>
  <c r="AC50" i="5"/>
  <c r="AD50" i="5"/>
  <c r="AE50" i="5"/>
  <c r="AF50" i="5"/>
  <c r="AG50" i="5"/>
  <c r="AH50" i="5"/>
  <c r="AI50" i="5"/>
  <c r="AJ50" i="5"/>
  <c r="AK50" i="5"/>
  <c r="AL50" i="5"/>
  <c r="AM50" i="5"/>
  <c r="AN50" i="5"/>
  <c r="AO50" i="5"/>
  <c r="AP50" i="5"/>
  <c r="AQ50" i="5"/>
  <c r="AR50" i="5"/>
  <c r="AS50" i="5"/>
  <c r="I51" i="5"/>
  <c r="K51" i="5" s="1"/>
  <c r="L51" i="5"/>
  <c r="N51" i="5"/>
  <c r="Z51" i="5"/>
  <c r="AA51" i="5"/>
  <c r="AB51" i="5"/>
  <c r="AC51" i="5"/>
  <c r="AD51" i="5"/>
  <c r="AE51" i="5"/>
  <c r="AF51" i="5"/>
  <c r="AG51" i="5"/>
  <c r="AH51" i="5"/>
  <c r="AI51" i="5"/>
  <c r="AJ51" i="5"/>
  <c r="AK51" i="5"/>
  <c r="AL51" i="5"/>
  <c r="AM51" i="5"/>
  <c r="AN51" i="5"/>
  <c r="AO51" i="5"/>
  <c r="AP51" i="5"/>
  <c r="AQ51" i="5"/>
  <c r="AR51" i="5"/>
  <c r="AS51" i="5"/>
  <c r="I52" i="5"/>
  <c r="K52" i="5" s="1"/>
  <c r="L52" i="5"/>
  <c r="N52" i="5"/>
  <c r="Z52" i="5"/>
  <c r="AA52" i="5"/>
  <c r="AB52" i="5"/>
  <c r="AC52" i="5"/>
  <c r="AD52" i="5"/>
  <c r="AE52" i="5"/>
  <c r="AF52" i="5"/>
  <c r="AG52" i="5"/>
  <c r="AH52" i="5"/>
  <c r="AI52" i="5"/>
  <c r="AJ52" i="5"/>
  <c r="AK52" i="5"/>
  <c r="AL52" i="5"/>
  <c r="AM52" i="5"/>
  <c r="AN52" i="5"/>
  <c r="AO52" i="5"/>
  <c r="AP52" i="5"/>
  <c r="AQ52" i="5"/>
  <c r="AR52" i="5"/>
  <c r="AS52" i="5"/>
  <c r="I53" i="5"/>
  <c r="K53" i="5" s="1"/>
  <c r="L53" i="5"/>
  <c r="N53" i="5"/>
  <c r="Z53" i="5"/>
  <c r="AA53" i="5"/>
  <c r="AB53" i="5"/>
  <c r="AC53" i="5"/>
  <c r="AD53" i="5"/>
  <c r="AE53" i="5"/>
  <c r="AF53" i="5"/>
  <c r="AG53" i="5"/>
  <c r="AH53" i="5"/>
  <c r="AI53" i="5"/>
  <c r="AJ53" i="5"/>
  <c r="AK53" i="5"/>
  <c r="AL53" i="5"/>
  <c r="AM53" i="5"/>
  <c r="AN53" i="5"/>
  <c r="AO53" i="5"/>
  <c r="AP53" i="5"/>
  <c r="AQ53" i="5"/>
  <c r="AR53" i="5"/>
  <c r="AS53" i="5"/>
  <c r="I54" i="5"/>
  <c r="K54" i="5" s="1"/>
  <c r="L54" i="5"/>
  <c r="N54" i="5"/>
  <c r="Z54" i="5"/>
  <c r="AA54" i="5"/>
  <c r="AB54" i="5"/>
  <c r="AC54" i="5"/>
  <c r="AD54" i="5"/>
  <c r="AE54" i="5"/>
  <c r="AF54" i="5"/>
  <c r="AG54" i="5"/>
  <c r="AH54" i="5"/>
  <c r="AI54" i="5"/>
  <c r="AJ54" i="5"/>
  <c r="AK54" i="5"/>
  <c r="AL54" i="5"/>
  <c r="AM54" i="5"/>
  <c r="AN54" i="5"/>
  <c r="AO54" i="5"/>
  <c r="AP54" i="5"/>
  <c r="AQ54" i="5"/>
  <c r="AR54" i="5"/>
  <c r="AS54" i="5"/>
  <c r="I55" i="5"/>
  <c r="K55" i="5" s="1"/>
  <c r="L55" i="5"/>
  <c r="N55" i="5"/>
  <c r="Z55" i="5"/>
  <c r="AA55" i="5"/>
  <c r="AB55" i="5"/>
  <c r="AC55" i="5"/>
  <c r="AD55" i="5"/>
  <c r="AE55" i="5"/>
  <c r="AF55" i="5"/>
  <c r="AG55" i="5"/>
  <c r="AH55" i="5"/>
  <c r="AI55" i="5"/>
  <c r="AJ55" i="5"/>
  <c r="AK55" i="5"/>
  <c r="AL55" i="5"/>
  <c r="AM55" i="5"/>
  <c r="AN55" i="5"/>
  <c r="AO55" i="5"/>
  <c r="AP55" i="5"/>
  <c r="AQ55" i="5"/>
  <c r="AR55" i="5"/>
  <c r="AS55" i="5"/>
  <c r="I56" i="5"/>
  <c r="K56" i="5" s="1"/>
  <c r="L56" i="5"/>
  <c r="N56" i="5"/>
  <c r="Z56" i="5"/>
  <c r="AA56" i="5"/>
  <c r="AB56" i="5"/>
  <c r="AC56" i="5"/>
  <c r="AD56" i="5"/>
  <c r="AE56" i="5"/>
  <c r="AF56" i="5"/>
  <c r="AG56" i="5"/>
  <c r="AH56" i="5"/>
  <c r="AI56" i="5"/>
  <c r="AJ56" i="5"/>
  <c r="AK56" i="5"/>
  <c r="AL56" i="5"/>
  <c r="AM56" i="5"/>
  <c r="AN56" i="5"/>
  <c r="AO56" i="5"/>
  <c r="AP56" i="5"/>
  <c r="AQ56" i="5"/>
  <c r="AR56" i="5"/>
  <c r="AS56" i="5"/>
  <c r="I57" i="5"/>
  <c r="K57" i="5" s="1"/>
  <c r="L57" i="5"/>
  <c r="N57" i="5"/>
  <c r="Z57" i="5"/>
  <c r="AA57" i="5"/>
  <c r="AB57" i="5"/>
  <c r="AC57" i="5"/>
  <c r="AD57" i="5"/>
  <c r="AE57" i="5"/>
  <c r="AF57" i="5"/>
  <c r="AG57" i="5"/>
  <c r="AH57" i="5"/>
  <c r="AI57" i="5"/>
  <c r="AJ57" i="5"/>
  <c r="AK57" i="5"/>
  <c r="AL57" i="5"/>
  <c r="AM57" i="5"/>
  <c r="AN57" i="5"/>
  <c r="AO57" i="5"/>
  <c r="AP57" i="5"/>
  <c r="AQ57" i="5"/>
  <c r="AR57" i="5"/>
  <c r="AS57" i="5"/>
  <c r="I58" i="5"/>
  <c r="K58" i="5" s="1"/>
  <c r="L58" i="5"/>
  <c r="N58" i="5"/>
  <c r="Z58" i="5"/>
  <c r="AA58" i="5"/>
  <c r="AB58" i="5"/>
  <c r="AC58" i="5"/>
  <c r="AD58" i="5"/>
  <c r="AE58" i="5"/>
  <c r="AF58" i="5"/>
  <c r="AG58" i="5"/>
  <c r="AH58" i="5"/>
  <c r="AI58" i="5"/>
  <c r="AJ58" i="5"/>
  <c r="AK58" i="5"/>
  <c r="AL58" i="5"/>
  <c r="AM58" i="5"/>
  <c r="AN58" i="5"/>
  <c r="AO58" i="5"/>
  <c r="AP58" i="5"/>
  <c r="AQ58" i="5"/>
  <c r="AR58" i="5"/>
  <c r="AS58" i="5"/>
  <c r="I59" i="5"/>
  <c r="K59" i="5" s="1"/>
  <c r="L59" i="5"/>
  <c r="N59" i="5"/>
  <c r="Z59" i="5"/>
  <c r="AA59" i="5"/>
  <c r="AB59" i="5"/>
  <c r="AC59" i="5"/>
  <c r="AD59" i="5"/>
  <c r="AE59" i="5"/>
  <c r="AF59" i="5"/>
  <c r="AG59" i="5"/>
  <c r="AH59" i="5"/>
  <c r="AI59" i="5"/>
  <c r="AJ59" i="5"/>
  <c r="AK59" i="5"/>
  <c r="AL59" i="5"/>
  <c r="AM59" i="5"/>
  <c r="AN59" i="5"/>
  <c r="AO59" i="5"/>
  <c r="AP59" i="5"/>
  <c r="AQ59" i="5"/>
  <c r="AR59" i="5"/>
  <c r="AS59" i="5"/>
  <c r="I60" i="5"/>
  <c r="K60" i="5" s="1"/>
  <c r="L60" i="5"/>
  <c r="N60" i="5"/>
  <c r="Z60" i="5"/>
  <c r="AA60" i="5"/>
  <c r="AB60" i="5"/>
  <c r="AC60" i="5"/>
  <c r="AD60" i="5"/>
  <c r="AE60" i="5"/>
  <c r="AF60" i="5"/>
  <c r="AG60" i="5"/>
  <c r="AH60" i="5"/>
  <c r="AI60" i="5"/>
  <c r="AJ60" i="5"/>
  <c r="AK60" i="5"/>
  <c r="AL60" i="5"/>
  <c r="AM60" i="5"/>
  <c r="AN60" i="5"/>
  <c r="AO60" i="5"/>
  <c r="AP60" i="5"/>
  <c r="AQ60" i="5"/>
  <c r="AR60" i="5"/>
  <c r="AS60" i="5"/>
  <c r="I61" i="5"/>
  <c r="K61" i="5" s="1"/>
  <c r="L61" i="5"/>
  <c r="N61" i="5"/>
  <c r="Z61" i="5"/>
  <c r="AA61" i="5"/>
  <c r="AB61" i="5"/>
  <c r="AC61" i="5"/>
  <c r="AD61" i="5"/>
  <c r="AE61" i="5"/>
  <c r="AF61" i="5"/>
  <c r="AG61" i="5"/>
  <c r="AH61" i="5"/>
  <c r="AI61" i="5"/>
  <c r="AJ61" i="5"/>
  <c r="AK61" i="5"/>
  <c r="AL61" i="5"/>
  <c r="AM61" i="5"/>
  <c r="AN61" i="5"/>
  <c r="AO61" i="5"/>
  <c r="AP61" i="5"/>
  <c r="AQ61" i="5"/>
  <c r="AR61" i="5"/>
  <c r="AS61" i="5"/>
  <c r="I62" i="5"/>
  <c r="K62" i="5" s="1"/>
  <c r="L62" i="5"/>
  <c r="N62" i="5"/>
  <c r="Z62" i="5"/>
  <c r="AA62" i="5"/>
  <c r="AB62" i="5"/>
  <c r="AC62" i="5"/>
  <c r="AD62" i="5"/>
  <c r="AE62" i="5"/>
  <c r="AF62" i="5"/>
  <c r="AG62" i="5"/>
  <c r="AH62" i="5"/>
  <c r="AI62" i="5"/>
  <c r="AJ62" i="5"/>
  <c r="AK62" i="5"/>
  <c r="AL62" i="5"/>
  <c r="AM62" i="5"/>
  <c r="AN62" i="5"/>
  <c r="AO62" i="5"/>
  <c r="AP62" i="5"/>
  <c r="AQ62" i="5"/>
  <c r="AR62" i="5"/>
  <c r="AS62" i="5"/>
  <c r="I63" i="5"/>
  <c r="K63" i="5" s="1"/>
  <c r="L63" i="5"/>
  <c r="N63" i="5"/>
  <c r="Z63" i="5"/>
  <c r="AA63" i="5"/>
  <c r="AB63" i="5"/>
  <c r="AC63" i="5"/>
  <c r="AD63" i="5"/>
  <c r="AE63" i="5"/>
  <c r="AF63" i="5"/>
  <c r="AG63" i="5"/>
  <c r="AH63" i="5"/>
  <c r="AI63" i="5"/>
  <c r="AJ63" i="5"/>
  <c r="AK63" i="5"/>
  <c r="AL63" i="5"/>
  <c r="AM63" i="5"/>
  <c r="AN63" i="5"/>
  <c r="AO63" i="5"/>
  <c r="AP63" i="5"/>
  <c r="AQ63" i="5"/>
  <c r="AR63" i="5"/>
  <c r="AS63" i="5"/>
  <c r="I64" i="5"/>
  <c r="K64" i="5" s="1"/>
  <c r="L64" i="5"/>
  <c r="N64" i="5"/>
  <c r="Z64" i="5"/>
  <c r="AA64" i="5"/>
  <c r="AB64" i="5"/>
  <c r="AC64" i="5"/>
  <c r="AD64" i="5"/>
  <c r="AE64" i="5"/>
  <c r="AF64" i="5"/>
  <c r="AG64" i="5"/>
  <c r="AH64" i="5"/>
  <c r="AI64" i="5"/>
  <c r="AJ64" i="5"/>
  <c r="AK64" i="5"/>
  <c r="AL64" i="5"/>
  <c r="AM64" i="5"/>
  <c r="AN64" i="5"/>
  <c r="AO64" i="5"/>
  <c r="AP64" i="5"/>
  <c r="AQ64" i="5"/>
  <c r="AR64" i="5"/>
  <c r="AS64" i="5"/>
  <c r="I65" i="5"/>
  <c r="K65" i="5" s="1"/>
  <c r="L65" i="5"/>
  <c r="N65" i="5"/>
  <c r="Z65" i="5"/>
  <c r="AA65" i="5"/>
  <c r="AB65" i="5"/>
  <c r="AC65" i="5"/>
  <c r="AD65" i="5"/>
  <c r="AE65" i="5"/>
  <c r="AF65" i="5"/>
  <c r="AG65" i="5"/>
  <c r="AH65" i="5"/>
  <c r="AI65" i="5"/>
  <c r="AJ65" i="5"/>
  <c r="AK65" i="5"/>
  <c r="AL65" i="5"/>
  <c r="AM65" i="5"/>
  <c r="AN65" i="5"/>
  <c r="AO65" i="5"/>
  <c r="AP65" i="5"/>
  <c r="AQ65" i="5"/>
  <c r="AR65" i="5"/>
  <c r="AS65" i="5"/>
  <c r="I66" i="5"/>
  <c r="K66" i="5" s="1"/>
  <c r="L66" i="5"/>
  <c r="N66" i="5"/>
  <c r="Z66" i="5"/>
  <c r="AA66" i="5"/>
  <c r="AB66" i="5"/>
  <c r="AC66" i="5"/>
  <c r="AD66" i="5"/>
  <c r="AE66" i="5"/>
  <c r="AF66" i="5"/>
  <c r="AG66" i="5"/>
  <c r="AH66" i="5"/>
  <c r="AI66" i="5"/>
  <c r="AJ66" i="5"/>
  <c r="AK66" i="5"/>
  <c r="AL66" i="5"/>
  <c r="AM66" i="5"/>
  <c r="AN66" i="5"/>
  <c r="AO66" i="5"/>
  <c r="AP66" i="5"/>
  <c r="AQ66" i="5"/>
  <c r="AR66" i="5"/>
  <c r="AS66" i="5"/>
  <c r="I67" i="5"/>
  <c r="K67" i="5" s="1"/>
  <c r="L67" i="5"/>
  <c r="N67" i="5"/>
  <c r="Z67" i="5"/>
  <c r="AA67" i="5"/>
  <c r="AB67" i="5"/>
  <c r="AC67" i="5"/>
  <c r="AD67" i="5"/>
  <c r="AE67" i="5"/>
  <c r="AF67" i="5"/>
  <c r="AG67" i="5"/>
  <c r="AH67" i="5"/>
  <c r="AI67" i="5"/>
  <c r="AJ67" i="5"/>
  <c r="AK67" i="5"/>
  <c r="AL67" i="5"/>
  <c r="AM67" i="5"/>
  <c r="AN67" i="5"/>
  <c r="AO67" i="5"/>
  <c r="AP67" i="5"/>
  <c r="AQ67" i="5"/>
  <c r="AR67" i="5"/>
  <c r="AS67" i="5"/>
  <c r="I68" i="5"/>
  <c r="K68" i="5" s="1"/>
  <c r="L68" i="5"/>
  <c r="N68" i="5"/>
  <c r="Z68" i="5"/>
  <c r="AA68" i="5"/>
  <c r="AB68" i="5"/>
  <c r="AC68" i="5"/>
  <c r="AD68" i="5"/>
  <c r="AE68" i="5"/>
  <c r="AF68" i="5"/>
  <c r="AG68" i="5"/>
  <c r="AH68" i="5"/>
  <c r="AI68" i="5"/>
  <c r="AJ68" i="5"/>
  <c r="AK68" i="5"/>
  <c r="AL68" i="5"/>
  <c r="AM68" i="5"/>
  <c r="AN68" i="5"/>
  <c r="AO68" i="5"/>
  <c r="AP68" i="5"/>
  <c r="AQ68" i="5"/>
  <c r="AR68" i="5"/>
  <c r="AS68" i="5"/>
  <c r="I69" i="5"/>
  <c r="K69" i="5" s="1"/>
  <c r="L69" i="5"/>
  <c r="N69" i="5"/>
  <c r="Z69" i="5"/>
  <c r="AA69" i="5"/>
  <c r="AB69" i="5"/>
  <c r="AC69" i="5"/>
  <c r="AD69" i="5"/>
  <c r="AE69" i="5"/>
  <c r="AF69" i="5"/>
  <c r="AG69" i="5"/>
  <c r="AH69" i="5"/>
  <c r="AI69" i="5"/>
  <c r="AJ69" i="5"/>
  <c r="AK69" i="5"/>
  <c r="AL69" i="5"/>
  <c r="AM69" i="5"/>
  <c r="AN69" i="5"/>
  <c r="AO69" i="5"/>
  <c r="AP69" i="5"/>
  <c r="AQ69" i="5"/>
  <c r="AR69" i="5"/>
  <c r="AS69" i="5"/>
  <c r="I70" i="5"/>
  <c r="K70" i="5" s="1"/>
  <c r="L70" i="5"/>
  <c r="N70" i="5"/>
  <c r="Z70" i="5"/>
  <c r="AA70" i="5"/>
  <c r="AB70" i="5"/>
  <c r="AC70" i="5"/>
  <c r="AD70" i="5"/>
  <c r="AE70" i="5"/>
  <c r="AF70" i="5"/>
  <c r="AG70" i="5"/>
  <c r="AH70" i="5"/>
  <c r="AI70" i="5"/>
  <c r="AJ70" i="5"/>
  <c r="AK70" i="5"/>
  <c r="AL70" i="5"/>
  <c r="AM70" i="5"/>
  <c r="AN70" i="5"/>
  <c r="AO70" i="5"/>
  <c r="AP70" i="5"/>
  <c r="AQ70" i="5"/>
  <c r="AR70" i="5"/>
  <c r="AS70" i="5"/>
  <c r="I71" i="5"/>
  <c r="K71" i="5" s="1"/>
  <c r="L71" i="5"/>
  <c r="N71" i="5"/>
  <c r="Z71" i="5"/>
  <c r="AA71" i="5"/>
  <c r="AB71" i="5"/>
  <c r="AC71" i="5"/>
  <c r="AD71" i="5"/>
  <c r="AE71" i="5"/>
  <c r="AF71" i="5"/>
  <c r="AG71" i="5"/>
  <c r="AH71" i="5"/>
  <c r="AI71" i="5"/>
  <c r="AJ71" i="5"/>
  <c r="AK71" i="5"/>
  <c r="AL71" i="5"/>
  <c r="AM71" i="5"/>
  <c r="AN71" i="5"/>
  <c r="AO71" i="5"/>
  <c r="AP71" i="5"/>
  <c r="AQ71" i="5"/>
  <c r="AR71" i="5"/>
  <c r="AS71" i="5"/>
  <c r="I72" i="5"/>
  <c r="K72" i="5" s="1"/>
  <c r="L72" i="5"/>
  <c r="N72" i="5"/>
  <c r="Z72" i="5"/>
  <c r="AA72" i="5"/>
  <c r="AB72" i="5"/>
  <c r="AC72" i="5"/>
  <c r="AD72" i="5"/>
  <c r="AE72" i="5"/>
  <c r="AF72" i="5"/>
  <c r="AG72" i="5"/>
  <c r="AH72" i="5"/>
  <c r="AI72" i="5"/>
  <c r="AJ72" i="5"/>
  <c r="AK72" i="5"/>
  <c r="AL72" i="5"/>
  <c r="AM72" i="5"/>
  <c r="AN72" i="5"/>
  <c r="AO72" i="5"/>
  <c r="AP72" i="5"/>
  <c r="AQ72" i="5"/>
  <c r="AR72" i="5"/>
  <c r="AS72" i="5"/>
  <c r="I73" i="5"/>
  <c r="K73" i="5" s="1"/>
  <c r="L73" i="5"/>
  <c r="N73" i="5"/>
  <c r="Z73" i="5"/>
  <c r="AA73" i="5"/>
  <c r="AB73" i="5"/>
  <c r="AC73" i="5"/>
  <c r="AD73" i="5"/>
  <c r="AE73" i="5"/>
  <c r="AF73" i="5"/>
  <c r="AG73" i="5"/>
  <c r="AH73" i="5"/>
  <c r="AI73" i="5"/>
  <c r="AJ73" i="5"/>
  <c r="AK73" i="5"/>
  <c r="AL73" i="5"/>
  <c r="AM73" i="5"/>
  <c r="AN73" i="5"/>
  <c r="AO73" i="5"/>
  <c r="AP73" i="5"/>
  <c r="AQ73" i="5"/>
  <c r="AR73" i="5"/>
  <c r="AS73" i="5"/>
  <c r="I74" i="5"/>
  <c r="K74" i="5" s="1"/>
  <c r="L74" i="5"/>
  <c r="N74" i="5"/>
  <c r="Z74" i="5"/>
  <c r="AA74" i="5"/>
  <c r="AB74" i="5"/>
  <c r="AC74" i="5"/>
  <c r="AD74" i="5"/>
  <c r="AE74" i="5"/>
  <c r="AF74" i="5"/>
  <c r="AG74" i="5"/>
  <c r="AH74" i="5"/>
  <c r="AI74" i="5"/>
  <c r="AJ74" i="5"/>
  <c r="AK74" i="5"/>
  <c r="AL74" i="5"/>
  <c r="AM74" i="5"/>
  <c r="AN74" i="5"/>
  <c r="AO74" i="5"/>
  <c r="AP74" i="5"/>
  <c r="AQ74" i="5"/>
  <c r="AR74" i="5"/>
  <c r="AS74" i="5"/>
  <c r="I75" i="5"/>
  <c r="K75" i="5" s="1"/>
  <c r="L75" i="5"/>
  <c r="N75" i="5"/>
  <c r="Z75" i="5"/>
  <c r="AA75" i="5"/>
  <c r="AB75" i="5"/>
  <c r="AC75" i="5"/>
  <c r="AD75" i="5"/>
  <c r="AE75" i="5"/>
  <c r="AF75" i="5"/>
  <c r="AG75" i="5"/>
  <c r="AH75" i="5"/>
  <c r="AI75" i="5"/>
  <c r="AJ75" i="5"/>
  <c r="AK75" i="5"/>
  <c r="AL75" i="5"/>
  <c r="AM75" i="5"/>
  <c r="AN75" i="5"/>
  <c r="AO75" i="5"/>
  <c r="AP75" i="5"/>
  <c r="AQ75" i="5"/>
  <c r="AR75" i="5"/>
  <c r="AS75" i="5"/>
  <c r="I76" i="5"/>
  <c r="K76" i="5" s="1"/>
  <c r="L76" i="5"/>
  <c r="N76" i="5"/>
  <c r="Z76" i="5"/>
  <c r="AA76" i="5"/>
  <c r="AB76" i="5"/>
  <c r="AC76" i="5"/>
  <c r="AD76" i="5"/>
  <c r="AE76" i="5"/>
  <c r="AF76" i="5"/>
  <c r="AG76" i="5"/>
  <c r="AH76" i="5"/>
  <c r="AI76" i="5"/>
  <c r="AJ76" i="5"/>
  <c r="AK76" i="5"/>
  <c r="AL76" i="5"/>
  <c r="AM76" i="5"/>
  <c r="AN76" i="5"/>
  <c r="AO76" i="5"/>
  <c r="AP76" i="5"/>
  <c r="AQ76" i="5"/>
  <c r="AR76" i="5"/>
  <c r="AS76" i="5"/>
  <c r="I77" i="5"/>
  <c r="K77" i="5" s="1"/>
  <c r="L77" i="5"/>
  <c r="N77" i="5"/>
  <c r="Z77" i="5"/>
  <c r="AA77" i="5"/>
  <c r="AB77" i="5"/>
  <c r="AC77" i="5"/>
  <c r="AD77" i="5"/>
  <c r="AE77" i="5"/>
  <c r="AF77" i="5"/>
  <c r="AG77" i="5"/>
  <c r="AH77" i="5"/>
  <c r="AI77" i="5"/>
  <c r="AJ77" i="5"/>
  <c r="AK77" i="5"/>
  <c r="AL77" i="5"/>
  <c r="AM77" i="5"/>
  <c r="AN77" i="5"/>
  <c r="AO77" i="5"/>
  <c r="AP77" i="5"/>
  <c r="AQ77" i="5"/>
  <c r="AR77" i="5"/>
  <c r="AS77" i="5"/>
  <c r="I78" i="5"/>
  <c r="K78" i="5" s="1"/>
  <c r="L78" i="5"/>
  <c r="N78" i="5"/>
  <c r="Z78" i="5"/>
  <c r="AA78" i="5"/>
  <c r="AB78" i="5"/>
  <c r="AC78" i="5"/>
  <c r="AD78" i="5"/>
  <c r="AE78" i="5"/>
  <c r="AF78" i="5"/>
  <c r="AG78" i="5"/>
  <c r="AH78" i="5"/>
  <c r="AI78" i="5"/>
  <c r="AJ78" i="5"/>
  <c r="AK78" i="5"/>
  <c r="AL78" i="5"/>
  <c r="AM78" i="5"/>
  <c r="AN78" i="5"/>
  <c r="AO78" i="5"/>
  <c r="AP78" i="5"/>
  <c r="AQ78" i="5"/>
  <c r="AR78" i="5"/>
  <c r="AS78" i="5"/>
  <c r="I79" i="5"/>
  <c r="K79" i="5" s="1"/>
  <c r="L79" i="5"/>
  <c r="N79" i="5"/>
  <c r="Z79" i="5"/>
  <c r="AA79" i="5"/>
  <c r="AB79" i="5"/>
  <c r="AC79" i="5"/>
  <c r="AD79" i="5"/>
  <c r="AE79" i="5"/>
  <c r="AF79" i="5"/>
  <c r="AG79" i="5"/>
  <c r="AH79" i="5"/>
  <c r="AI79" i="5"/>
  <c r="AJ79" i="5"/>
  <c r="AK79" i="5"/>
  <c r="AL79" i="5"/>
  <c r="AM79" i="5"/>
  <c r="AN79" i="5"/>
  <c r="AO79" i="5"/>
  <c r="AP79" i="5"/>
  <c r="AQ79" i="5"/>
  <c r="AR79" i="5"/>
  <c r="AS79" i="5"/>
  <c r="I80" i="5"/>
  <c r="K80" i="5" s="1"/>
  <c r="L80" i="5"/>
  <c r="N80" i="5"/>
  <c r="Z80" i="5"/>
  <c r="AA80" i="5"/>
  <c r="AB80" i="5"/>
  <c r="AC80" i="5"/>
  <c r="AD80" i="5"/>
  <c r="AE80" i="5"/>
  <c r="AF80" i="5"/>
  <c r="AG80" i="5"/>
  <c r="AH80" i="5"/>
  <c r="AI80" i="5"/>
  <c r="AJ80" i="5"/>
  <c r="AK80" i="5"/>
  <c r="AL80" i="5"/>
  <c r="AM80" i="5"/>
  <c r="AN80" i="5"/>
  <c r="AO80" i="5"/>
  <c r="AP80" i="5"/>
  <c r="AQ80" i="5"/>
  <c r="AR80" i="5"/>
  <c r="AS80" i="5"/>
  <c r="I81" i="5"/>
  <c r="K81" i="5" s="1"/>
  <c r="L81" i="5"/>
  <c r="N81" i="5"/>
  <c r="Z81" i="5"/>
  <c r="AA81" i="5"/>
  <c r="AB81" i="5"/>
  <c r="AC81" i="5"/>
  <c r="AD81" i="5"/>
  <c r="AE81" i="5"/>
  <c r="AF81" i="5"/>
  <c r="AG81" i="5"/>
  <c r="AH81" i="5"/>
  <c r="AI81" i="5"/>
  <c r="AJ81" i="5"/>
  <c r="AK81" i="5"/>
  <c r="AL81" i="5"/>
  <c r="AM81" i="5"/>
  <c r="AN81" i="5"/>
  <c r="AO81" i="5"/>
  <c r="AP81" i="5"/>
  <c r="AQ81" i="5"/>
  <c r="AR81" i="5"/>
  <c r="AS81" i="5"/>
  <c r="I82" i="5"/>
  <c r="K82" i="5" s="1"/>
  <c r="L82" i="5"/>
  <c r="N82" i="5"/>
  <c r="Z82" i="5"/>
  <c r="AA82" i="5"/>
  <c r="AB82" i="5"/>
  <c r="AC82" i="5"/>
  <c r="AD82" i="5"/>
  <c r="AE82" i="5"/>
  <c r="AF82" i="5"/>
  <c r="AG82" i="5"/>
  <c r="AH82" i="5"/>
  <c r="AI82" i="5"/>
  <c r="AJ82" i="5"/>
  <c r="AK82" i="5"/>
  <c r="AL82" i="5"/>
  <c r="AM82" i="5"/>
  <c r="AN82" i="5"/>
  <c r="AO82" i="5"/>
  <c r="AP82" i="5"/>
  <c r="AQ82" i="5"/>
  <c r="AR82" i="5"/>
  <c r="AS82" i="5"/>
  <c r="I83" i="5"/>
  <c r="K83" i="5" s="1"/>
  <c r="L83" i="5"/>
  <c r="N83" i="5"/>
  <c r="Z83" i="5"/>
  <c r="AA83" i="5"/>
  <c r="AB83" i="5"/>
  <c r="AC83" i="5"/>
  <c r="AD83" i="5"/>
  <c r="AE83" i="5"/>
  <c r="AF83" i="5"/>
  <c r="AG83" i="5"/>
  <c r="AH83" i="5"/>
  <c r="AI83" i="5"/>
  <c r="AJ83" i="5"/>
  <c r="AK83" i="5"/>
  <c r="AL83" i="5"/>
  <c r="AM83" i="5"/>
  <c r="AN83" i="5"/>
  <c r="AO83" i="5"/>
  <c r="AP83" i="5"/>
  <c r="AQ83" i="5"/>
  <c r="AR83" i="5"/>
  <c r="AS83" i="5"/>
  <c r="I84" i="5"/>
  <c r="K84" i="5" s="1"/>
  <c r="L84" i="5"/>
  <c r="N84" i="5"/>
  <c r="Z84" i="5"/>
  <c r="AA84" i="5"/>
  <c r="AB84" i="5"/>
  <c r="AC84" i="5"/>
  <c r="AD84" i="5"/>
  <c r="AE84" i="5"/>
  <c r="AF84" i="5"/>
  <c r="AG84" i="5"/>
  <c r="AH84" i="5"/>
  <c r="AI84" i="5"/>
  <c r="AJ84" i="5"/>
  <c r="AK84" i="5"/>
  <c r="AL84" i="5"/>
  <c r="AM84" i="5"/>
  <c r="AN84" i="5"/>
  <c r="AO84" i="5"/>
  <c r="AP84" i="5"/>
  <c r="AQ84" i="5"/>
  <c r="AR84" i="5"/>
  <c r="AS84" i="5"/>
  <c r="I85" i="5"/>
  <c r="K85" i="5" s="1"/>
  <c r="L85" i="5"/>
  <c r="N85" i="5"/>
  <c r="Z85" i="5"/>
  <c r="AA85" i="5"/>
  <c r="AB85" i="5"/>
  <c r="AC85" i="5"/>
  <c r="AD85" i="5"/>
  <c r="AE85" i="5"/>
  <c r="AF85" i="5"/>
  <c r="AG85" i="5"/>
  <c r="AH85" i="5"/>
  <c r="AI85" i="5"/>
  <c r="AJ85" i="5"/>
  <c r="AK85" i="5"/>
  <c r="AL85" i="5"/>
  <c r="AM85" i="5"/>
  <c r="AN85" i="5"/>
  <c r="AO85" i="5"/>
  <c r="AP85" i="5"/>
  <c r="AQ85" i="5"/>
  <c r="AR85" i="5"/>
  <c r="AS85" i="5"/>
  <c r="I86" i="5"/>
  <c r="K86" i="5" s="1"/>
  <c r="L86" i="5"/>
  <c r="N86" i="5"/>
  <c r="Z86" i="5"/>
  <c r="AA86" i="5"/>
  <c r="AB86" i="5"/>
  <c r="AC86" i="5"/>
  <c r="AD86" i="5"/>
  <c r="AE86" i="5"/>
  <c r="AF86" i="5"/>
  <c r="AG86" i="5"/>
  <c r="AH86" i="5"/>
  <c r="AI86" i="5"/>
  <c r="AJ86" i="5"/>
  <c r="AK86" i="5"/>
  <c r="AL86" i="5"/>
  <c r="AM86" i="5"/>
  <c r="AN86" i="5"/>
  <c r="AO86" i="5"/>
  <c r="AP86" i="5"/>
  <c r="AQ86" i="5"/>
  <c r="AR86" i="5"/>
  <c r="AS86" i="5"/>
  <c r="I87" i="5"/>
  <c r="K87" i="5" s="1"/>
  <c r="L87" i="5"/>
  <c r="N87" i="5"/>
  <c r="Z87" i="5"/>
  <c r="AA87" i="5"/>
  <c r="AB87" i="5"/>
  <c r="AC87" i="5"/>
  <c r="AD87" i="5"/>
  <c r="AE87" i="5"/>
  <c r="AF87" i="5"/>
  <c r="AG87" i="5"/>
  <c r="AH87" i="5"/>
  <c r="AI87" i="5"/>
  <c r="AJ87" i="5"/>
  <c r="AK87" i="5"/>
  <c r="AL87" i="5"/>
  <c r="AM87" i="5"/>
  <c r="AN87" i="5"/>
  <c r="AO87" i="5"/>
  <c r="AP87" i="5"/>
  <c r="AQ87" i="5"/>
  <c r="AR87" i="5"/>
  <c r="AS87" i="5"/>
  <c r="I88" i="5"/>
  <c r="K88" i="5" s="1"/>
  <c r="L88" i="5"/>
  <c r="N88" i="5"/>
  <c r="Z88" i="5"/>
  <c r="AA88" i="5"/>
  <c r="AB88" i="5"/>
  <c r="AC88" i="5"/>
  <c r="AD88" i="5"/>
  <c r="AE88" i="5"/>
  <c r="AF88" i="5"/>
  <c r="AG88" i="5"/>
  <c r="AH88" i="5"/>
  <c r="AI88" i="5"/>
  <c r="AJ88" i="5"/>
  <c r="AK88" i="5"/>
  <c r="AL88" i="5"/>
  <c r="AM88" i="5"/>
  <c r="AN88" i="5"/>
  <c r="AO88" i="5"/>
  <c r="AP88" i="5"/>
  <c r="AQ88" i="5"/>
  <c r="AR88" i="5"/>
  <c r="AS88" i="5"/>
  <c r="I89" i="5"/>
  <c r="K89" i="5" s="1"/>
  <c r="L89" i="5"/>
  <c r="N89" i="5"/>
  <c r="Z89" i="5"/>
  <c r="AA89" i="5"/>
  <c r="AB89" i="5"/>
  <c r="AC89" i="5"/>
  <c r="AD89" i="5"/>
  <c r="AE89" i="5"/>
  <c r="AF89" i="5"/>
  <c r="AG89" i="5"/>
  <c r="AH89" i="5"/>
  <c r="AI89" i="5"/>
  <c r="AJ89" i="5"/>
  <c r="AK89" i="5"/>
  <c r="AL89" i="5"/>
  <c r="AM89" i="5"/>
  <c r="AN89" i="5"/>
  <c r="AO89" i="5"/>
  <c r="AP89" i="5"/>
  <c r="AQ89" i="5"/>
  <c r="AR89" i="5"/>
  <c r="AS89" i="5"/>
  <c r="I90" i="5"/>
  <c r="K90" i="5" s="1"/>
  <c r="L90" i="5"/>
  <c r="N90" i="5"/>
  <c r="Z90" i="5"/>
  <c r="AA90" i="5"/>
  <c r="AB90" i="5"/>
  <c r="AC90" i="5"/>
  <c r="AD90" i="5"/>
  <c r="AE90" i="5"/>
  <c r="AF90" i="5"/>
  <c r="AG90" i="5"/>
  <c r="AH90" i="5"/>
  <c r="AI90" i="5"/>
  <c r="AJ90" i="5"/>
  <c r="AK90" i="5"/>
  <c r="AL90" i="5"/>
  <c r="AM90" i="5"/>
  <c r="AN90" i="5"/>
  <c r="AO90" i="5"/>
  <c r="AP90" i="5"/>
  <c r="AQ90" i="5"/>
  <c r="AR90" i="5"/>
  <c r="AS90" i="5"/>
  <c r="I91" i="5"/>
  <c r="K91" i="5" s="1"/>
  <c r="L91" i="5"/>
  <c r="N91" i="5"/>
  <c r="Z91" i="5"/>
  <c r="AA91" i="5"/>
  <c r="AB91" i="5"/>
  <c r="AC91" i="5"/>
  <c r="AD91" i="5"/>
  <c r="AE91" i="5"/>
  <c r="AF91" i="5"/>
  <c r="AG91" i="5"/>
  <c r="AH91" i="5"/>
  <c r="AI91" i="5"/>
  <c r="AJ91" i="5"/>
  <c r="AK91" i="5"/>
  <c r="AL91" i="5"/>
  <c r="AM91" i="5"/>
  <c r="AN91" i="5"/>
  <c r="AO91" i="5"/>
  <c r="AP91" i="5"/>
  <c r="AQ91" i="5"/>
  <c r="AR91" i="5"/>
  <c r="AS91" i="5"/>
  <c r="I92" i="5"/>
  <c r="K92" i="5" s="1"/>
  <c r="L92" i="5"/>
  <c r="N92" i="5"/>
  <c r="Z92" i="5"/>
  <c r="AA92" i="5"/>
  <c r="AB92" i="5"/>
  <c r="AC92" i="5"/>
  <c r="AD92" i="5"/>
  <c r="AE92" i="5"/>
  <c r="AF92" i="5"/>
  <c r="AG92" i="5"/>
  <c r="AH92" i="5"/>
  <c r="AI92" i="5"/>
  <c r="AJ92" i="5"/>
  <c r="AK92" i="5"/>
  <c r="AL92" i="5"/>
  <c r="AM92" i="5"/>
  <c r="AN92" i="5"/>
  <c r="AO92" i="5"/>
  <c r="AP92" i="5"/>
  <c r="AQ92" i="5"/>
  <c r="AR92" i="5"/>
  <c r="AS92" i="5"/>
  <c r="I93" i="5"/>
  <c r="K93" i="5" s="1"/>
  <c r="L93" i="5"/>
  <c r="N93" i="5"/>
  <c r="Z93" i="5"/>
  <c r="AA93" i="5"/>
  <c r="AB93" i="5"/>
  <c r="AC93" i="5"/>
  <c r="AD93" i="5"/>
  <c r="AE93" i="5"/>
  <c r="AF93" i="5"/>
  <c r="AG93" i="5"/>
  <c r="AH93" i="5"/>
  <c r="AI93" i="5"/>
  <c r="AJ93" i="5"/>
  <c r="AK93" i="5"/>
  <c r="AL93" i="5"/>
  <c r="AM93" i="5"/>
  <c r="AN93" i="5"/>
  <c r="AO93" i="5"/>
  <c r="AP93" i="5"/>
  <c r="AQ93" i="5"/>
  <c r="AR93" i="5"/>
  <c r="AS93" i="5"/>
  <c r="I94" i="5"/>
  <c r="K94" i="5" s="1"/>
  <c r="L94" i="5"/>
  <c r="N94" i="5"/>
  <c r="Z94" i="5"/>
  <c r="AA94" i="5"/>
  <c r="AB94" i="5"/>
  <c r="AC94" i="5"/>
  <c r="AD94" i="5"/>
  <c r="AE94" i="5"/>
  <c r="AF94" i="5"/>
  <c r="AG94" i="5"/>
  <c r="AH94" i="5"/>
  <c r="AI94" i="5"/>
  <c r="AJ94" i="5"/>
  <c r="AK94" i="5"/>
  <c r="AL94" i="5"/>
  <c r="AM94" i="5"/>
  <c r="AN94" i="5"/>
  <c r="AO94" i="5"/>
  <c r="AP94" i="5"/>
  <c r="AQ94" i="5"/>
  <c r="AR94" i="5"/>
  <c r="AS94" i="5"/>
  <c r="I95" i="5"/>
  <c r="K95" i="5" s="1"/>
  <c r="L95" i="5"/>
  <c r="N95" i="5"/>
  <c r="Z95" i="5"/>
  <c r="AA95" i="5"/>
  <c r="AB95" i="5"/>
  <c r="AC95" i="5"/>
  <c r="AD95" i="5"/>
  <c r="AE95" i="5"/>
  <c r="AF95" i="5"/>
  <c r="AG95" i="5"/>
  <c r="AH95" i="5"/>
  <c r="AI95" i="5"/>
  <c r="AJ95" i="5"/>
  <c r="AK95" i="5"/>
  <c r="AL95" i="5"/>
  <c r="AM95" i="5"/>
  <c r="AN95" i="5"/>
  <c r="AO95" i="5"/>
  <c r="AP95" i="5"/>
  <c r="AQ95" i="5"/>
  <c r="AR95" i="5"/>
  <c r="AS95" i="5"/>
  <c r="I96" i="5"/>
  <c r="K96" i="5" s="1"/>
  <c r="L96" i="5"/>
  <c r="N96" i="5"/>
  <c r="Z96" i="5"/>
  <c r="AA96" i="5"/>
  <c r="AB96" i="5"/>
  <c r="AC96" i="5"/>
  <c r="AD96" i="5"/>
  <c r="AE96" i="5"/>
  <c r="AF96" i="5"/>
  <c r="AG96" i="5"/>
  <c r="AH96" i="5"/>
  <c r="AI96" i="5"/>
  <c r="AJ96" i="5"/>
  <c r="AK96" i="5"/>
  <c r="AL96" i="5"/>
  <c r="AM96" i="5"/>
  <c r="AN96" i="5"/>
  <c r="AO96" i="5"/>
  <c r="AP96" i="5"/>
  <c r="AQ96" i="5"/>
  <c r="AR96" i="5"/>
  <c r="AS96" i="5"/>
  <c r="I97" i="5"/>
  <c r="K97" i="5" s="1"/>
  <c r="L97" i="5"/>
  <c r="N97" i="5"/>
  <c r="Z97" i="5"/>
  <c r="AA97" i="5"/>
  <c r="AB97" i="5"/>
  <c r="AC97" i="5"/>
  <c r="AD97" i="5"/>
  <c r="AE97" i="5"/>
  <c r="AF97" i="5"/>
  <c r="AG97" i="5"/>
  <c r="AH97" i="5"/>
  <c r="AI97" i="5"/>
  <c r="AJ97" i="5"/>
  <c r="AK97" i="5"/>
  <c r="AL97" i="5"/>
  <c r="AM97" i="5"/>
  <c r="AN97" i="5"/>
  <c r="AO97" i="5"/>
  <c r="AP97" i="5"/>
  <c r="AQ97" i="5"/>
  <c r="AR97" i="5"/>
  <c r="AS97" i="5"/>
  <c r="I98" i="5"/>
  <c r="K98" i="5" s="1"/>
  <c r="L98" i="5"/>
  <c r="N98" i="5"/>
  <c r="Z98" i="5"/>
  <c r="AA98" i="5"/>
  <c r="AB98" i="5"/>
  <c r="AC98" i="5"/>
  <c r="AD98" i="5"/>
  <c r="AE98" i="5"/>
  <c r="AF98" i="5"/>
  <c r="AG98" i="5"/>
  <c r="AH98" i="5"/>
  <c r="AI98" i="5"/>
  <c r="AJ98" i="5"/>
  <c r="AK98" i="5"/>
  <c r="AL98" i="5"/>
  <c r="AM98" i="5"/>
  <c r="AN98" i="5"/>
  <c r="AO98" i="5"/>
  <c r="AP98" i="5"/>
  <c r="AQ98" i="5"/>
  <c r="AR98" i="5"/>
  <c r="AS98" i="5"/>
  <c r="I99" i="5"/>
  <c r="K99" i="5" s="1"/>
  <c r="L99" i="5"/>
  <c r="N99" i="5"/>
  <c r="Z99" i="5"/>
  <c r="AA99" i="5"/>
  <c r="AB99" i="5"/>
  <c r="AC99" i="5"/>
  <c r="AD99" i="5"/>
  <c r="AE99" i="5"/>
  <c r="AF99" i="5"/>
  <c r="AG99" i="5"/>
  <c r="AH99" i="5"/>
  <c r="AI99" i="5"/>
  <c r="AJ99" i="5"/>
  <c r="AK99" i="5"/>
  <c r="AL99" i="5"/>
  <c r="AM99" i="5"/>
  <c r="AN99" i="5"/>
  <c r="AO99" i="5"/>
  <c r="AP99" i="5"/>
  <c r="AQ99" i="5"/>
  <c r="AR99" i="5"/>
  <c r="AS99" i="5"/>
  <c r="I100" i="5"/>
  <c r="K100" i="5" s="1"/>
  <c r="L100" i="5"/>
  <c r="N100" i="5"/>
  <c r="Z100" i="5"/>
  <c r="AA100" i="5"/>
  <c r="AB100" i="5"/>
  <c r="AC100" i="5"/>
  <c r="AD100" i="5"/>
  <c r="AE100" i="5"/>
  <c r="AF100" i="5"/>
  <c r="AG100" i="5"/>
  <c r="AH100" i="5"/>
  <c r="AI100" i="5"/>
  <c r="AJ100" i="5"/>
  <c r="AK100" i="5"/>
  <c r="AL100" i="5"/>
  <c r="AM100" i="5"/>
  <c r="AN100" i="5"/>
  <c r="AO100" i="5"/>
  <c r="AP100" i="5"/>
  <c r="AQ100" i="5"/>
  <c r="AR100" i="5"/>
  <c r="AS100" i="5"/>
  <c r="I101" i="5"/>
  <c r="K101" i="5" s="1"/>
  <c r="L101" i="5"/>
  <c r="N101" i="5"/>
  <c r="Z101" i="5"/>
  <c r="AA101" i="5"/>
  <c r="AB101" i="5"/>
  <c r="AC101" i="5"/>
  <c r="AD101" i="5"/>
  <c r="AE101" i="5"/>
  <c r="AF101" i="5"/>
  <c r="AG101" i="5"/>
  <c r="AH101" i="5"/>
  <c r="AI101" i="5"/>
  <c r="AJ101" i="5"/>
  <c r="AK101" i="5"/>
  <c r="AL101" i="5"/>
  <c r="AM101" i="5"/>
  <c r="AN101" i="5"/>
  <c r="AO101" i="5"/>
  <c r="AP101" i="5"/>
  <c r="AQ101" i="5"/>
  <c r="AR101" i="5"/>
  <c r="AS101" i="5"/>
  <c r="I102" i="5"/>
  <c r="K102" i="5" s="1"/>
  <c r="L102" i="5"/>
  <c r="N102" i="5"/>
  <c r="Z102" i="5"/>
  <c r="AA102" i="5"/>
  <c r="AB102" i="5"/>
  <c r="AC102" i="5"/>
  <c r="AD102" i="5"/>
  <c r="AE102" i="5"/>
  <c r="AF102" i="5"/>
  <c r="AG102" i="5"/>
  <c r="AH102" i="5"/>
  <c r="AI102" i="5"/>
  <c r="AJ102" i="5"/>
  <c r="AK102" i="5"/>
  <c r="AL102" i="5"/>
  <c r="AM102" i="5"/>
  <c r="AN102" i="5"/>
  <c r="AO102" i="5"/>
  <c r="AP102" i="5"/>
  <c r="AQ102" i="5"/>
  <c r="AR102" i="5"/>
  <c r="AS102" i="5"/>
  <c r="I103" i="5"/>
  <c r="K103" i="5" s="1"/>
  <c r="L103" i="5"/>
  <c r="N103" i="5"/>
  <c r="Z103" i="5"/>
  <c r="AA103" i="5"/>
  <c r="AB103" i="5"/>
  <c r="AC103" i="5"/>
  <c r="AD103" i="5"/>
  <c r="AE103" i="5"/>
  <c r="AF103" i="5"/>
  <c r="AG103" i="5"/>
  <c r="AH103" i="5"/>
  <c r="AI103" i="5"/>
  <c r="AJ103" i="5"/>
  <c r="AK103" i="5"/>
  <c r="AL103" i="5"/>
  <c r="AM103" i="5"/>
  <c r="AN103" i="5"/>
  <c r="AO103" i="5"/>
  <c r="AP103" i="5"/>
  <c r="AQ103" i="5"/>
  <c r="AR103" i="5"/>
  <c r="AS103" i="5"/>
  <c r="I104" i="5"/>
  <c r="K104" i="5" s="1"/>
  <c r="L104" i="5"/>
  <c r="N104" i="5"/>
  <c r="Z104" i="5"/>
  <c r="AA104" i="5"/>
  <c r="AB104" i="5"/>
  <c r="AC104" i="5"/>
  <c r="AD104" i="5"/>
  <c r="AE104" i="5"/>
  <c r="AF104" i="5"/>
  <c r="AG104" i="5"/>
  <c r="AH104" i="5"/>
  <c r="AI104" i="5"/>
  <c r="AJ104" i="5"/>
  <c r="AK104" i="5"/>
  <c r="AL104" i="5"/>
  <c r="AM104" i="5"/>
  <c r="AN104" i="5"/>
  <c r="AO104" i="5"/>
  <c r="AP104" i="5"/>
  <c r="AQ104" i="5"/>
  <c r="AR104" i="5"/>
  <c r="AS104" i="5"/>
  <c r="I105" i="5"/>
  <c r="K105" i="5" s="1"/>
  <c r="L105" i="5"/>
  <c r="N105" i="5"/>
  <c r="Z105" i="5"/>
  <c r="AA105" i="5"/>
  <c r="AB105" i="5"/>
  <c r="AC105" i="5"/>
  <c r="AD105" i="5"/>
  <c r="AE105" i="5"/>
  <c r="AF105" i="5"/>
  <c r="AG105" i="5"/>
  <c r="AH105" i="5"/>
  <c r="AI105" i="5"/>
  <c r="AJ105" i="5"/>
  <c r="AK105" i="5"/>
  <c r="AL105" i="5"/>
  <c r="AM105" i="5"/>
  <c r="AN105" i="5"/>
  <c r="AO105" i="5"/>
  <c r="AP105" i="5"/>
  <c r="AQ105" i="5"/>
  <c r="AR105" i="5"/>
  <c r="AS105" i="5"/>
  <c r="I106" i="5"/>
  <c r="K106" i="5" s="1"/>
  <c r="L106" i="5"/>
  <c r="N106" i="5"/>
  <c r="Z106" i="5"/>
  <c r="AA106" i="5"/>
  <c r="AB106" i="5"/>
  <c r="AC106" i="5"/>
  <c r="AD106" i="5"/>
  <c r="AE106" i="5"/>
  <c r="AF106" i="5"/>
  <c r="AG106" i="5"/>
  <c r="AH106" i="5"/>
  <c r="AI106" i="5"/>
  <c r="AJ106" i="5"/>
  <c r="AK106" i="5"/>
  <c r="AL106" i="5"/>
  <c r="AM106" i="5"/>
  <c r="AN106" i="5"/>
  <c r="AO106" i="5"/>
  <c r="AP106" i="5"/>
  <c r="AQ106" i="5"/>
  <c r="AR106" i="5"/>
  <c r="AS106" i="5"/>
  <c r="I107" i="5"/>
  <c r="K107" i="5" s="1"/>
  <c r="L107" i="5"/>
  <c r="N107" i="5"/>
  <c r="Z107" i="5"/>
  <c r="AA107" i="5"/>
  <c r="AB107" i="5"/>
  <c r="AC107" i="5"/>
  <c r="AD107" i="5"/>
  <c r="AE107" i="5"/>
  <c r="AF107" i="5"/>
  <c r="AG107" i="5"/>
  <c r="AH107" i="5"/>
  <c r="AI107" i="5"/>
  <c r="AJ107" i="5"/>
  <c r="AK107" i="5"/>
  <c r="AL107" i="5"/>
  <c r="AM107" i="5"/>
  <c r="AN107" i="5"/>
  <c r="AO107" i="5"/>
  <c r="AP107" i="5"/>
  <c r="AQ107" i="5"/>
  <c r="AR107" i="5"/>
  <c r="AS107" i="5"/>
  <c r="I108" i="5"/>
  <c r="K108" i="5" s="1"/>
  <c r="L108" i="5"/>
  <c r="N108" i="5"/>
  <c r="Z108" i="5"/>
  <c r="AA108" i="5"/>
  <c r="AB108" i="5"/>
  <c r="AC108" i="5"/>
  <c r="AD108" i="5"/>
  <c r="AE108" i="5"/>
  <c r="AF108" i="5"/>
  <c r="AG108" i="5"/>
  <c r="AH108" i="5"/>
  <c r="AI108" i="5"/>
  <c r="AJ108" i="5"/>
  <c r="AK108" i="5"/>
  <c r="AL108" i="5"/>
  <c r="AM108" i="5"/>
  <c r="AN108" i="5"/>
  <c r="AO108" i="5"/>
  <c r="AP108" i="5"/>
  <c r="AQ108" i="5"/>
  <c r="AR108" i="5"/>
  <c r="AS108" i="5"/>
  <c r="I109" i="5"/>
  <c r="K109" i="5" s="1"/>
  <c r="L109" i="5"/>
  <c r="N109" i="5"/>
  <c r="Z109" i="5"/>
  <c r="AA109" i="5"/>
  <c r="AB109" i="5"/>
  <c r="AC109" i="5"/>
  <c r="AD109" i="5"/>
  <c r="AE109" i="5"/>
  <c r="AF109" i="5"/>
  <c r="AG109" i="5"/>
  <c r="AH109" i="5"/>
  <c r="AI109" i="5"/>
  <c r="AJ109" i="5"/>
  <c r="AK109" i="5"/>
  <c r="AL109" i="5"/>
  <c r="AM109" i="5"/>
  <c r="AN109" i="5"/>
  <c r="AO109" i="5"/>
  <c r="AP109" i="5"/>
  <c r="AQ109" i="5"/>
  <c r="AR109" i="5"/>
  <c r="AS109" i="5"/>
  <c r="I110" i="5"/>
  <c r="K110" i="5" s="1"/>
  <c r="L110" i="5"/>
  <c r="N110" i="5"/>
  <c r="Z110" i="5"/>
  <c r="AA110" i="5"/>
  <c r="AB110" i="5"/>
  <c r="AC110" i="5"/>
  <c r="AD110" i="5"/>
  <c r="AE110" i="5"/>
  <c r="AF110" i="5"/>
  <c r="AG110" i="5"/>
  <c r="AH110" i="5"/>
  <c r="AI110" i="5"/>
  <c r="AJ110" i="5"/>
  <c r="AK110" i="5"/>
  <c r="AL110" i="5"/>
  <c r="AM110" i="5"/>
  <c r="AN110" i="5"/>
  <c r="AO110" i="5"/>
  <c r="AP110" i="5"/>
  <c r="AQ110" i="5"/>
  <c r="AR110" i="5"/>
  <c r="AS110" i="5"/>
  <c r="I111" i="5"/>
  <c r="K111" i="5" s="1"/>
  <c r="L111" i="5"/>
  <c r="N111" i="5"/>
  <c r="Z111" i="5"/>
  <c r="AA111" i="5"/>
  <c r="AB111" i="5"/>
  <c r="AC111" i="5"/>
  <c r="AD111" i="5"/>
  <c r="AE111" i="5"/>
  <c r="AF111" i="5"/>
  <c r="AG111" i="5"/>
  <c r="AH111" i="5"/>
  <c r="AI111" i="5"/>
  <c r="AJ111" i="5"/>
  <c r="AK111" i="5"/>
  <c r="AL111" i="5"/>
  <c r="AM111" i="5"/>
  <c r="AN111" i="5"/>
  <c r="AO111" i="5"/>
  <c r="AP111" i="5"/>
  <c r="AQ111" i="5"/>
  <c r="AR111" i="5"/>
  <c r="AS111" i="5"/>
  <c r="I112" i="5"/>
  <c r="K112" i="5" s="1"/>
  <c r="L112" i="5"/>
  <c r="N112" i="5"/>
  <c r="Z112" i="5"/>
  <c r="AA112" i="5"/>
  <c r="AB112" i="5"/>
  <c r="AC112" i="5"/>
  <c r="AD112" i="5"/>
  <c r="AE112" i="5"/>
  <c r="AF112" i="5"/>
  <c r="AG112" i="5"/>
  <c r="AH112" i="5"/>
  <c r="AI112" i="5"/>
  <c r="AJ112" i="5"/>
  <c r="AK112" i="5"/>
  <c r="AL112" i="5"/>
  <c r="AM112" i="5"/>
  <c r="AN112" i="5"/>
  <c r="AO112" i="5"/>
  <c r="AP112" i="5"/>
  <c r="AQ112" i="5"/>
  <c r="AR112" i="5"/>
  <c r="AS112" i="5"/>
  <c r="I113" i="5"/>
  <c r="K113" i="5" s="1"/>
  <c r="L113" i="5"/>
  <c r="N113" i="5"/>
  <c r="Z113" i="5"/>
  <c r="AA113" i="5"/>
  <c r="AB113" i="5"/>
  <c r="AC113" i="5"/>
  <c r="AD113" i="5"/>
  <c r="AE113" i="5"/>
  <c r="AF113" i="5"/>
  <c r="AG113" i="5"/>
  <c r="AH113" i="5"/>
  <c r="AI113" i="5"/>
  <c r="AJ113" i="5"/>
  <c r="AK113" i="5"/>
  <c r="AL113" i="5"/>
  <c r="AM113" i="5"/>
  <c r="AN113" i="5"/>
  <c r="AO113" i="5"/>
  <c r="AP113" i="5"/>
  <c r="AQ113" i="5"/>
  <c r="AR113" i="5"/>
  <c r="AS113" i="5"/>
  <c r="I114" i="5"/>
  <c r="K114" i="5" s="1"/>
  <c r="L114" i="5"/>
  <c r="N114" i="5"/>
  <c r="Z114" i="5"/>
  <c r="AA114" i="5"/>
  <c r="AB114" i="5"/>
  <c r="AC114" i="5"/>
  <c r="AD114" i="5"/>
  <c r="AE114" i="5"/>
  <c r="AF114" i="5"/>
  <c r="AG114" i="5"/>
  <c r="AH114" i="5"/>
  <c r="AI114" i="5"/>
  <c r="AJ114" i="5"/>
  <c r="AK114" i="5"/>
  <c r="AL114" i="5"/>
  <c r="AM114" i="5"/>
  <c r="AN114" i="5"/>
  <c r="AO114" i="5"/>
  <c r="AP114" i="5"/>
  <c r="AQ114" i="5"/>
  <c r="AR114" i="5"/>
  <c r="AS114" i="5"/>
  <c r="I115" i="5"/>
  <c r="K115" i="5" s="1"/>
  <c r="L115" i="5"/>
  <c r="N115" i="5"/>
  <c r="Z115" i="5"/>
  <c r="AA115" i="5"/>
  <c r="AB115" i="5"/>
  <c r="AC115" i="5"/>
  <c r="AD115" i="5"/>
  <c r="AE115" i="5"/>
  <c r="AF115" i="5"/>
  <c r="AG115" i="5"/>
  <c r="AH115" i="5"/>
  <c r="AI115" i="5"/>
  <c r="AJ115" i="5"/>
  <c r="AK115" i="5"/>
  <c r="AL115" i="5"/>
  <c r="AM115" i="5"/>
  <c r="AN115" i="5"/>
  <c r="AO115" i="5"/>
  <c r="AP115" i="5"/>
  <c r="AQ115" i="5"/>
  <c r="AR115" i="5"/>
  <c r="AS115" i="5"/>
  <c r="I116" i="5"/>
  <c r="K116" i="5" s="1"/>
  <c r="L116" i="5"/>
  <c r="N116" i="5"/>
  <c r="Z116" i="5"/>
  <c r="AA116" i="5"/>
  <c r="AB116" i="5"/>
  <c r="AC116" i="5"/>
  <c r="AD116" i="5"/>
  <c r="AE116" i="5"/>
  <c r="AF116" i="5"/>
  <c r="AG116" i="5"/>
  <c r="AH116" i="5"/>
  <c r="AI116" i="5"/>
  <c r="AJ116" i="5"/>
  <c r="AK116" i="5"/>
  <c r="AL116" i="5"/>
  <c r="AM116" i="5"/>
  <c r="AN116" i="5"/>
  <c r="AO116" i="5"/>
  <c r="AP116" i="5"/>
  <c r="AQ116" i="5"/>
  <c r="AR116" i="5"/>
  <c r="AS116" i="5"/>
  <c r="I117" i="5"/>
  <c r="K117" i="5" s="1"/>
  <c r="L117" i="5"/>
  <c r="N117" i="5"/>
  <c r="Z117" i="5"/>
  <c r="AA117" i="5"/>
  <c r="AB117" i="5"/>
  <c r="AC117" i="5"/>
  <c r="AD117" i="5"/>
  <c r="AE117" i="5"/>
  <c r="AF117" i="5"/>
  <c r="AG117" i="5"/>
  <c r="AH117" i="5"/>
  <c r="AI117" i="5"/>
  <c r="AJ117" i="5"/>
  <c r="AK117" i="5"/>
  <c r="AL117" i="5"/>
  <c r="AM117" i="5"/>
  <c r="AN117" i="5"/>
  <c r="AO117" i="5"/>
  <c r="AP117" i="5"/>
  <c r="AQ117" i="5"/>
  <c r="AR117" i="5"/>
  <c r="AS117" i="5"/>
  <c r="I118" i="5"/>
  <c r="K118" i="5" s="1"/>
  <c r="L118" i="5"/>
  <c r="N118" i="5"/>
  <c r="Z118" i="5"/>
  <c r="AA118" i="5"/>
  <c r="AB118" i="5"/>
  <c r="AC118" i="5"/>
  <c r="AD118" i="5"/>
  <c r="AE118" i="5"/>
  <c r="AF118" i="5"/>
  <c r="AG118" i="5"/>
  <c r="AH118" i="5"/>
  <c r="AI118" i="5"/>
  <c r="AJ118" i="5"/>
  <c r="AK118" i="5"/>
  <c r="AL118" i="5"/>
  <c r="AM118" i="5"/>
  <c r="AN118" i="5"/>
  <c r="AO118" i="5"/>
  <c r="AP118" i="5"/>
  <c r="AQ118" i="5"/>
  <c r="AR118" i="5"/>
  <c r="AS118" i="5"/>
  <c r="I119" i="5"/>
  <c r="K119" i="5" s="1"/>
  <c r="L119" i="5"/>
  <c r="N119" i="5"/>
  <c r="Z119" i="5"/>
  <c r="AA119" i="5"/>
  <c r="AB119" i="5"/>
  <c r="AC119" i="5"/>
  <c r="AD119" i="5"/>
  <c r="AE119" i="5"/>
  <c r="AF119" i="5"/>
  <c r="AG119" i="5"/>
  <c r="AH119" i="5"/>
  <c r="AI119" i="5"/>
  <c r="AJ119" i="5"/>
  <c r="AK119" i="5"/>
  <c r="AL119" i="5"/>
  <c r="AM119" i="5"/>
  <c r="AN119" i="5"/>
  <c r="AO119" i="5"/>
  <c r="AP119" i="5"/>
  <c r="AQ119" i="5"/>
  <c r="AR119" i="5"/>
  <c r="AS119" i="5"/>
  <c r="I120" i="5"/>
  <c r="K120" i="5" s="1"/>
  <c r="L120" i="5"/>
  <c r="N120" i="5"/>
  <c r="Z120" i="5"/>
  <c r="AA120" i="5"/>
  <c r="AB120" i="5"/>
  <c r="AC120" i="5"/>
  <c r="AD120" i="5"/>
  <c r="AE120" i="5"/>
  <c r="AF120" i="5"/>
  <c r="AG120" i="5"/>
  <c r="AH120" i="5"/>
  <c r="AI120" i="5"/>
  <c r="AJ120" i="5"/>
  <c r="AK120" i="5"/>
  <c r="AL120" i="5"/>
  <c r="AM120" i="5"/>
  <c r="AN120" i="5"/>
  <c r="AO120" i="5"/>
  <c r="AP120" i="5"/>
  <c r="AQ120" i="5"/>
  <c r="AR120" i="5"/>
  <c r="AS120" i="5"/>
  <c r="I121" i="5"/>
  <c r="K121" i="5" s="1"/>
  <c r="L121" i="5"/>
  <c r="N121" i="5"/>
  <c r="Z121" i="5"/>
  <c r="AA121" i="5"/>
  <c r="AB121" i="5"/>
  <c r="AC121" i="5"/>
  <c r="AD121" i="5"/>
  <c r="AE121" i="5"/>
  <c r="AF121" i="5"/>
  <c r="AG121" i="5"/>
  <c r="AH121" i="5"/>
  <c r="AI121" i="5"/>
  <c r="AJ121" i="5"/>
  <c r="AK121" i="5"/>
  <c r="AL121" i="5"/>
  <c r="AM121" i="5"/>
  <c r="AN121" i="5"/>
  <c r="AO121" i="5"/>
  <c r="AP121" i="5"/>
  <c r="AQ121" i="5"/>
  <c r="AR121" i="5"/>
  <c r="AS121" i="5"/>
  <c r="I122" i="5"/>
  <c r="K122" i="5" s="1"/>
  <c r="L122" i="5"/>
  <c r="N122" i="5"/>
  <c r="Z122" i="5"/>
  <c r="AA122" i="5"/>
  <c r="AB122" i="5"/>
  <c r="AC122" i="5"/>
  <c r="AD122" i="5"/>
  <c r="AE122" i="5"/>
  <c r="AF122" i="5"/>
  <c r="AG122" i="5"/>
  <c r="AH122" i="5"/>
  <c r="AI122" i="5"/>
  <c r="AJ122" i="5"/>
  <c r="AK122" i="5"/>
  <c r="AL122" i="5"/>
  <c r="AM122" i="5"/>
  <c r="AN122" i="5"/>
  <c r="AO122" i="5"/>
  <c r="AP122" i="5"/>
  <c r="AQ122" i="5"/>
  <c r="AR122" i="5"/>
  <c r="AS122" i="5"/>
  <c r="I123" i="5"/>
  <c r="K123" i="5" s="1"/>
  <c r="L123" i="5"/>
  <c r="N123" i="5"/>
  <c r="Z123" i="5"/>
  <c r="AA123" i="5"/>
  <c r="AB123" i="5"/>
  <c r="AC123" i="5"/>
  <c r="AD123" i="5"/>
  <c r="AE123" i="5"/>
  <c r="AF123" i="5"/>
  <c r="AG123" i="5"/>
  <c r="AH123" i="5"/>
  <c r="AI123" i="5"/>
  <c r="AJ123" i="5"/>
  <c r="AK123" i="5"/>
  <c r="AL123" i="5"/>
  <c r="AM123" i="5"/>
  <c r="AN123" i="5"/>
  <c r="AO123" i="5"/>
  <c r="AP123" i="5"/>
  <c r="AQ123" i="5"/>
  <c r="AR123" i="5"/>
  <c r="AS123" i="5"/>
  <c r="I124" i="5"/>
  <c r="K124" i="5" s="1"/>
  <c r="L124" i="5"/>
  <c r="N124" i="5"/>
  <c r="Z124" i="5"/>
  <c r="AA124" i="5"/>
  <c r="AB124" i="5"/>
  <c r="AC124" i="5"/>
  <c r="AD124" i="5"/>
  <c r="AE124" i="5"/>
  <c r="AF124" i="5"/>
  <c r="AG124" i="5"/>
  <c r="AH124" i="5"/>
  <c r="AI124" i="5"/>
  <c r="AJ124" i="5"/>
  <c r="AK124" i="5"/>
  <c r="AL124" i="5"/>
  <c r="AM124" i="5"/>
  <c r="AN124" i="5"/>
  <c r="AO124" i="5"/>
  <c r="AP124" i="5"/>
  <c r="AQ124" i="5"/>
  <c r="AR124" i="5"/>
  <c r="AS124" i="5"/>
  <c r="I125" i="5"/>
  <c r="K125" i="5" s="1"/>
  <c r="L125" i="5"/>
  <c r="N125" i="5"/>
  <c r="Z125" i="5"/>
  <c r="AA125" i="5"/>
  <c r="AB125" i="5"/>
  <c r="AC125" i="5"/>
  <c r="AD125" i="5"/>
  <c r="AE125" i="5"/>
  <c r="AF125" i="5"/>
  <c r="AG125" i="5"/>
  <c r="AH125" i="5"/>
  <c r="AI125" i="5"/>
  <c r="AJ125" i="5"/>
  <c r="AK125" i="5"/>
  <c r="AL125" i="5"/>
  <c r="AM125" i="5"/>
  <c r="AN125" i="5"/>
  <c r="AO125" i="5"/>
  <c r="AP125" i="5"/>
  <c r="AQ125" i="5"/>
  <c r="AR125" i="5"/>
  <c r="AS125" i="5"/>
  <c r="I126" i="5"/>
  <c r="K126" i="5" s="1"/>
  <c r="L126" i="5"/>
  <c r="N126" i="5"/>
  <c r="Z126" i="5"/>
  <c r="AA126" i="5"/>
  <c r="AB126" i="5"/>
  <c r="AC126" i="5"/>
  <c r="AD126" i="5"/>
  <c r="AE126" i="5"/>
  <c r="AF126" i="5"/>
  <c r="AG126" i="5"/>
  <c r="AH126" i="5"/>
  <c r="AI126" i="5"/>
  <c r="AJ126" i="5"/>
  <c r="AK126" i="5"/>
  <c r="AL126" i="5"/>
  <c r="AM126" i="5"/>
  <c r="AN126" i="5"/>
  <c r="AO126" i="5"/>
  <c r="AP126" i="5"/>
  <c r="AQ126" i="5"/>
  <c r="AR126" i="5"/>
  <c r="AS126" i="5"/>
  <c r="I127" i="5"/>
  <c r="K127" i="5" s="1"/>
  <c r="L127" i="5"/>
  <c r="N127" i="5"/>
  <c r="Z127" i="5"/>
  <c r="AA127" i="5"/>
  <c r="AB127" i="5"/>
  <c r="AC127" i="5"/>
  <c r="AD127" i="5"/>
  <c r="AE127" i="5"/>
  <c r="AF127" i="5"/>
  <c r="AG127" i="5"/>
  <c r="AH127" i="5"/>
  <c r="AI127" i="5"/>
  <c r="AJ127" i="5"/>
  <c r="AK127" i="5"/>
  <c r="AL127" i="5"/>
  <c r="AM127" i="5"/>
  <c r="AN127" i="5"/>
  <c r="AO127" i="5"/>
  <c r="AP127" i="5"/>
  <c r="AQ127" i="5"/>
  <c r="AR127" i="5"/>
  <c r="AS127" i="5"/>
  <c r="I128" i="5"/>
  <c r="K128" i="5" s="1"/>
  <c r="L128" i="5"/>
  <c r="N128" i="5"/>
  <c r="Z128" i="5"/>
  <c r="AA128" i="5"/>
  <c r="AB128" i="5"/>
  <c r="AC128" i="5"/>
  <c r="AD128" i="5"/>
  <c r="AE128" i="5"/>
  <c r="AF128" i="5"/>
  <c r="AG128" i="5"/>
  <c r="AH128" i="5"/>
  <c r="AI128" i="5"/>
  <c r="AJ128" i="5"/>
  <c r="AK128" i="5"/>
  <c r="AL128" i="5"/>
  <c r="AM128" i="5"/>
  <c r="AN128" i="5"/>
  <c r="AO128" i="5"/>
  <c r="AP128" i="5"/>
  <c r="AQ128" i="5"/>
  <c r="AR128" i="5"/>
  <c r="AS128" i="5"/>
  <c r="I129" i="5"/>
  <c r="K129" i="5" s="1"/>
  <c r="L129" i="5"/>
  <c r="N129" i="5"/>
  <c r="Z129" i="5"/>
  <c r="AA129" i="5"/>
  <c r="AB129" i="5"/>
  <c r="AC129" i="5"/>
  <c r="AD129" i="5"/>
  <c r="AE129" i="5"/>
  <c r="AF129" i="5"/>
  <c r="AG129" i="5"/>
  <c r="AH129" i="5"/>
  <c r="AI129" i="5"/>
  <c r="AJ129" i="5"/>
  <c r="AK129" i="5"/>
  <c r="AL129" i="5"/>
  <c r="AM129" i="5"/>
  <c r="AN129" i="5"/>
  <c r="AO129" i="5"/>
  <c r="AP129" i="5"/>
  <c r="AQ129" i="5"/>
  <c r="AR129" i="5"/>
  <c r="AS129" i="5"/>
  <c r="I130" i="5"/>
  <c r="K130" i="5" s="1"/>
  <c r="L130" i="5"/>
  <c r="N130" i="5"/>
  <c r="Z130" i="5"/>
  <c r="AA130" i="5"/>
  <c r="AB130" i="5"/>
  <c r="AC130" i="5"/>
  <c r="AD130" i="5"/>
  <c r="AE130" i="5"/>
  <c r="AF130" i="5"/>
  <c r="AG130" i="5"/>
  <c r="AH130" i="5"/>
  <c r="AI130" i="5"/>
  <c r="AJ130" i="5"/>
  <c r="AK130" i="5"/>
  <c r="AL130" i="5"/>
  <c r="AM130" i="5"/>
  <c r="AN130" i="5"/>
  <c r="AO130" i="5"/>
  <c r="AP130" i="5"/>
  <c r="AQ130" i="5"/>
  <c r="AR130" i="5"/>
  <c r="AS130" i="5"/>
  <c r="I131" i="5"/>
  <c r="K131" i="5" s="1"/>
  <c r="L131" i="5"/>
  <c r="N131" i="5"/>
  <c r="Z131" i="5"/>
  <c r="AA131" i="5"/>
  <c r="AB131" i="5"/>
  <c r="AC131" i="5"/>
  <c r="AD131" i="5"/>
  <c r="AE131" i="5"/>
  <c r="AF131" i="5"/>
  <c r="AG131" i="5"/>
  <c r="AH131" i="5"/>
  <c r="AI131" i="5"/>
  <c r="AJ131" i="5"/>
  <c r="AK131" i="5"/>
  <c r="AL131" i="5"/>
  <c r="AM131" i="5"/>
  <c r="AN131" i="5"/>
  <c r="AO131" i="5"/>
  <c r="AP131" i="5"/>
  <c r="AQ131" i="5"/>
  <c r="AR131" i="5"/>
  <c r="AS131" i="5"/>
  <c r="I132" i="5"/>
  <c r="K132" i="5" s="1"/>
  <c r="L132" i="5"/>
  <c r="N132" i="5"/>
  <c r="Z132" i="5"/>
  <c r="AA132" i="5"/>
  <c r="AB132" i="5"/>
  <c r="AC132" i="5"/>
  <c r="AD132" i="5"/>
  <c r="AE132" i="5"/>
  <c r="AF132" i="5"/>
  <c r="AG132" i="5"/>
  <c r="AH132" i="5"/>
  <c r="AI132" i="5"/>
  <c r="AJ132" i="5"/>
  <c r="AK132" i="5"/>
  <c r="AL132" i="5"/>
  <c r="AM132" i="5"/>
  <c r="AN132" i="5"/>
  <c r="AO132" i="5"/>
  <c r="AP132" i="5"/>
  <c r="AQ132" i="5"/>
  <c r="AR132" i="5"/>
  <c r="AS132" i="5"/>
  <c r="I133" i="5"/>
  <c r="K133" i="5" s="1"/>
  <c r="L133" i="5"/>
  <c r="N133" i="5"/>
  <c r="Z133" i="5"/>
  <c r="AA133" i="5"/>
  <c r="AB133" i="5"/>
  <c r="AC133" i="5"/>
  <c r="AD133" i="5"/>
  <c r="AE133" i="5"/>
  <c r="AF133" i="5"/>
  <c r="AG133" i="5"/>
  <c r="AH133" i="5"/>
  <c r="AI133" i="5"/>
  <c r="AJ133" i="5"/>
  <c r="AK133" i="5"/>
  <c r="AL133" i="5"/>
  <c r="AM133" i="5"/>
  <c r="AN133" i="5"/>
  <c r="AO133" i="5"/>
  <c r="AP133" i="5"/>
  <c r="AQ133" i="5"/>
  <c r="AR133" i="5"/>
  <c r="AS133" i="5"/>
  <c r="I134" i="5"/>
  <c r="K134" i="5" s="1"/>
  <c r="L134" i="5"/>
  <c r="N134" i="5"/>
  <c r="Z134" i="5"/>
  <c r="AA134" i="5"/>
  <c r="AB134" i="5"/>
  <c r="AC134" i="5"/>
  <c r="AD134" i="5"/>
  <c r="AE134" i="5"/>
  <c r="AF134" i="5"/>
  <c r="AG134" i="5"/>
  <c r="AH134" i="5"/>
  <c r="AI134" i="5"/>
  <c r="AJ134" i="5"/>
  <c r="AK134" i="5"/>
  <c r="AL134" i="5"/>
  <c r="AM134" i="5"/>
  <c r="AN134" i="5"/>
  <c r="AO134" i="5"/>
  <c r="AP134" i="5"/>
  <c r="AQ134" i="5"/>
  <c r="AR134" i="5"/>
  <c r="AS134" i="5"/>
  <c r="I135" i="5"/>
  <c r="K135" i="5" s="1"/>
  <c r="L135" i="5"/>
  <c r="N135" i="5"/>
  <c r="Z135" i="5"/>
  <c r="AA135" i="5"/>
  <c r="AB135" i="5"/>
  <c r="AC135" i="5"/>
  <c r="AD135" i="5"/>
  <c r="AE135" i="5"/>
  <c r="AF135" i="5"/>
  <c r="AG135" i="5"/>
  <c r="AH135" i="5"/>
  <c r="AI135" i="5"/>
  <c r="AJ135" i="5"/>
  <c r="AK135" i="5"/>
  <c r="AL135" i="5"/>
  <c r="AM135" i="5"/>
  <c r="AN135" i="5"/>
  <c r="AO135" i="5"/>
  <c r="AP135" i="5"/>
  <c r="AQ135" i="5"/>
  <c r="AR135" i="5"/>
  <c r="AS135" i="5"/>
  <c r="I136" i="5"/>
  <c r="K136" i="5" s="1"/>
  <c r="L136" i="5"/>
  <c r="N136" i="5"/>
  <c r="Z136" i="5"/>
  <c r="AA136" i="5"/>
  <c r="AB136" i="5"/>
  <c r="AC136" i="5"/>
  <c r="AD136" i="5"/>
  <c r="AE136" i="5"/>
  <c r="AF136" i="5"/>
  <c r="AG136" i="5"/>
  <c r="AH136" i="5"/>
  <c r="AI136" i="5"/>
  <c r="AJ136" i="5"/>
  <c r="AK136" i="5"/>
  <c r="AL136" i="5"/>
  <c r="AM136" i="5"/>
  <c r="AN136" i="5"/>
  <c r="AO136" i="5"/>
  <c r="AP136" i="5"/>
  <c r="AQ136" i="5"/>
  <c r="AR136" i="5"/>
  <c r="AS136" i="5"/>
  <c r="I137" i="5"/>
  <c r="K137" i="5" s="1"/>
  <c r="L137" i="5"/>
  <c r="N137" i="5"/>
  <c r="Z137" i="5"/>
  <c r="AA137" i="5"/>
  <c r="AB137" i="5"/>
  <c r="AC137" i="5"/>
  <c r="AD137" i="5"/>
  <c r="AE137" i="5"/>
  <c r="AF137" i="5"/>
  <c r="AG137" i="5"/>
  <c r="AH137" i="5"/>
  <c r="AI137" i="5"/>
  <c r="AJ137" i="5"/>
  <c r="AK137" i="5"/>
  <c r="AL137" i="5"/>
  <c r="AM137" i="5"/>
  <c r="AN137" i="5"/>
  <c r="AO137" i="5"/>
  <c r="AP137" i="5"/>
  <c r="AQ137" i="5"/>
  <c r="AR137" i="5"/>
  <c r="AS137" i="5"/>
  <c r="I138" i="5"/>
  <c r="K138" i="5" s="1"/>
  <c r="L138" i="5"/>
  <c r="N138" i="5"/>
  <c r="Z138" i="5"/>
  <c r="AA138" i="5"/>
  <c r="AB138" i="5"/>
  <c r="AC138" i="5"/>
  <c r="AD138" i="5"/>
  <c r="AE138" i="5"/>
  <c r="AF138" i="5"/>
  <c r="AG138" i="5"/>
  <c r="AH138" i="5"/>
  <c r="AI138" i="5"/>
  <c r="AJ138" i="5"/>
  <c r="AK138" i="5"/>
  <c r="AL138" i="5"/>
  <c r="AM138" i="5"/>
  <c r="AN138" i="5"/>
  <c r="AO138" i="5"/>
  <c r="AP138" i="5"/>
  <c r="AQ138" i="5"/>
  <c r="AR138" i="5"/>
  <c r="AS138" i="5"/>
  <c r="I139" i="5"/>
  <c r="K139" i="5" s="1"/>
  <c r="L139" i="5"/>
  <c r="N139" i="5"/>
  <c r="Z139" i="5"/>
  <c r="AA139" i="5"/>
  <c r="AB139" i="5"/>
  <c r="AC139" i="5"/>
  <c r="AD139" i="5"/>
  <c r="AE139" i="5"/>
  <c r="AF139" i="5"/>
  <c r="AG139" i="5"/>
  <c r="AH139" i="5"/>
  <c r="AI139" i="5"/>
  <c r="AJ139" i="5"/>
  <c r="AK139" i="5"/>
  <c r="AL139" i="5"/>
  <c r="AM139" i="5"/>
  <c r="AN139" i="5"/>
  <c r="AO139" i="5"/>
  <c r="AP139" i="5"/>
  <c r="AQ139" i="5"/>
  <c r="AR139" i="5"/>
  <c r="AS139" i="5"/>
  <c r="I140" i="5"/>
  <c r="K140" i="5" s="1"/>
  <c r="L140" i="5"/>
  <c r="N140" i="5"/>
  <c r="Z140" i="5"/>
  <c r="AA140" i="5"/>
  <c r="AB140" i="5"/>
  <c r="AC140" i="5"/>
  <c r="AD140" i="5"/>
  <c r="AE140" i="5"/>
  <c r="AF140" i="5"/>
  <c r="AG140" i="5"/>
  <c r="AH140" i="5"/>
  <c r="AI140" i="5"/>
  <c r="AJ140" i="5"/>
  <c r="AK140" i="5"/>
  <c r="AL140" i="5"/>
  <c r="AM140" i="5"/>
  <c r="AN140" i="5"/>
  <c r="AO140" i="5"/>
  <c r="AP140" i="5"/>
  <c r="AQ140" i="5"/>
  <c r="AR140" i="5"/>
  <c r="AS140" i="5"/>
  <c r="I141" i="5"/>
  <c r="K141" i="5" s="1"/>
  <c r="L141" i="5"/>
  <c r="N141" i="5"/>
  <c r="Z141" i="5"/>
  <c r="AA141" i="5"/>
  <c r="AB141" i="5"/>
  <c r="AC141" i="5"/>
  <c r="AD141" i="5"/>
  <c r="AE141" i="5"/>
  <c r="AF141" i="5"/>
  <c r="AG141" i="5"/>
  <c r="AH141" i="5"/>
  <c r="AI141" i="5"/>
  <c r="AJ141" i="5"/>
  <c r="AK141" i="5"/>
  <c r="AL141" i="5"/>
  <c r="AM141" i="5"/>
  <c r="AN141" i="5"/>
  <c r="AO141" i="5"/>
  <c r="AP141" i="5"/>
  <c r="AQ141" i="5"/>
  <c r="AR141" i="5"/>
  <c r="AS141" i="5"/>
  <c r="I142" i="5"/>
  <c r="K142" i="5" s="1"/>
  <c r="L142" i="5"/>
  <c r="N142" i="5"/>
  <c r="Z142" i="5"/>
  <c r="AA142" i="5"/>
  <c r="AB142" i="5"/>
  <c r="AC142" i="5"/>
  <c r="AD142" i="5"/>
  <c r="AE142" i="5"/>
  <c r="AF142" i="5"/>
  <c r="AG142" i="5"/>
  <c r="AH142" i="5"/>
  <c r="AI142" i="5"/>
  <c r="AJ142" i="5"/>
  <c r="AK142" i="5"/>
  <c r="AL142" i="5"/>
  <c r="AM142" i="5"/>
  <c r="AN142" i="5"/>
  <c r="AO142" i="5"/>
  <c r="AP142" i="5"/>
  <c r="AQ142" i="5"/>
  <c r="AR142" i="5"/>
  <c r="AS142" i="5"/>
  <c r="I143" i="5"/>
  <c r="K143" i="5" s="1"/>
  <c r="L143" i="5"/>
  <c r="N143" i="5"/>
  <c r="Z143" i="5"/>
  <c r="AA143" i="5"/>
  <c r="AB143" i="5"/>
  <c r="AC143" i="5"/>
  <c r="AD143" i="5"/>
  <c r="AE143" i="5"/>
  <c r="AF143" i="5"/>
  <c r="AG143" i="5"/>
  <c r="AH143" i="5"/>
  <c r="AI143" i="5"/>
  <c r="AJ143" i="5"/>
  <c r="AK143" i="5"/>
  <c r="AL143" i="5"/>
  <c r="AM143" i="5"/>
  <c r="AN143" i="5"/>
  <c r="AO143" i="5"/>
  <c r="AP143" i="5"/>
  <c r="AQ143" i="5"/>
  <c r="AR143" i="5"/>
  <c r="AS143" i="5"/>
  <c r="I144" i="5"/>
  <c r="K144" i="5" s="1"/>
  <c r="L144" i="5"/>
  <c r="N144" i="5"/>
  <c r="Z144" i="5"/>
  <c r="AA144" i="5"/>
  <c r="AB144" i="5"/>
  <c r="AC144" i="5"/>
  <c r="AD144" i="5"/>
  <c r="AE144" i="5"/>
  <c r="AF144" i="5"/>
  <c r="AG144" i="5"/>
  <c r="AH144" i="5"/>
  <c r="AI144" i="5"/>
  <c r="AJ144" i="5"/>
  <c r="AK144" i="5"/>
  <c r="AL144" i="5"/>
  <c r="AM144" i="5"/>
  <c r="AN144" i="5"/>
  <c r="AO144" i="5"/>
  <c r="AP144" i="5"/>
  <c r="AQ144" i="5"/>
  <c r="AR144" i="5"/>
  <c r="AS144" i="5"/>
  <c r="I145" i="5"/>
  <c r="K145" i="5" s="1"/>
  <c r="L145" i="5"/>
  <c r="N145" i="5"/>
  <c r="Z145" i="5"/>
  <c r="AA145" i="5"/>
  <c r="AB145" i="5"/>
  <c r="AC145" i="5"/>
  <c r="AD145" i="5"/>
  <c r="AE145" i="5"/>
  <c r="AF145" i="5"/>
  <c r="AG145" i="5"/>
  <c r="AH145" i="5"/>
  <c r="AI145" i="5"/>
  <c r="AJ145" i="5"/>
  <c r="AK145" i="5"/>
  <c r="AL145" i="5"/>
  <c r="AM145" i="5"/>
  <c r="AN145" i="5"/>
  <c r="AO145" i="5"/>
  <c r="AP145" i="5"/>
  <c r="AQ145" i="5"/>
  <c r="AR145" i="5"/>
  <c r="AS145" i="5"/>
  <c r="I146" i="5"/>
  <c r="K146" i="5" s="1"/>
  <c r="L146" i="5"/>
  <c r="N146" i="5"/>
  <c r="Z146" i="5"/>
  <c r="AA146" i="5"/>
  <c r="AB146" i="5"/>
  <c r="AC146" i="5"/>
  <c r="AD146" i="5"/>
  <c r="AE146" i="5"/>
  <c r="AF146" i="5"/>
  <c r="AG146" i="5"/>
  <c r="AH146" i="5"/>
  <c r="AI146" i="5"/>
  <c r="AJ146" i="5"/>
  <c r="AK146" i="5"/>
  <c r="AL146" i="5"/>
  <c r="AM146" i="5"/>
  <c r="AN146" i="5"/>
  <c r="AO146" i="5"/>
  <c r="AP146" i="5"/>
  <c r="AQ146" i="5"/>
  <c r="AR146" i="5"/>
  <c r="AS146" i="5"/>
  <c r="I147" i="5"/>
  <c r="K147" i="5" s="1"/>
  <c r="L147" i="5"/>
  <c r="N147" i="5"/>
  <c r="Z147" i="5"/>
  <c r="AA147" i="5"/>
  <c r="AB147" i="5"/>
  <c r="AC147" i="5"/>
  <c r="AD147" i="5"/>
  <c r="AE147" i="5"/>
  <c r="AF147" i="5"/>
  <c r="AG147" i="5"/>
  <c r="AH147" i="5"/>
  <c r="AI147" i="5"/>
  <c r="AJ147" i="5"/>
  <c r="AK147" i="5"/>
  <c r="AL147" i="5"/>
  <c r="AM147" i="5"/>
  <c r="AN147" i="5"/>
  <c r="AO147" i="5"/>
  <c r="AP147" i="5"/>
  <c r="AQ147" i="5"/>
  <c r="AR147" i="5"/>
  <c r="AS147" i="5"/>
  <c r="I148" i="5"/>
  <c r="K148" i="5" s="1"/>
  <c r="L148" i="5"/>
  <c r="N148" i="5"/>
  <c r="Z148" i="5"/>
  <c r="AA148" i="5"/>
  <c r="AB148" i="5"/>
  <c r="AC148" i="5"/>
  <c r="AD148" i="5"/>
  <c r="AE148" i="5"/>
  <c r="AF148" i="5"/>
  <c r="AG148" i="5"/>
  <c r="AH148" i="5"/>
  <c r="AI148" i="5"/>
  <c r="AJ148" i="5"/>
  <c r="AK148" i="5"/>
  <c r="AL148" i="5"/>
  <c r="AM148" i="5"/>
  <c r="AN148" i="5"/>
  <c r="AO148" i="5"/>
  <c r="AP148" i="5"/>
  <c r="AQ148" i="5"/>
  <c r="AR148" i="5"/>
  <c r="AS148" i="5"/>
  <c r="I149" i="5"/>
  <c r="K149" i="5" s="1"/>
  <c r="L149" i="5"/>
  <c r="N149" i="5"/>
  <c r="Z149" i="5"/>
  <c r="AA149" i="5"/>
  <c r="AB149" i="5"/>
  <c r="AC149" i="5"/>
  <c r="AD149" i="5"/>
  <c r="AE149" i="5"/>
  <c r="AF149" i="5"/>
  <c r="AG149" i="5"/>
  <c r="AH149" i="5"/>
  <c r="AI149" i="5"/>
  <c r="AJ149" i="5"/>
  <c r="AK149" i="5"/>
  <c r="AL149" i="5"/>
  <c r="AM149" i="5"/>
  <c r="AN149" i="5"/>
  <c r="AO149" i="5"/>
  <c r="AP149" i="5"/>
  <c r="AQ149" i="5"/>
  <c r="AR149" i="5"/>
  <c r="AS149" i="5"/>
  <c r="I150" i="5"/>
  <c r="K150" i="5" s="1"/>
  <c r="L150" i="5"/>
  <c r="N150" i="5"/>
  <c r="Z150" i="5"/>
  <c r="AA150" i="5"/>
  <c r="AB150" i="5"/>
  <c r="AC150" i="5"/>
  <c r="AD150" i="5"/>
  <c r="AE150" i="5"/>
  <c r="AF150" i="5"/>
  <c r="AG150" i="5"/>
  <c r="AH150" i="5"/>
  <c r="AI150" i="5"/>
  <c r="AJ150" i="5"/>
  <c r="AK150" i="5"/>
  <c r="AL150" i="5"/>
  <c r="AM150" i="5"/>
  <c r="AN150" i="5"/>
  <c r="AO150" i="5"/>
  <c r="AP150" i="5"/>
  <c r="AQ150" i="5"/>
  <c r="AR150" i="5"/>
  <c r="AS150" i="5"/>
  <c r="I151" i="5"/>
  <c r="K151" i="5" s="1"/>
  <c r="L151" i="5"/>
  <c r="N151" i="5"/>
  <c r="Z151" i="5"/>
  <c r="AA151" i="5"/>
  <c r="AB151" i="5"/>
  <c r="AC151" i="5"/>
  <c r="AD151" i="5"/>
  <c r="AE151" i="5"/>
  <c r="AF151" i="5"/>
  <c r="AG151" i="5"/>
  <c r="AH151" i="5"/>
  <c r="AI151" i="5"/>
  <c r="AJ151" i="5"/>
  <c r="AK151" i="5"/>
  <c r="AL151" i="5"/>
  <c r="AM151" i="5"/>
  <c r="AN151" i="5"/>
  <c r="AO151" i="5"/>
  <c r="AP151" i="5"/>
  <c r="AQ151" i="5"/>
  <c r="AR151" i="5"/>
  <c r="AS151" i="5"/>
  <c r="I152" i="5"/>
  <c r="K152" i="5" s="1"/>
  <c r="L152" i="5"/>
  <c r="N152" i="5"/>
  <c r="Z152" i="5"/>
  <c r="AA152" i="5"/>
  <c r="AB152" i="5"/>
  <c r="AC152" i="5"/>
  <c r="AD152" i="5"/>
  <c r="AE152" i="5"/>
  <c r="AF152" i="5"/>
  <c r="AG152" i="5"/>
  <c r="AH152" i="5"/>
  <c r="AI152" i="5"/>
  <c r="AJ152" i="5"/>
  <c r="AK152" i="5"/>
  <c r="AL152" i="5"/>
  <c r="AM152" i="5"/>
  <c r="AN152" i="5"/>
  <c r="AO152" i="5"/>
  <c r="AP152" i="5"/>
  <c r="AQ152" i="5"/>
  <c r="AR152" i="5"/>
  <c r="AS152" i="5"/>
  <c r="I153" i="5"/>
  <c r="K153" i="5" s="1"/>
  <c r="L153" i="5"/>
  <c r="N153" i="5"/>
  <c r="Z153" i="5"/>
  <c r="AA153" i="5"/>
  <c r="AB153" i="5"/>
  <c r="AC153" i="5"/>
  <c r="AD153" i="5"/>
  <c r="AE153" i="5"/>
  <c r="AF153" i="5"/>
  <c r="AG153" i="5"/>
  <c r="AH153" i="5"/>
  <c r="AI153" i="5"/>
  <c r="AJ153" i="5"/>
  <c r="AK153" i="5"/>
  <c r="AL153" i="5"/>
  <c r="AM153" i="5"/>
  <c r="AN153" i="5"/>
  <c r="AO153" i="5"/>
  <c r="AP153" i="5"/>
  <c r="AQ153" i="5"/>
  <c r="AR153" i="5"/>
  <c r="AS153" i="5"/>
  <c r="I154" i="5"/>
  <c r="K154" i="5" s="1"/>
  <c r="L154" i="5"/>
  <c r="N154" i="5"/>
  <c r="Z154" i="5"/>
  <c r="AA154" i="5"/>
  <c r="AB154" i="5"/>
  <c r="AC154" i="5"/>
  <c r="AD154" i="5"/>
  <c r="AE154" i="5"/>
  <c r="AF154" i="5"/>
  <c r="AG154" i="5"/>
  <c r="AH154" i="5"/>
  <c r="AI154" i="5"/>
  <c r="AJ154" i="5"/>
  <c r="AK154" i="5"/>
  <c r="AL154" i="5"/>
  <c r="AM154" i="5"/>
  <c r="AN154" i="5"/>
  <c r="AO154" i="5"/>
  <c r="AP154" i="5"/>
  <c r="AQ154" i="5"/>
  <c r="AR154" i="5"/>
  <c r="AS154" i="5"/>
  <c r="I155" i="5"/>
  <c r="K155" i="5" s="1"/>
  <c r="L155" i="5"/>
  <c r="N155" i="5"/>
  <c r="Z155" i="5"/>
  <c r="AA155" i="5"/>
  <c r="AB155" i="5"/>
  <c r="AC155" i="5"/>
  <c r="AD155" i="5"/>
  <c r="AE155" i="5"/>
  <c r="AF155" i="5"/>
  <c r="AG155" i="5"/>
  <c r="AH155" i="5"/>
  <c r="AI155" i="5"/>
  <c r="AJ155" i="5"/>
  <c r="AK155" i="5"/>
  <c r="AL155" i="5"/>
  <c r="AM155" i="5"/>
  <c r="AN155" i="5"/>
  <c r="AO155" i="5"/>
  <c r="AP155" i="5"/>
  <c r="AQ155" i="5"/>
  <c r="AR155" i="5"/>
  <c r="AS155" i="5"/>
  <c r="I156" i="5"/>
  <c r="K156" i="5" s="1"/>
  <c r="L156" i="5"/>
  <c r="N156" i="5"/>
  <c r="Z156" i="5"/>
  <c r="AA156" i="5"/>
  <c r="AB156" i="5"/>
  <c r="AC156" i="5"/>
  <c r="AD156" i="5"/>
  <c r="AE156" i="5"/>
  <c r="AF156" i="5"/>
  <c r="AG156" i="5"/>
  <c r="AH156" i="5"/>
  <c r="AI156" i="5"/>
  <c r="AJ156" i="5"/>
  <c r="AK156" i="5"/>
  <c r="AL156" i="5"/>
  <c r="AM156" i="5"/>
  <c r="AN156" i="5"/>
  <c r="AO156" i="5"/>
  <c r="AP156" i="5"/>
  <c r="AQ156" i="5"/>
  <c r="AR156" i="5"/>
  <c r="AS156" i="5"/>
  <c r="I157" i="5"/>
  <c r="K157" i="5" s="1"/>
  <c r="L157" i="5"/>
  <c r="N157" i="5"/>
  <c r="Z157" i="5"/>
  <c r="AA157" i="5"/>
  <c r="AB157" i="5"/>
  <c r="AC157" i="5"/>
  <c r="AD157" i="5"/>
  <c r="AE157" i="5"/>
  <c r="AF157" i="5"/>
  <c r="AG157" i="5"/>
  <c r="AH157" i="5"/>
  <c r="AI157" i="5"/>
  <c r="AJ157" i="5"/>
  <c r="AK157" i="5"/>
  <c r="AL157" i="5"/>
  <c r="AM157" i="5"/>
  <c r="AN157" i="5"/>
  <c r="AO157" i="5"/>
  <c r="AP157" i="5"/>
  <c r="AQ157" i="5"/>
  <c r="AR157" i="5"/>
  <c r="AS157" i="5"/>
  <c r="I158" i="5"/>
  <c r="K158" i="5" s="1"/>
  <c r="L158" i="5"/>
  <c r="N158" i="5"/>
  <c r="Z158" i="5"/>
  <c r="AA158" i="5"/>
  <c r="AB158" i="5"/>
  <c r="AC158" i="5"/>
  <c r="AD158" i="5"/>
  <c r="AE158" i="5"/>
  <c r="AF158" i="5"/>
  <c r="AG158" i="5"/>
  <c r="AH158" i="5"/>
  <c r="AI158" i="5"/>
  <c r="AJ158" i="5"/>
  <c r="AK158" i="5"/>
  <c r="AL158" i="5"/>
  <c r="AM158" i="5"/>
  <c r="AN158" i="5"/>
  <c r="AO158" i="5"/>
  <c r="AP158" i="5"/>
  <c r="AQ158" i="5"/>
  <c r="AR158" i="5"/>
  <c r="AS158" i="5"/>
  <c r="I159" i="5"/>
  <c r="K159" i="5" s="1"/>
  <c r="L159" i="5"/>
  <c r="N159" i="5"/>
  <c r="Z159" i="5"/>
  <c r="AA159" i="5"/>
  <c r="AB159" i="5"/>
  <c r="AC159" i="5"/>
  <c r="AD159" i="5"/>
  <c r="AE159" i="5"/>
  <c r="AF159" i="5"/>
  <c r="AG159" i="5"/>
  <c r="AH159" i="5"/>
  <c r="AI159" i="5"/>
  <c r="AJ159" i="5"/>
  <c r="AK159" i="5"/>
  <c r="AL159" i="5"/>
  <c r="AM159" i="5"/>
  <c r="AN159" i="5"/>
  <c r="AO159" i="5"/>
  <c r="AP159" i="5"/>
  <c r="AQ159" i="5"/>
  <c r="AR159" i="5"/>
  <c r="AS159" i="5"/>
  <c r="I160" i="5"/>
  <c r="K160" i="5" s="1"/>
  <c r="L160" i="5"/>
  <c r="N160" i="5"/>
  <c r="Z160" i="5"/>
  <c r="AA160" i="5"/>
  <c r="AB160" i="5"/>
  <c r="AC160" i="5"/>
  <c r="AD160" i="5"/>
  <c r="AE160" i="5"/>
  <c r="AF160" i="5"/>
  <c r="AG160" i="5"/>
  <c r="AH160" i="5"/>
  <c r="AI160" i="5"/>
  <c r="AJ160" i="5"/>
  <c r="AK160" i="5"/>
  <c r="AL160" i="5"/>
  <c r="AM160" i="5"/>
  <c r="AN160" i="5"/>
  <c r="AO160" i="5"/>
  <c r="AP160" i="5"/>
  <c r="AQ160" i="5"/>
  <c r="AR160" i="5"/>
  <c r="AS160" i="5"/>
  <c r="I161" i="5"/>
  <c r="K161" i="5" s="1"/>
  <c r="L161" i="5"/>
  <c r="N161" i="5"/>
  <c r="Z161" i="5"/>
  <c r="AA161" i="5"/>
  <c r="AB161" i="5"/>
  <c r="AC161" i="5"/>
  <c r="AD161" i="5"/>
  <c r="AE161" i="5"/>
  <c r="AF161" i="5"/>
  <c r="AG161" i="5"/>
  <c r="AH161" i="5"/>
  <c r="AI161" i="5"/>
  <c r="AJ161" i="5"/>
  <c r="AK161" i="5"/>
  <c r="AL161" i="5"/>
  <c r="AM161" i="5"/>
  <c r="AN161" i="5"/>
  <c r="AO161" i="5"/>
  <c r="AP161" i="5"/>
  <c r="AQ161" i="5"/>
  <c r="AR161" i="5"/>
  <c r="AS161" i="5"/>
  <c r="I162" i="5"/>
  <c r="K162" i="5" s="1"/>
  <c r="L162" i="5"/>
  <c r="N162" i="5"/>
  <c r="Z162" i="5"/>
  <c r="AA162" i="5"/>
  <c r="AB162" i="5"/>
  <c r="AC162" i="5"/>
  <c r="AD162" i="5"/>
  <c r="AE162" i="5"/>
  <c r="AF162" i="5"/>
  <c r="AG162" i="5"/>
  <c r="AH162" i="5"/>
  <c r="AI162" i="5"/>
  <c r="AJ162" i="5"/>
  <c r="AK162" i="5"/>
  <c r="AL162" i="5"/>
  <c r="AM162" i="5"/>
  <c r="AN162" i="5"/>
  <c r="AO162" i="5"/>
  <c r="AP162" i="5"/>
  <c r="AQ162" i="5"/>
  <c r="AR162" i="5"/>
  <c r="AS162" i="5"/>
  <c r="I163" i="5"/>
  <c r="K163" i="5" s="1"/>
  <c r="L163" i="5"/>
  <c r="N163" i="5"/>
  <c r="Z163" i="5"/>
  <c r="AA163" i="5"/>
  <c r="AB163" i="5"/>
  <c r="AC163" i="5"/>
  <c r="AD163" i="5"/>
  <c r="AE163" i="5"/>
  <c r="AF163" i="5"/>
  <c r="AG163" i="5"/>
  <c r="AH163" i="5"/>
  <c r="AI163" i="5"/>
  <c r="AJ163" i="5"/>
  <c r="AK163" i="5"/>
  <c r="AL163" i="5"/>
  <c r="AM163" i="5"/>
  <c r="AN163" i="5"/>
  <c r="AO163" i="5"/>
  <c r="AP163" i="5"/>
  <c r="AQ163" i="5"/>
  <c r="AR163" i="5"/>
  <c r="AS163" i="5"/>
  <c r="I164" i="5"/>
  <c r="K164" i="5" s="1"/>
  <c r="L164" i="5"/>
  <c r="N164" i="5"/>
  <c r="Z164" i="5"/>
  <c r="AA164" i="5"/>
  <c r="AB164" i="5"/>
  <c r="AC164" i="5"/>
  <c r="AD164" i="5"/>
  <c r="AE164" i="5"/>
  <c r="AF164" i="5"/>
  <c r="AG164" i="5"/>
  <c r="AH164" i="5"/>
  <c r="AI164" i="5"/>
  <c r="AJ164" i="5"/>
  <c r="AK164" i="5"/>
  <c r="AL164" i="5"/>
  <c r="AM164" i="5"/>
  <c r="AN164" i="5"/>
  <c r="AO164" i="5"/>
  <c r="AP164" i="5"/>
  <c r="AQ164" i="5"/>
  <c r="AR164" i="5"/>
  <c r="AS164" i="5"/>
  <c r="I165" i="5"/>
  <c r="K165" i="5" s="1"/>
  <c r="L165" i="5"/>
  <c r="N165" i="5"/>
  <c r="Z165" i="5"/>
  <c r="AA165" i="5"/>
  <c r="AB165" i="5"/>
  <c r="AC165" i="5"/>
  <c r="AD165" i="5"/>
  <c r="AE165" i="5"/>
  <c r="AF165" i="5"/>
  <c r="AG165" i="5"/>
  <c r="AH165" i="5"/>
  <c r="AI165" i="5"/>
  <c r="AJ165" i="5"/>
  <c r="AK165" i="5"/>
  <c r="AL165" i="5"/>
  <c r="AM165" i="5"/>
  <c r="AN165" i="5"/>
  <c r="AO165" i="5"/>
  <c r="AP165" i="5"/>
  <c r="AQ165" i="5"/>
  <c r="AR165" i="5"/>
  <c r="AS165" i="5"/>
  <c r="I166" i="5"/>
  <c r="K166" i="5" s="1"/>
  <c r="L166" i="5"/>
  <c r="N166" i="5"/>
  <c r="Z166" i="5"/>
  <c r="AA166" i="5"/>
  <c r="AB166" i="5"/>
  <c r="AC166" i="5"/>
  <c r="AD166" i="5"/>
  <c r="AE166" i="5"/>
  <c r="AF166" i="5"/>
  <c r="AG166" i="5"/>
  <c r="AH166" i="5"/>
  <c r="AI166" i="5"/>
  <c r="AJ166" i="5"/>
  <c r="AK166" i="5"/>
  <c r="AL166" i="5"/>
  <c r="AM166" i="5"/>
  <c r="AN166" i="5"/>
  <c r="AO166" i="5"/>
  <c r="AP166" i="5"/>
  <c r="AQ166" i="5"/>
  <c r="AR166" i="5"/>
  <c r="AS166" i="5"/>
  <c r="I167" i="5"/>
  <c r="K167" i="5" s="1"/>
  <c r="L167" i="5"/>
  <c r="N167" i="5"/>
  <c r="Z167" i="5"/>
  <c r="AA167" i="5"/>
  <c r="AB167" i="5"/>
  <c r="AC167" i="5"/>
  <c r="AD167" i="5"/>
  <c r="AE167" i="5"/>
  <c r="AF167" i="5"/>
  <c r="AG167" i="5"/>
  <c r="AH167" i="5"/>
  <c r="AI167" i="5"/>
  <c r="AJ167" i="5"/>
  <c r="AK167" i="5"/>
  <c r="AL167" i="5"/>
  <c r="AM167" i="5"/>
  <c r="AN167" i="5"/>
  <c r="AO167" i="5"/>
  <c r="AP167" i="5"/>
  <c r="AQ167" i="5"/>
  <c r="AR167" i="5"/>
  <c r="AS167" i="5"/>
  <c r="I168" i="5"/>
  <c r="K168" i="5" s="1"/>
  <c r="L168" i="5"/>
  <c r="N168" i="5"/>
  <c r="Z168" i="5"/>
  <c r="AA168" i="5"/>
  <c r="AB168" i="5"/>
  <c r="AC168" i="5"/>
  <c r="AD168" i="5"/>
  <c r="AE168" i="5"/>
  <c r="AF168" i="5"/>
  <c r="AG168" i="5"/>
  <c r="AH168" i="5"/>
  <c r="AI168" i="5"/>
  <c r="AJ168" i="5"/>
  <c r="AK168" i="5"/>
  <c r="AL168" i="5"/>
  <c r="AM168" i="5"/>
  <c r="AN168" i="5"/>
  <c r="AO168" i="5"/>
  <c r="AP168" i="5"/>
  <c r="AQ168" i="5"/>
  <c r="AR168" i="5"/>
  <c r="AS168" i="5"/>
  <c r="I169" i="5"/>
  <c r="K169" i="5" s="1"/>
  <c r="L169" i="5"/>
  <c r="N169" i="5"/>
  <c r="Z169" i="5"/>
  <c r="AA169" i="5"/>
  <c r="AB169" i="5"/>
  <c r="AC169" i="5"/>
  <c r="AD169" i="5"/>
  <c r="AE169" i="5"/>
  <c r="AF169" i="5"/>
  <c r="AG169" i="5"/>
  <c r="AH169" i="5"/>
  <c r="AI169" i="5"/>
  <c r="AJ169" i="5"/>
  <c r="AK169" i="5"/>
  <c r="AL169" i="5"/>
  <c r="AM169" i="5"/>
  <c r="AN169" i="5"/>
  <c r="AO169" i="5"/>
  <c r="AP169" i="5"/>
  <c r="AQ169" i="5"/>
  <c r="AR169" i="5"/>
  <c r="AS169" i="5"/>
  <c r="I170" i="5"/>
  <c r="K170" i="5" s="1"/>
  <c r="L170" i="5"/>
  <c r="N170" i="5"/>
  <c r="Z170" i="5"/>
  <c r="AA170" i="5"/>
  <c r="AB170" i="5"/>
  <c r="AC170" i="5"/>
  <c r="AD170" i="5"/>
  <c r="AE170" i="5"/>
  <c r="AF170" i="5"/>
  <c r="AG170" i="5"/>
  <c r="AH170" i="5"/>
  <c r="AI170" i="5"/>
  <c r="AJ170" i="5"/>
  <c r="AK170" i="5"/>
  <c r="AL170" i="5"/>
  <c r="AM170" i="5"/>
  <c r="AN170" i="5"/>
  <c r="AO170" i="5"/>
  <c r="AP170" i="5"/>
  <c r="AQ170" i="5"/>
  <c r="AR170" i="5"/>
  <c r="AS170" i="5"/>
  <c r="I171" i="5"/>
  <c r="K171" i="5" s="1"/>
  <c r="L171" i="5"/>
  <c r="N171" i="5"/>
  <c r="Z171" i="5"/>
  <c r="AA171" i="5"/>
  <c r="AB171" i="5"/>
  <c r="AC171" i="5"/>
  <c r="AD171" i="5"/>
  <c r="AE171" i="5"/>
  <c r="AF171" i="5"/>
  <c r="AG171" i="5"/>
  <c r="AH171" i="5"/>
  <c r="AI171" i="5"/>
  <c r="AJ171" i="5"/>
  <c r="AK171" i="5"/>
  <c r="AL171" i="5"/>
  <c r="AM171" i="5"/>
  <c r="AN171" i="5"/>
  <c r="AO171" i="5"/>
  <c r="AP171" i="5"/>
  <c r="AQ171" i="5"/>
  <c r="AR171" i="5"/>
  <c r="AS171" i="5"/>
  <c r="I172" i="5"/>
  <c r="K172" i="5" s="1"/>
  <c r="L172" i="5"/>
  <c r="N172" i="5"/>
  <c r="Z172" i="5"/>
  <c r="AA172" i="5"/>
  <c r="AB172" i="5"/>
  <c r="AC172" i="5"/>
  <c r="AD172" i="5"/>
  <c r="AE172" i="5"/>
  <c r="AF172" i="5"/>
  <c r="AG172" i="5"/>
  <c r="AH172" i="5"/>
  <c r="AI172" i="5"/>
  <c r="AJ172" i="5"/>
  <c r="AK172" i="5"/>
  <c r="AL172" i="5"/>
  <c r="AM172" i="5"/>
  <c r="AN172" i="5"/>
  <c r="AO172" i="5"/>
  <c r="AP172" i="5"/>
  <c r="AQ172" i="5"/>
  <c r="AR172" i="5"/>
  <c r="AS172" i="5"/>
  <c r="I173" i="5"/>
  <c r="K173" i="5" s="1"/>
  <c r="L173" i="5"/>
  <c r="N173" i="5"/>
  <c r="Z173" i="5"/>
  <c r="AA173" i="5"/>
  <c r="AB173" i="5"/>
  <c r="AC173" i="5"/>
  <c r="AD173" i="5"/>
  <c r="AE173" i="5"/>
  <c r="AF173" i="5"/>
  <c r="AG173" i="5"/>
  <c r="AH173" i="5"/>
  <c r="AI173" i="5"/>
  <c r="AJ173" i="5"/>
  <c r="AK173" i="5"/>
  <c r="AL173" i="5"/>
  <c r="AM173" i="5"/>
  <c r="AN173" i="5"/>
  <c r="AO173" i="5"/>
  <c r="AP173" i="5"/>
  <c r="AQ173" i="5"/>
  <c r="AR173" i="5"/>
  <c r="AS173" i="5"/>
  <c r="I174" i="5"/>
  <c r="K174" i="5" s="1"/>
  <c r="L174" i="5"/>
  <c r="N174" i="5"/>
  <c r="Z174" i="5"/>
  <c r="AA174" i="5"/>
  <c r="AB174" i="5"/>
  <c r="AC174" i="5"/>
  <c r="AD174" i="5"/>
  <c r="AE174" i="5"/>
  <c r="AF174" i="5"/>
  <c r="AG174" i="5"/>
  <c r="AH174" i="5"/>
  <c r="AI174" i="5"/>
  <c r="AJ174" i="5"/>
  <c r="AK174" i="5"/>
  <c r="AL174" i="5"/>
  <c r="AM174" i="5"/>
  <c r="AN174" i="5"/>
  <c r="AO174" i="5"/>
  <c r="AP174" i="5"/>
  <c r="AQ174" i="5"/>
  <c r="AR174" i="5"/>
  <c r="AS174" i="5"/>
  <c r="I175" i="5"/>
  <c r="K175" i="5" s="1"/>
  <c r="L175" i="5"/>
  <c r="N175" i="5"/>
  <c r="Z175" i="5"/>
  <c r="AA175" i="5"/>
  <c r="AB175" i="5"/>
  <c r="AC175" i="5"/>
  <c r="AD175" i="5"/>
  <c r="AE175" i="5"/>
  <c r="AF175" i="5"/>
  <c r="AG175" i="5"/>
  <c r="AH175" i="5"/>
  <c r="AI175" i="5"/>
  <c r="AJ175" i="5"/>
  <c r="AK175" i="5"/>
  <c r="AL175" i="5"/>
  <c r="AM175" i="5"/>
  <c r="AN175" i="5"/>
  <c r="AO175" i="5"/>
  <c r="AP175" i="5"/>
  <c r="AQ175" i="5"/>
  <c r="AR175" i="5"/>
  <c r="AS175" i="5"/>
  <c r="I176" i="5"/>
  <c r="K176" i="5" s="1"/>
  <c r="L176" i="5"/>
  <c r="N176" i="5"/>
  <c r="Z176" i="5"/>
  <c r="AA176" i="5"/>
  <c r="AB176" i="5"/>
  <c r="AC176" i="5"/>
  <c r="AD176" i="5"/>
  <c r="AE176" i="5"/>
  <c r="AF176" i="5"/>
  <c r="AG176" i="5"/>
  <c r="AH176" i="5"/>
  <c r="AI176" i="5"/>
  <c r="AJ176" i="5"/>
  <c r="AK176" i="5"/>
  <c r="AL176" i="5"/>
  <c r="AM176" i="5"/>
  <c r="AN176" i="5"/>
  <c r="AO176" i="5"/>
  <c r="AP176" i="5"/>
  <c r="AQ176" i="5"/>
  <c r="AR176" i="5"/>
  <c r="AS176" i="5"/>
  <c r="I177" i="5"/>
  <c r="K177" i="5" s="1"/>
  <c r="L177" i="5"/>
  <c r="N177" i="5"/>
  <c r="Z177" i="5"/>
  <c r="AA177" i="5"/>
  <c r="AB177" i="5"/>
  <c r="AC177" i="5"/>
  <c r="AD177" i="5"/>
  <c r="AE177" i="5"/>
  <c r="AF177" i="5"/>
  <c r="AG177" i="5"/>
  <c r="AH177" i="5"/>
  <c r="AI177" i="5"/>
  <c r="AJ177" i="5"/>
  <c r="AK177" i="5"/>
  <c r="AL177" i="5"/>
  <c r="AM177" i="5"/>
  <c r="AN177" i="5"/>
  <c r="AO177" i="5"/>
  <c r="AP177" i="5"/>
  <c r="AQ177" i="5"/>
  <c r="AR177" i="5"/>
  <c r="AS177" i="5"/>
  <c r="I178" i="5"/>
  <c r="K178" i="5" s="1"/>
  <c r="L178" i="5"/>
  <c r="N178" i="5"/>
  <c r="Z178" i="5"/>
  <c r="AA178" i="5"/>
  <c r="AB178" i="5"/>
  <c r="AC178" i="5"/>
  <c r="AD178" i="5"/>
  <c r="AE178" i="5"/>
  <c r="AF178" i="5"/>
  <c r="AG178" i="5"/>
  <c r="AH178" i="5"/>
  <c r="AI178" i="5"/>
  <c r="AJ178" i="5"/>
  <c r="AK178" i="5"/>
  <c r="AL178" i="5"/>
  <c r="AM178" i="5"/>
  <c r="AN178" i="5"/>
  <c r="AO178" i="5"/>
  <c r="AP178" i="5"/>
  <c r="AQ178" i="5"/>
  <c r="AR178" i="5"/>
  <c r="AS178" i="5"/>
  <c r="I179" i="5"/>
  <c r="K179" i="5" s="1"/>
  <c r="L179" i="5"/>
  <c r="N179" i="5"/>
  <c r="Z179" i="5"/>
  <c r="AA179" i="5"/>
  <c r="AB179" i="5"/>
  <c r="AC179" i="5"/>
  <c r="AD179" i="5"/>
  <c r="AE179" i="5"/>
  <c r="AF179" i="5"/>
  <c r="AG179" i="5"/>
  <c r="AH179" i="5"/>
  <c r="AI179" i="5"/>
  <c r="AJ179" i="5"/>
  <c r="AK179" i="5"/>
  <c r="AL179" i="5"/>
  <c r="AM179" i="5"/>
  <c r="AN179" i="5"/>
  <c r="AO179" i="5"/>
  <c r="AP179" i="5"/>
  <c r="AQ179" i="5"/>
  <c r="AR179" i="5"/>
  <c r="AS179" i="5"/>
  <c r="I180" i="5"/>
  <c r="K180" i="5" s="1"/>
  <c r="L180" i="5"/>
  <c r="N180" i="5"/>
  <c r="Z180" i="5"/>
  <c r="AA180" i="5"/>
  <c r="AB180" i="5"/>
  <c r="AC180" i="5"/>
  <c r="AD180" i="5"/>
  <c r="AE180" i="5"/>
  <c r="AF180" i="5"/>
  <c r="AG180" i="5"/>
  <c r="AH180" i="5"/>
  <c r="AI180" i="5"/>
  <c r="AJ180" i="5"/>
  <c r="AK180" i="5"/>
  <c r="AL180" i="5"/>
  <c r="AM180" i="5"/>
  <c r="AN180" i="5"/>
  <c r="AO180" i="5"/>
  <c r="AP180" i="5"/>
  <c r="AQ180" i="5"/>
  <c r="AR180" i="5"/>
  <c r="AS180" i="5"/>
  <c r="I181" i="5"/>
  <c r="K181" i="5" s="1"/>
  <c r="L181" i="5"/>
  <c r="N181" i="5"/>
  <c r="Z181" i="5"/>
  <c r="AA181" i="5"/>
  <c r="AB181" i="5"/>
  <c r="AC181" i="5"/>
  <c r="AD181" i="5"/>
  <c r="AE181" i="5"/>
  <c r="AF181" i="5"/>
  <c r="AG181" i="5"/>
  <c r="AH181" i="5"/>
  <c r="AI181" i="5"/>
  <c r="AJ181" i="5"/>
  <c r="AK181" i="5"/>
  <c r="AL181" i="5"/>
  <c r="AM181" i="5"/>
  <c r="AN181" i="5"/>
  <c r="AO181" i="5"/>
  <c r="AP181" i="5"/>
  <c r="AQ181" i="5"/>
  <c r="AR181" i="5"/>
  <c r="AS181" i="5"/>
  <c r="I182" i="5"/>
  <c r="K182" i="5" s="1"/>
  <c r="L182" i="5"/>
  <c r="N182" i="5"/>
  <c r="Z182" i="5"/>
  <c r="AA182" i="5"/>
  <c r="AB182" i="5"/>
  <c r="AC182" i="5"/>
  <c r="AD182" i="5"/>
  <c r="AE182" i="5"/>
  <c r="AF182" i="5"/>
  <c r="AG182" i="5"/>
  <c r="AH182" i="5"/>
  <c r="AI182" i="5"/>
  <c r="AJ182" i="5"/>
  <c r="AK182" i="5"/>
  <c r="AL182" i="5"/>
  <c r="AM182" i="5"/>
  <c r="AN182" i="5"/>
  <c r="AO182" i="5"/>
  <c r="AP182" i="5"/>
  <c r="AQ182" i="5"/>
  <c r="AR182" i="5"/>
  <c r="AS182" i="5"/>
  <c r="I183" i="5"/>
  <c r="K183" i="5" s="1"/>
  <c r="L183" i="5"/>
  <c r="N183" i="5"/>
  <c r="Z183" i="5"/>
  <c r="AA183" i="5"/>
  <c r="AB183" i="5"/>
  <c r="AC183" i="5"/>
  <c r="AD183" i="5"/>
  <c r="AE183" i="5"/>
  <c r="AF183" i="5"/>
  <c r="AG183" i="5"/>
  <c r="AH183" i="5"/>
  <c r="AI183" i="5"/>
  <c r="AJ183" i="5"/>
  <c r="AK183" i="5"/>
  <c r="AL183" i="5"/>
  <c r="AM183" i="5"/>
  <c r="AN183" i="5"/>
  <c r="AO183" i="5"/>
  <c r="AP183" i="5"/>
  <c r="AQ183" i="5"/>
  <c r="AR183" i="5"/>
  <c r="AS183" i="5"/>
  <c r="I184" i="5"/>
  <c r="K184" i="5" s="1"/>
  <c r="L184" i="5"/>
  <c r="N184" i="5"/>
  <c r="Z184" i="5"/>
  <c r="AA184" i="5"/>
  <c r="AB184" i="5"/>
  <c r="AC184" i="5"/>
  <c r="AD184" i="5"/>
  <c r="AE184" i="5"/>
  <c r="AF184" i="5"/>
  <c r="AG184" i="5"/>
  <c r="AH184" i="5"/>
  <c r="AI184" i="5"/>
  <c r="AJ184" i="5"/>
  <c r="AK184" i="5"/>
  <c r="AL184" i="5"/>
  <c r="AM184" i="5"/>
  <c r="AN184" i="5"/>
  <c r="AO184" i="5"/>
  <c r="AP184" i="5"/>
  <c r="AQ184" i="5"/>
  <c r="AR184" i="5"/>
  <c r="AS184" i="5"/>
  <c r="I185" i="5"/>
  <c r="K185" i="5" s="1"/>
  <c r="L185" i="5"/>
  <c r="N185" i="5"/>
  <c r="Z185" i="5"/>
  <c r="AA185" i="5"/>
  <c r="AB185" i="5"/>
  <c r="AC185" i="5"/>
  <c r="AD185" i="5"/>
  <c r="AE185" i="5"/>
  <c r="AF185" i="5"/>
  <c r="AG185" i="5"/>
  <c r="AH185" i="5"/>
  <c r="AI185" i="5"/>
  <c r="AJ185" i="5"/>
  <c r="AK185" i="5"/>
  <c r="AL185" i="5"/>
  <c r="AM185" i="5"/>
  <c r="AN185" i="5"/>
  <c r="AO185" i="5"/>
  <c r="AP185" i="5"/>
  <c r="AQ185" i="5"/>
  <c r="AR185" i="5"/>
  <c r="AS185" i="5"/>
  <c r="I186" i="5"/>
  <c r="K186" i="5" s="1"/>
  <c r="L186" i="5"/>
  <c r="N186" i="5"/>
  <c r="Z186" i="5"/>
  <c r="AA186" i="5"/>
  <c r="AB186" i="5"/>
  <c r="AC186" i="5"/>
  <c r="AD186" i="5"/>
  <c r="AE186" i="5"/>
  <c r="AF186" i="5"/>
  <c r="AG186" i="5"/>
  <c r="AH186" i="5"/>
  <c r="AI186" i="5"/>
  <c r="AJ186" i="5"/>
  <c r="AK186" i="5"/>
  <c r="AL186" i="5"/>
  <c r="AM186" i="5"/>
  <c r="AN186" i="5"/>
  <c r="AO186" i="5"/>
  <c r="AP186" i="5"/>
  <c r="AQ186" i="5"/>
  <c r="AR186" i="5"/>
  <c r="AS186" i="5"/>
  <c r="I187" i="5"/>
  <c r="K187" i="5" s="1"/>
  <c r="L187" i="5"/>
  <c r="N187" i="5"/>
  <c r="Z187" i="5"/>
  <c r="AA187" i="5"/>
  <c r="AB187" i="5"/>
  <c r="AC187" i="5"/>
  <c r="AD187" i="5"/>
  <c r="AE187" i="5"/>
  <c r="AF187" i="5"/>
  <c r="AG187" i="5"/>
  <c r="AH187" i="5"/>
  <c r="AI187" i="5"/>
  <c r="AJ187" i="5"/>
  <c r="AK187" i="5"/>
  <c r="AL187" i="5"/>
  <c r="AM187" i="5"/>
  <c r="AN187" i="5"/>
  <c r="AO187" i="5"/>
  <c r="AP187" i="5"/>
  <c r="AQ187" i="5"/>
  <c r="AR187" i="5"/>
  <c r="AS187" i="5"/>
  <c r="I188" i="5"/>
  <c r="K188" i="5" s="1"/>
  <c r="L188" i="5"/>
  <c r="N188" i="5"/>
  <c r="Z188" i="5"/>
  <c r="AA188" i="5"/>
  <c r="AB188" i="5"/>
  <c r="AC188" i="5"/>
  <c r="AD188" i="5"/>
  <c r="AE188" i="5"/>
  <c r="AF188" i="5"/>
  <c r="AG188" i="5"/>
  <c r="AH188" i="5"/>
  <c r="AI188" i="5"/>
  <c r="AJ188" i="5"/>
  <c r="AK188" i="5"/>
  <c r="AL188" i="5"/>
  <c r="AM188" i="5"/>
  <c r="AN188" i="5"/>
  <c r="AO188" i="5"/>
  <c r="AP188" i="5"/>
  <c r="AQ188" i="5"/>
  <c r="AR188" i="5"/>
  <c r="AS188" i="5"/>
  <c r="I189" i="5"/>
  <c r="K189" i="5" s="1"/>
  <c r="L189" i="5"/>
  <c r="N189" i="5"/>
  <c r="Z189" i="5"/>
  <c r="AA189" i="5"/>
  <c r="AB189" i="5"/>
  <c r="AC189" i="5"/>
  <c r="AD189" i="5"/>
  <c r="AE189" i="5"/>
  <c r="AF189" i="5"/>
  <c r="AG189" i="5"/>
  <c r="AH189" i="5"/>
  <c r="AI189" i="5"/>
  <c r="AJ189" i="5"/>
  <c r="AK189" i="5"/>
  <c r="AL189" i="5"/>
  <c r="AM189" i="5"/>
  <c r="AN189" i="5"/>
  <c r="AO189" i="5"/>
  <c r="AP189" i="5"/>
  <c r="AQ189" i="5"/>
  <c r="AR189" i="5"/>
  <c r="AS189" i="5"/>
  <c r="I190" i="5"/>
  <c r="K190" i="5" s="1"/>
  <c r="L190" i="5"/>
  <c r="N190" i="5"/>
  <c r="Z190" i="5"/>
  <c r="AA190" i="5"/>
  <c r="AB190" i="5"/>
  <c r="AC190" i="5"/>
  <c r="AD190" i="5"/>
  <c r="AE190" i="5"/>
  <c r="AF190" i="5"/>
  <c r="AG190" i="5"/>
  <c r="AH190" i="5"/>
  <c r="AI190" i="5"/>
  <c r="AJ190" i="5"/>
  <c r="AK190" i="5"/>
  <c r="AL190" i="5"/>
  <c r="AM190" i="5"/>
  <c r="AN190" i="5"/>
  <c r="AO190" i="5"/>
  <c r="AP190" i="5"/>
  <c r="AQ190" i="5"/>
  <c r="AR190" i="5"/>
  <c r="AS190" i="5"/>
  <c r="I191" i="5"/>
  <c r="K191" i="5" s="1"/>
  <c r="L191" i="5"/>
  <c r="N191" i="5"/>
  <c r="Z191" i="5"/>
  <c r="AA191" i="5"/>
  <c r="AB191" i="5"/>
  <c r="AC191" i="5"/>
  <c r="AD191" i="5"/>
  <c r="AE191" i="5"/>
  <c r="AF191" i="5"/>
  <c r="AG191" i="5"/>
  <c r="AH191" i="5"/>
  <c r="AI191" i="5"/>
  <c r="AJ191" i="5"/>
  <c r="AK191" i="5"/>
  <c r="AL191" i="5"/>
  <c r="AM191" i="5"/>
  <c r="AN191" i="5"/>
  <c r="AO191" i="5"/>
  <c r="AP191" i="5"/>
  <c r="AQ191" i="5"/>
  <c r="AR191" i="5"/>
  <c r="AS191" i="5"/>
  <c r="I192" i="5"/>
  <c r="K192" i="5" s="1"/>
  <c r="L192" i="5"/>
  <c r="N192" i="5"/>
  <c r="Z192" i="5"/>
  <c r="AA192" i="5"/>
  <c r="AB192" i="5"/>
  <c r="AC192" i="5"/>
  <c r="AD192" i="5"/>
  <c r="AE192" i="5"/>
  <c r="AF192" i="5"/>
  <c r="AG192" i="5"/>
  <c r="AH192" i="5"/>
  <c r="AI192" i="5"/>
  <c r="AJ192" i="5"/>
  <c r="AK192" i="5"/>
  <c r="AL192" i="5"/>
  <c r="AM192" i="5"/>
  <c r="AN192" i="5"/>
  <c r="AO192" i="5"/>
  <c r="AP192" i="5"/>
  <c r="AQ192" i="5"/>
  <c r="AR192" i="5"/>
  <c r="AS192" i="5"/>
  <c r="I193" i="5"/>
  <c r="K193" i="5" s="1"/>
  <c r="L193" i="5"/>
  <c r="N193" i="5"/>
  <c r="Z193" i="5"/>
  <c r="AA193" i="5"/>
  <c r="AB193" i="5"/>
  <c r="AC193" i="5"/>
  <c r="AD193" i="5"/>
  <c r="AE193" i="5"/>
  <c r="AF193" i="5"/>
  <c r="AG193" i="5"/>
  <c r="AH193" i="5"/>
  <c r="AI193" i="5"/>
  <c r="AJ193" i="5"/>
  <c r="AK193" i="5"/>
  <c r="AL193" i="5"/>
  <c r="AM193" i="5"/>
  <c r="AN193" i="5"/>
  <c r="AO193" i="5"/>
  <c r="AP193" i="5"/>
  <c r="AQ193" i="5"/>
  <c r="AR193" i="5"/>
  <c r="AS193" i="5"/>
  <c r="I194" i="5"/>
  <c r="K194" i="5" s="1"/>
  <c r="L194" i="5"/>
  <c r="N194" i="5"/>
  <c r="Z194" i="5"/>
  <c r="AA194" i="5"/>
  <c r="AB194" i="5"/>
  <c r="AC194" i="5"/>
  <c r="AD194" i="5"/>
  <c r="AE194" i="5"/>
  <c r="AF194" i="5"/>
  <c r="AG194" i="5"/>
  <c r="AH194" i="5"/>
  <c r="AI194" i="5"/>
  <c r="AJ194" i="5"/>
  <c r="AK194" i="5"/>
  <c r="AL194" i="5"/>
  <c r="AM194" i="5"/>
  <c r="AN194" i="5"/>
  <c r="AO194" i="5"/>
  <c r="AP194" i="5"/>
  <c r="AQ194" i="5"/>
  <c r="AR194" i="5"/>
  <c r="AS194" i="5"/>
  <c r="I195" i="5"/>
  <c r="K195" i="5" s="1"/>
  <c r="L195" i="5"/>
  <c r="N195" i="5"/>
  <c r="Z195" i="5"/>
  <c r="AA195" i="5"/>
  <c r="AB195" i="5"/>
  <c r="AC195" i="5"/>
  <c r="AD195" i="5"/>
  <c r="AE195" i="5"/>
  <c r="AF195" i="5"/>
  <c r="AG195" i="5"/>
  <c r="AH195" i="5"/>
  <c r="AI195" i="5"/>
  <c r="AJ195" i="5"/>
  <c r="AK195" i="5"/>
  <c r="AL195" i="5"/>
  <c r="AM195" i="5"/>
  <c r="AN195" i="5"/>
  <c r="AO195" i="5"/>
  <c r="AP195" i="5"/>
  <c r="AQ195" i="5"/>
  <c r="AR195" i="5"/>
  <c r="AS195" i="5"/>
  <c r="I196" i="5"/>
  <c r="K196" i="5" s="1"/>
  <c r="L196" i="5"/>
  <c r="N196" i="5"/>
  <c r="Z196" i="5"/>
  <c r="AA196" i="5"/>
  <c r="AB196" i="5"/>
  <c r="AC196" i="5"/>
  <c r="AD196" i="5"/>
  <c r="AE196" i="5"/>
  <c r="AF196" i="5"/>
  <c r="AG196" i="5"/>
  <c r="AH196" i="5"/>
  <c r="AI196" i="5"/>
  <c r="AJ196" i="5"/>
  <c r="AK196" i="5"/>
  <c r="AL196" i="5"/>
  <c r="AM196" i="5"/>
  <c r="AN196" i="5"/>
  <c r="AO196" i="5"/>
  <c r="AP196" i="5"/>
  <c r="AQ196" i="5"/>
  <c r="AR196" i="5"/>
  <c r="AS196" i="5"/>
  <c r="I197" i="5"/>
  <c r="K197" i="5" s="1"/>
  <c r="L197" i="5"/>
  <c r="N197" i="5"/>
  <c r="Z197" i="5"/>
  <c r="AA197" i="5"/>
  <c r="AB197" i="5"/>
  <c r="AC197" i="5"/>
  <c r="AD197" i="5"/>
  <c r="AE197" i="5"/>
  <c r="AF197" i="5"/>
  <c r="AG197" i="5"/>
  <c r="AH197" i="5"/>
  <c r="AI197" i="5"/>
  <c r="AJ197" i="5"/>
  <c r="AK197" i="5"/>
  <c r="AL197" i="5"/>
  <c r="AM197" i="5"/>
  <c r="AN197" i="5"/>
  <c r="AO197" i="5"/>
  <c r="AP197" i="5"/>
  <c r="AQ197" i="5"/>
  <c r="AR197" i="5"/>
  <c r="AS197" i="5"/>
  <c r="I198" i="5"/>
  <c r="K198" i="5" s="1"/>
  <c r="L198" i="5"/>
  <c r="N198" i="5"/>
  <c r="Z198" i="5"/>
  <c r="AA198" i="5"/>
  <c r="AB198" i="5"/>
  <c r="AC198" i="5"/>
  <c r="AD198" i="5"/>
  <c r="AE198" i="5"/>
  <c r="AF198" i="5"/>
  <c r="AG198" i="5"/>
  <c r="AH198" i="5"/>
  <c r="AI198" i="5"/>
  <c r="AJ198" i="5"/>
  <c r="AK198" i="5"/>
  <c r="AL198" i="5"/>
  <c r="AM198" i="5"/>
  <c r="AN198" i="5"/>
  <c r="AO198" i="5"/>
  <c r="AP198" i="5"/>
  <c r="AQ198" i="5"/>
  <c r="AR198" i="5"/>
  <c r="AS198" i="5"/>
  <c r="I199" i="5"/>
  <c r="K199" i="5" s="1"/>
  <c r="L199" i="5"/>
  <c r="N199" i="5"/>
  <c r="Z199" i="5"/>
  <c r="AA199" i="5"/>
  <c r="AB199" i="5"/>
  <c r="AC199" i="5"/>
  <c r="AD199" i="5"/>
  <c r="AE199" i="5"/>
  <c r="AF199" i="5"/>
  <c r="AG199" i="5"/>
  <c r="AH199" i="5"/>
  <c r="AI199" i="5"/>
  <c r="AJ199" i="5"/>
  <c r="AK199" i="5"/>
  <c r="AL199" i="5"/>
  <c r="AM199" i="5"/>
  <c r="AN199" i="5"/>
  <c r="AO199" i="5"/>
  <c r="AP199" i="5"/>
  <c r="AQ199" i="5"/>
  <c r="AR199" i="5"/>
  <c r="AS199" i="5"/>
  <c r="I200" i="5"/>
  <c r="K200" i="5" s="1"/>
  <c r="L200" i="5"/>
  <c r="N200" i="5"/>
  <c r="Z200" i="5"/>
  <c r="AA200" i="5"/>
  <c r="AB200" i="5"/>
  <c r="AC200" i="5"/>
  <c r="AD200" i="5"/>
  <c r="AE200" i="5"/>
  <c r="AF200" i="5"/>
  <c r="AG200" i="5"/>
  <c r="AH200" i="5"/>
  <c r="AI200" i="5"/>
  <c r="AJ200" i="5"/>
  <c r="AK200" i="5"/>
  <c r="AL200" i="5"/>
  <c r="AM200" i="5"/>
  <c r="AN200" i="5"/>
  <c r="AO200" i="5"/>
  <c r="AP200" i="5"/>
  <c r="AQ200" i="5"/>
  <c r="AR200" i="5"/>
  <c r="AS200" i="5"/>
  <c r="I201" i="5"/>
  <c r="K201" i="5" s="1"/>
  <c r="L201" i="5"/>
  <c r="N201" i="5"/>
  <c r="Z201" i="5"/>
  <c r="AA201" i="5"/>
  <c r="AB201" i="5"/>
  <c r="AC201" i="5"/>
  <c r="AD201" i="5"/>
  <c r="AE201" i="5"/>
  <c r="AF201" i="5"/>
  <c r="AG201" i="5"/>
  <c r="AH201" i="5"/>
  <c r="AI201" i="5"/>
  <c r="AJ201" i="5"/>
  <c r="AK201" i="5"/>
  <c r="AL201" i="5"/>
  <c r="AM201" i="5"/>
  <c r="AN201" i="5"/>
  <c r="AO201" i="5"/>
  <c r="AP201" i="5"/>
  <c r="AQ201" i="5"/>
  <c r="AR201" i="5"/>
  <c r="AS201" i="5"/>
  <c r="I202" i="5"/>
  <c r="K202" i="5" s="1"/>
  <c r="L202" i="5"/>
  <c r="N202" i="5"/>
  <c r="Z202" i="5"/>
  <c r="AA202" i="5"/>
  <c r="AB202" i="5"/>
  <c r="AC202" i="5"/>
  <c r="AD202" i="5"/>
  <c r="AE202" i="5"/>
  <c r="AF202" i="5"/>
  <c r="AG202" i="5"/>
  <c r="AH202" i="5"/>
  <c r="AI202" i="5"/>
  <c r="AJ202" i="5"/>
  <c r="AK202" i="5"/>
  <c r="AL202" i="5"/>
  <c r="AM202" i="5"/>
  <c r="AN202" i="5"/>
  <c r="AO202" i="5"/>
  <c r="AP202" i="5"/>
  <c r="AQ202" i="5"/>
  <c r="AR202" i="5"/>
  <c r="AS202" i="5"/>
  <c r="I203" i="5"/>
  <c r="K203" i="5" s="1"/>
  <c r="L203" i="5"/>
  <c r="N203" i="5"/>
  <c r="Z203" i="5"/>
  <c r="AA203" i="5"/>
  <c r="AB203" i="5"/>
  <c r="AC203" i="5"/>
  <c r="AD203" i="5"/>
  <c r="AE203" i="5"/>
  <c r="AF203" i="5"/>
  <c r="AG203" i="5"/>
  <c r="AH203" i="5"/>
  <c r="AI203" i="5"/>
  <c r="AJ203" i="5"/>
  <c r="AK203" i="5"/>
  <c r="AL203" i="5"/>
  <c r="AM203" i="5"/>
  <c r="AN203" i="5"/>
  <c r="AO203" i="5"/>
  <c r="AP203" i="5"/>
  <c r="AQ203" i="5"/>
  <c r="AR203" i="5"/>
  <c r="AS203" i="5"/>
  <c r="B148" i="5" l="1"/>
  <c r="B144" i="5"/>
  <c r="B140" i="5"/>
  <c r="B192" i="5"/>
  <c r="B188" i="5"/>
  <c r="B112" i="5"/>
  <c r="B164" i="5"/>
  <c r="B63" i="5"/>
  <c r="B59" i="5"/>
  <c r="B51" i="5"/>
  <c r="B47" i="5"/>
  <c r="B43" i="5"/>
  <c r="B26" i="5"/>
  <c r="B147" i="5"/>
  <c r="B131" i="5"/>
  <c r="B196" i="5"/>
  <c r="B179" i="5"/>
  <c r="B178" i="5"/>
  <c r="B177" i="5"/>
  <c r="B176" i="5"/>
  <c r="B172" i="5"/>
  <c r="B132" i="5"/>
  <c r="B110" i="5"/>
  <c r="B146" i="5"/>
  <c r="B145" i="5"/>
  <c r="B195" i="5"/>
  <c r="B194" i="5"/>
  <c r="B193" i="5"/>
  <c r="B180" i="5"/>
  <c r="B163" i="5"/>
  <c r="B162" i="5"/>
  <c r="B161" i="5"/>
  <c r="B160" i="5"/>
  <c r="B156" i="5"/>
  <c r="B80" i="5"/>
  <c r="B36" i="5"/>
  <c r="B128" i="5"/>
  <c r="B96" i="5"/>
  <c r="B64" i="5"/>
  <c r="B60" i="5"/>
  <c r="B27" i="5"/>
  <c r="B23" i="5"/>
  <c r="B200" i="5"/>
  <c r="B184" i="5"/>
  <c r="B168" i="5"/>
  <c r="B152" i="5"/>
  <c r="B136" i="5"/>
  <c r="B121" i="5"/>
  <c r="B77" i="5"/>
  <c r="B73" i="5"/>
  <c r="B61" i="5"/>
  <c r="B55" i="5"/>
  <c r="B181" i="5"/>
  <c r="B165" i="5"/>
  <c r="B149" i="5"/>
  <c r="B133" i="5"/>
  <c r="B197" i="5"/>
  <c r="B201" i="5"/>
  <c r="B185" i="5"/>
  <c r="B169" i="5"/>
  <c r="B153" i="5"/>
  <c r="B137" i="5"/>
  <c r="B93" i="5"/>
  <c r="B89" i="5"/>
  <c r="B78" i="5"/>
  <c r="B52" i="5"/>
  <c r="B48" i="5"/>
  <c r="B190" i="5"/>
  <c r="B189" i="5"/>
  <c r="B174" i="5"/>
  <c r="B173" i="5"/>
  <c r="B158" i="5"/>
  <c r="B157" i="5"/>
  <c r="B142" i="5"/>
  <c r="B141" i="5"/>
  <c r="B126" i="5"/>
  <c r="B125" i="5"/>
  <c r="B109" i="5"/>
  <c r="B105" i="5"/>
  <c r="B94" i="5"/>
  <c r="B41" i="5"/>
  <c r="B40" i="5"/>
  <c r="B29" i="5"/>
  <c r="B28" i="5"/>
  <c r="B130" i="5"/>
  <c r="B129" i="5"/>
  <c r="B120" i="5"/>
  <c r="B115" i="5"/>
  <c r="B114" i="5"/>
  <c r="B113" i="5"/>
  <c r="B104" i="5"/>
  <c r="B99" i="5"/>
  <c r="B98" i="5"/>
  <c r="B97" i="5"/>
  <c r="B88" i="5"/>
  <c r="B83" i="5"/>
  <c r="B82" i="5"/>
  <c r="B81" i="5"/>
  <c r="B72" i="5"/>
  <c r="B66" i="5"/>
  <c r="B57" i="5"/>
  <c r="B56" i="5"/>
  <c r="B45" i="5"/>
  <c r="B44" i="5"/>
  <c r="B30" i="5"/>
  <c r="B20" i="5"/>
  <c r="B19" i="5"/>
  <c r="B124" i="5"/>
  <c r="B117" i="5"/>
  <c r="B116" i="5"/>
  <c r="B108" i="5"/>
  <c r="B101" i="5"/>
  <c r="B100" i="5"/>
  <c r="B92" i="5"/>
  <c r="B85" i="5"/>
  <c r="B84" i="5"/>
  <c r="B76" i="5"/>
  <c r="B69" i="5"/>
  <c r="B68" i="5"/>
  <c r="B67" i="5"/>
  <c r="B58" i="5"/>
  <c r="B39" i="5"/>
  <c r="B32" i="5"/>
  <c r="B31" i="5"/>
  <c r="B25" i="5"/>
  <c r="B24" i="5"/>
  <c r="B175" i="5"/>
  <c r="B143" i="5"/>
  <c r="B111" i="5"/>
  <c r="B95" i="5"/>
  <c r="B79" i="5"/>
  <c r="B187" i="5"/>
  <c r="B186" i="5"/>
  <c r="B171" i="5"/>
  <c r="B170" i="5"/>
  <c r="B155" i="5"/>
  <c r="B154" i="5"/>
  <c r="B139" i="5"/>
  <c r="B138" i="5"/>
  <c r="B123" i="5"/>
  <c r="B122" i="5"/>
  <c r="B107" i="5"/>
  <c r="B106" i="5"/>
  <c r="B91" i="5"/>
  <c r="B90" i="5"/>
  <c r="B75" i="5"/>
  <c r="B74" i="5"/>
  <c r="B46" i="5"/>
  <c r="B42" i="5"/>
  <c r="B35" i="5"/>
  <c r="B191" i="5"/>
  <c r="B159" i="5"/>
  <c r="B127" i="5"/>
  <c r="B203" i="5"/>
  <c r="B202" i="5"/>
  <c r="B199" i="5"/>
  <c r="B198" i="5"/>
  <c r="B183" i="5"/>
  <c r="B182" i="5"/>
  <c r="B167" i="5"/>
  <c r="B166" i="5"/>
  <c r="B151" i="5"/>
  <c r="B150" i="5"/>
  <c r="B135" i="5"/>
  <c r="B134" i="5"/>
  <c r="B119" i="5"/>
  <c r="B118" i="5"/>
  <c r="B103" i="5"/>
  <c r="B102" i="5"/>
  <c r="B87" i="5"/>
  <c r="B86" i="5"/>
  <c r="B71" i="5"/>
  <c r="B70" i="5"/>
  <c r="B62" i="5"/>
  <c r="B65" i="5"/>
  <c r="B54" i="5"/>
  <c r="B53" i="5"/>
  <c r="B38" i="5"/>
  <c r="B37" i="5"/>
  <c r="B22" i="5"/>
  <c r="B21" i="5"/>
  <c r="B50" i="5"/>
  <c r="B49" i="5"/>
  <c r="B34" i="5"/>
  <c r="B33" i="5"/>
  <c r="A12" i="5" l="1"/>
  <c r="E12" i="5"/>
  <c r="G12" i="5"/>
  <c r="L12" i="5"/>
  <c r="M12" i="5"/>
  <c r="O12" i="5"/>
  <c r="P12" i="5"/>
  <c r="Q12" i="5"/>
  <c r="R12" i="5"/>
  <c r="S12" i="5"/>
  <c r="AE12" i="5" s="1"/>
  <c r="T12" i="5"/>
  <c r="U12" i="5"/>
  <c r="V12" i="5"/>
  <c r="W12" i="5"/>
  <c r="X12" i="5"/>
  <c r="Y12" i="5"/>
  <c r="AS12" i="5" l="1"/>
  <c r="AP12" i="5"/>
  <c r="AF12" i="5"/>
  <c r="AH12" i="5"/>
  <c r="AA12" i="5"/>
  <c r="AC12" i="5"/>
  <c r="AG12" i="5"/>
  <c r="AN12" i="5"/>
  <c r="AI12" i="5"/>
  <c r="AL12" i="5"/>
  <c r="AJ12" i="5"/>
  <c r="AK12" i="5"/>
  <c r="AR12" i="5"/>
  <c r="AB12" i="5"/>
  <c r="AD12" i="5"/>
  <c r="Z12" i="5"/>
  <c r="AQ12" i="5"/>
  <c r="AM12" i="5"/>
  <c r="AO12" i="5"/>
  <c r="AY40" i="10" l="1"/>
  <c r="BD40" i="10"/>
  <c r="BE40" i="10"/>
  <c r="AV41" i="10"/>
  <c r="AW41" i="10"/>
  <c r="BD41" i="10"/>
  <c r="BE41" i="10"/>
  <c r="AV42" i="10"/>
  <c r="AW42" i="10"/>
  <c r="BD42" i="10"/>
  <c r="BE42" i="10"/>
  <c r="AU41" i="10"/>
  <c r="AU42" i="10"/>
  <c r="AU40" i="10"/>
  <c r="BD38" i="10"/>
  <c r="BE38" i="10"/>
  <c r="AY37" i="10"/>
  <c r="BA37" i="10"/>
  <c r="AU37" i="10"/>
  <c r="AY34" i="10"/>
  <c r="AZ34" i="10"/>
  <c r="BA34" i="10"/>
  <c r="AX32" i="10"/>
  <c r="AY32" i="10"/>
  <c r="BA32" i="10"/>
  <c r="BB32" i="10"/>
  <c r="BD32" i="10"/>
  <c r="BE32" i="10"/>
  <c r="AY25" i="10"/>
  <c r="BD25" i="10"/>
  <c r="BE25" i="10"/>
  <c r="AV26" i="10"/>
  <c r="AW26" i="10"/>
  <c r="BD26" i="10"/>
  <c r="BE26" i="10"/>
  <c r="AV27" i="10"/>
  <c r="AW27" i="10"/>
  <c r="BD27" i="10"/>
  <c r="BE27" i="10"/>
  <c r="AU26" i="10"/>
  <c r="AU27" i="10"/>
  <c r="AU25" i="10"/>
  <c r="AV21" i="10"/>
  <c r="AZ21" i="10"/>
  <c r="BD21" i="10"/>
  <c r="BE21" i="10"/>
  <c r="BD22" i="10"/>
  <c r="BE22" i="10"/>
  <c r="BD23" i="10"/>
  <c r="BE23" i="10"/>
  <c r="AY20" i="10"/>
  <c r="BA20" i="10"/>
  <c r="AU20" i="10"/>
  <c r="AV19" i="10"/>
  <c r="AZ19" i="10"/>
  <c r="BA19" i="10"/>
  <c r="AX18" i="10"/>
  <c r="AY18" i="10"/>
  <c r="AZ18" i="10"/>
  <c r="BA18" i="10"/>
  <c r="BB18" i="10"/>
  <c r="BD18" i="10"/>
  <c r="BE18" i="10"/>
  <c r="Y14" i="10" l="1"/>
  <c r="U14" i="10"/>
  <c r="U12" i="10"/>
  <c r="M5" i="10"/>
  <c r="AD5" i="10" s="1"/>
  <c r="AK5" i="10" s="1"/>
  <c r="N5" i="10"/>
  <c r="AE5" i="10" s="1"/>
  <c r="P5" i="10"/>
  <c r="AG5" i="10" s="1"/>
  <c r="M6" i="10"/>
  <c r="AD6" i="10" s="1"/>
  <c r="N6" i="10"/>
  <c r="AE6" i="10" s="1"/>
  <c r="AL6" i="10" s="1"/>
  <c r="P6" i="10"/>
  <c r="AG6" i="10" s="1"/>
  <c r="AN6" i="10" s="1"/>
  <c r="AZ7" i="10" s="1"/>
  <c r="R6" i="10"/>
  <c r="AI6" i="10" s="1"/>
  <c r="M7" i="10"/>
  <c r="AD7" i="10" s="1"/>
  <c r="N7" i="10"/>
  <c r="AE7" i="10" s="1"/>
  <c r="AL7" i="10" s="1"/>
  <c r="O7" i="10"/>
  <c r="AF7" i="10" s="1"/>
  <c r="AM7" i="10" s="1"/>
  <c r="AX36" i="10" s="1"/>
  <c r="P7" i="10"/>
  <c r="AG7" i="10" s="1"/>
  <c r="AN7" i="10" s="1"/>
  <c r="AZ36" i="10" s="1"/>
  <c r="R7" i="10"/>
  <c r="AI7" i="10" s="1"/>
  <c r="AP7" i="10" s="1"/>
  <c r="S7" i="10"/>
  <c r="AJ7" i="10" s="1"/>
  <c r="AQ7" i="10" s="1"/>
  <c r="M8" i="10"/>
  <c r="AD8" i="10" s="1"/>
  <c r="N8" i="10"/>
  <c r="AE8" i="10" s="1"/>
  <c r="AL8" i="10" s="1"/>
  <c r="O8" i="10"/>
  <c r="AF8" i="10" s="1"/>
  <c r="AM8" i="10" s="1"/>
  <c r="P8" i="10"/>
  <c r="AG8" i="10" s="1"/>
  <c r="AN8" i="10" s="1"/>
  <c r="R8" i="10"/>
  <c r="AI8" i="10" s="1"/>
  <c r="AP8" i="10" s="1"/>
  <c r="M9" i="10"/>
  <c r="AD9" i="10" s="1"/>
  <c r="N9" i="10"/>
  <c r="AE9" i="10" s="1"/>
  <c r="AL9" i="10" s="1"/>
  <c r="O9" i="10"/>
  <c r="AF9" i="10" s="1"/>
  <c r="AM9" i="10" s="1"/>
  <c r="AX6" i="10" s="1"/>
  <c r="AX34" i="10" s="1"/>
  <c r="P9" i="10"/>
  <c r="AG9" i="10" s="1"/>
  <c r="AN9" i="10" s="1"/>
  <c r="S9" i="10"/>
  <c r="AJ9" i="10" s="1"/>
  <c r="AQ9" i="10" s="1"/>
  <c r="M10" i="10"/>
  <c r="AD10" i="10" s="1"/>
  <c r="N10" i="10"/>
  <c r="AE10" i="10" s="1"/>
  <c r="AL10" i="10" s="1"/>
  <c r="O10" i="10"/>
  <c r="AF10" i="10" s="1"/>
  <c r="AM10" i="10" s="1"/>
  <c r="P10" i="10"/>
  <c r="AG10" i="10" s="1"/>
  <c r="AN10" i="10" s="1"/>
  <c r="R10" i="10"/>
  <c r="AI10" i="10" s="1"/>
  <c r="AP10" i="10" s="1"/>
  <c r="S10" i="10"/>
  <c r="AJ10" i="10" s="1"/>
  <c r="AQ10" i="10" s="1"/>
  <c r="M11" i="10"/>
  <c r="AD11" i="10" s="1"/>
  <c r="N11" i="10"/>
  <c r="AE11" i="10" s="1"/>
  <c r="AL11" i="10" s="1"/>
  <c r="O11" i="10"/>
  <c r="AF11" i="10" s="1"/>
  <c r="AM11" i="10" s="1"/>
  <c r="AX24" i="10" s="1"/>
  <c r="P11" i="10"/>
  <c r="AG11" i="10" s="1"/>
  <c r="AN11" i="10" s="1"/>
  <c r="M12" i="10"/>
  <c r="AD12" i="10" s="1"/>
  <c r="N12" i="10"/>
  <c r="AE12" i="10" s="1"/>
  <c r="AL12" i="10" s="1"/>
  <c r="O12" i="10"/>
  <c r="AF12" i="10" s="1"/>
  <c r="AM12" i="10" s="1"/>
  <c r="AX12" i="10" s="1"/>
  <c r="AX25" i="10" s="1"/>
  <c r="AX40" i="10" s="1"/>
  <c r="P12" i="10"/>
  <c r="AG12" i="10" s="1"/>
  <c r="AN12" i="10" s="1"/>
  <c r="R12" i="10"/>
  <c r="AI12" i="10" s="1"/>
  <c r="AP12" i="10" s="1"/>
  <c r="S12" i="10"/>
  <c r="AJ12" i="10" s="1"/>
  <c r="AQ12" i="10" s="1"/>
  <c r="M13" i="10"/>
  <c r="AD13" i="10" s="1"/>
  <c r="N13" i="10"/>
  <c r="AE13" i="10" s="1"/>
  <c r="AL13" i="10" s="1"/>
  <c r="O13" i="10"/>
  <c r="AF13" i="10" s="1"/>
  <c r="AM13" i="10" s="1"/>
  <c r="AX8" i="10" s="1"/>
  <c r="AX21" i="10" s="1"/>
  <c r="P13" i="10"/>
  <c r="AG13" i="10" s="1"/>
  <c r="AN13" i="10" s="1"/>
  <c r="R13" i="10"/>
  <c r="AI13" i="10" s="1"/>
  <c r="AP13" i="10" s="1"/>
  <c r="S13" i="10"/>
  <c r="AJ13" i="10" s="1"/>
  <c r="AQ13" i="10" s="1"/>
  <c r="M14" i="10"/>
  <c r="AD14" i="10" s="1"/>
  <c r="N14" i="10"/>
  <c r="AE14" i="10" s="1"/>
  <c r="AL14" i="10" s="1"/>
  <c r="P14" i="10"/>
  <c r="AG14" i="10" s="1"/>
  <c r="AN14" i="10" s="1"/>
  <c r="S14" i="10"/>
  <c r="AJ14" i="10" s="1"/>
  <c r="AQ14" i="10" s="1"/>
  <c r="M15" i="10"/>
  <c r="AD15" i="10" s="1"/>
  <c r="AK15" i="10" s="1"/>
  <c r="N15" i="10"/>
  <c r="AE15" i="10" s="1"/>
  <c r="AL15" i="10" s="1"/>
  <c r="P15" i="10"/>
  <c r="AG15" i="10" s="1"/>
  <c r="AN15" i="10" s="1"/>
  <c r="S15" i="10"/>
  <c r="AJ15" i="10" s="1"/>
  <c r="M16" i="10"/>
  <c r="AD16" i="10" s="1"/>
  <c r="AK16" i="10" s="1"/>
  <c r="N16" i="10"/>
  <c r="AE16" i="10" s="1"/>
  <c r="AL16" i="10" s="1"/>
  <c r="P16" i="10"/>
  <c r="AG16" i="10" s="1"/>
  <c r="AN16" i="10" s="1"/>
  <c r="M17" i="10"/>
  <c r="AD17" i="10" s="1"/>
  <c r="AK17" i="10" s="1"/>
  <c r="N17" i="10"/>
  <c r="AE17" i="10" s="1"/>
  <c r="AL17" i="10" s="1"/>
  <c r="P17" i="10"/>
  <c r="AG17" i="10" s="1"/>
  <c r="AN17" i="10" s="1"/>
  <c r="M18" i="10"/>
  <c r="AD18" i="10" s="1"/>
  <c r="AK18" i="10" s="1"/>
  <c r="N18" i="10"/>
  <c r="AE18" i="10" s="1"/>
  <c r="AL18" i="10" s="1"/>
  <c r="P18" i="10"/>
  <c r="AG18" i="10" s="1"/>
  <c r="AN18" i="10" s="1"/>
  <c r="N4" i="10"/>
  <c r="AE4" i="10" s="1"/>
  <c r="P4" i="10"/>
  <c r="AG4" i="10" s="1"/>
  <c r="M4" i="10"/>
  <c r="J5" i="10"/>
  <c r="J6" i="10"/>
  <c r="J7" i="10"/>
  <c r="J8" i="10"/>
  <c r="J9" i="10"/>
  <c r="J10" i="10"/>
  <c r="J11" i="10"/>
  <c r="J12" i="10"/>
  <c r="J13" i="10"/>
  <c r="J14" i="10"/>
  <c r="J15" i="10"/>
  <c r="J16" i="10"/>
  <c r="J17" i="10"/>
  <c r="J18" i="10"/>
  <c r="J4" i="10"/>
  <c r="I5" i="10"/>
  <c r="I6" i="10"/>
  <c r="AC6" i="10" s="1"/>
  <c r="I7" i="10"/>
  <c r="AC7" i="10" s="1"/>
  <c r="I8" i="10"/>
  <c r="I9" i="10"/>
  <c r="I10" i="10"/>
  <c r="AC10" i="10" s="1"/>
  <c r="I11" i="10"/>
  <c r="AC11" i="10" s="1"/>
  <c r="I12" i="10"/>
  <c r="I13" i="10"/>
  <c r="I14" i="10"/>
  <c r="I15" i="10"/>
  <c r="AC15" i="10" s="1"/>
  <c r="I16" i="10"/>
  <c r="AC16" i="10" s="1"/>
  <c r="I17" i="10"/>
  <c r="AC17" i="10" s="1"/>
  <c r="I18" i="10"/>
  <c r="I4" i="10"/>
  <c r="H5" i="10"/>
  <c r="H6" i="10"/>
  <c r="H7" i="10"/>
  <c r="H8" i="10"/>
  <c r="H9" i="10"/>
  <c r="H10" i="10"/>
  <c r="H11" i="10"/>
  <c r="H12" i="10"/>
  <c r="H13" i="10"/>
  <c r="H14" i="10"/>
  <c r="H15" i="10"/>
  <c r="H16" i="10"/>
  <c r="H17" i="10"/>
  <c r="H18" i="10"/>
  <c r="H4" i="10"/>
  <c r="G5" i="10"/>
  <c r="G6" i="10"/>
  <c r="G7" i="10"/>
  <c r="G8" i="10"/>
  <c r="G9" i="10"/>
  <c r="G10" i="10"/>
  <c r="G11" i="10"/>
  <c r="G12" i="10"/>
  <c r="G13" i="10"/>
  <c r="G14" i="10"/>
  <c r="G15" i="10"/>
  <c r="G16" i="10"/>
  <c r="G17" i="10"/>
  <c r="G18" i="10"/>
  <c r="G4" i="10"/>
  <c r="D5" i="10"/>
  <c r="AT5" i="10" s="1"/>
  <c r="AT19" i="10" s="1"/>
  <c r="AT33" i="10" s="1"/>
  <c r="E5" i="10"/>
  <c r="AA5" i="10" s="1"/>
  <c r="D6" i="10"/>
  <c r="AT7" i="10" s="1"/>
  <c r="AT20" i="10" s="1"/>
  <c r="AT37" i="10" s="1"/>
  <c r="E6" i="10"/>
  <c r="AA6" i="10" s="1"/>
  <c r="D7" i="10"/>
  <c r="AT36" i="10" s="1"/>
  <c r="E7" i="10"/>
  <c r="AA7" i="10" s="1"/>
  <c r="D8" i="10"/>
  <c r="E8" i="10"/>
  <c r="AA8" i="10" s="1"/>
  <c r="D9" i="10"/>
  <c r="AT6" i="10" s="1"/>
  <c r="E9" i="10"/>
  <c r="AA9" i="10" s="1"/>
  <c r="D10" i="10"/>
  <c r="AT10" i="10" s="1"/>
  <c r="AT23" i="10" s="1"/>
  <c r="E10" i="10"/>
  <c r="AA10" i="10" s="1"/>
  <c r="D11" i="10"/>
  <c r="AT24" i="10" s="1"/>
  <c r="E11" i="10"/>
  <c r="AA11" i="10" s="1"/>
  <c r="D12" i="10"/>
  <c r="AT12" i="10" s="1"/>
  <c r="AT25" i="10" s="1"/>
  <c r="AT40" i="10" s="1"/>
  <c r="E12" i="10"/>
  <c r="AA12" i="10" s="1"/>
  <c r="D13" i="10"/>
  <c r="AT8" i="10" s="1"/>
  <c r="AT21" i="10" s="1"/>
  <c r="E13" i="10"/>
  <c r="AA13" i="10" s="1"/>
  <c r="D14" i="10"/>
  <c r="E14" i="10"/>
  <c r="AA14" i="10" s="1"/>
  <c r="D15" i="10"/>
  <c r="AT9" i="10" s="1"/>
  <c r="AT22" i="10" s="1"/>
  <c r="AT38" i="10" s="1"/>
  <c r="E15" i="10"/>
  <c r="D16" i="10"/>
  <c r="AT11" i="10" s="1"/>
  <c r="AT28" i="10" s="1"/>
  <c r="E16" i="10"/>
  <c r="AA16" i="10" s="1"/>
  <c r="D17" i="10"/>
  <c r="AT13" i="10" s="1"/>
  <c r="AT26" i="10" s="1"/>
  <c r="E17" i="10"/>
  <c r="AA17" i="10" s="1"/>
  <c r="D18" i="10"/>
  <c r="AT14" i="10" s="1"/>
  <c r="AT27" i="10" s="1"/>
  <c r="AT42" i="10" s="1"/>
  <c r="E18" i="10"/>
  <c r="AA18" i="10" s="1"/>
  <c r="E4" i="10"/>
  <c r="AA4" i="10" s="1"/>
  <c r="D4" i="10"/>
  <c r="A5" i="10"/>
  <c r="B5" i="10"/>
  <c r="A6" i="10"/>
  <c r="B6" i="10"/>
  <c r="A7" i="10"/>
  <c r="B7" i="10"/>
  <c r="A8" i="10"/>
  <c r="B8" i="10"/>
  <c r="A9" i="10"/>
  <c r="B9" i="10"/>
  <c r="A10" i="10"/>
  <c r="B10" i="10"/>
  <c r="A11" i="10"/>
  <c r="B11" i="10"/>
  <c r="A12" i="10"/>
  <c r="B12" i="10"/>
  <c r="A13" i="10"/>
  <c r="B13" i="10"/>
  <c r="A14" i="10"/>
  <c r="B14" i="10"/>
  <c r="A15" i="10"/>
  <c r="B15" i="10"/>
  <c r="A16" i="10"/>
  <c r="B16" i="10"/>
  <c r="A17" i="10"/>
  <c r="B17" i="10"/>
  <c r="A18" i="10"/>
  <c r="B18" i="10"/>
  <c r="B4" i="10"/>
  <c r="A4" i="10"/>
  <c r="U18" i="10"/>
  <c r="U13" i="10"/>
  <c r="Y11" i="10"/>
  <c r="U11" i="10"/>
  <c r="Y10" i="10"/>
  <c r="Y9" i="10"/>
  <c r="Y8" i="10"/>
  <c r="Y7" i="10"/>
  <c r="BL6" i="10"/>
  <c r="BK6" i="10"/>
  <c r="Y6" i="10"/>
  <c r="BL5" i="10"/>
  <c r="BK5" i="10"/>
  <c r="Y5" i="10"/>
  <c r="BL4" i="10"/>
  <c r="BK4" i="10"/>
  <c r="Y4" i="10"/>
  <c r="X4" i="10"/>
  <c r="BL3" i="10"/>
  <c r="BK3" i="10"/>
  <c r="BL2" i="10"/>
  <c r="BK2" i="10"/>
  <c r="D2" i="10"/>
  <c r="Z1" i="10"/>
  <c r="AT39" i="10" l="1"/>
  <c r="AT41" i="10"/>
  <c r="BB8" i="10"/>
  <c r="BB21" i="10" s="1"/>
  <c r="AT35" i="10"/>
  <c r="AV12" i="10"/>
  <c r="AV25" i="10" s="1"/>
  <c r="AV40" i="10" s="1"/>
  <c r="AW12" i="10"/>
  <c r="AW25" i="10" s="1"/>
  <c r="AW40" i="10" s="1"/>
  <c r="AV36" i="10"/>
  <c r="AW36" i="10"/>
  <c r="AU35" i="10"/>
  <c r="AV35" i="10" s="1"/>
  <c r="AW10" i="10"/>
  <c r="AW23" i="10" s="1"/>
  <c r="AW35" i="10"/>
  <c r="AV10" i="10"/>
  <c r="AV23" i="10" s="1"/>
  <c r="AU10" i="10"/>
  <c r="AU23" i="10" s="1"/>
  <c r="K8" i="10"/>
  <c r="AX35" i="10"/>
  <c r="AX10" i="10"/>
  <c r="AX23" i="10" s="1"/>
  <c r="AW24" i="10"/>
  <c r="AV24" i="10"/>
  <c r="AU24" i="10"/>
  <c r="AW6" i="10"/>
  <c r="AW34" i="10" s="1"/>
  <c r="AU6" i="10"/>
  <c r="AT34" i="10"/>
  <c r="K17" i="10"/>
  <c r="K16" i="10"/>
  <c r="K13" i="10"/>
  <c r="K12" i="10"/>
  <c r="K9" i="10"/>
  <c r="K5" i="10"/>
  <c r="BB12" i="10"/>
  <c r="BB25" i="10" s="1"/>
  <c r="BB40" i="10" s="1"/>
  <c r="BC12" i="10"/>
  <c r="BC25" i="10" s="1"/>
  <c r="BC40" i="10" s="1"/>
  <c r="BC6" i="10"/>
  <c r="BC34" i="10" s="1"/>
  <c r="BC36" i="10"/>
  <c r="BB36" i="10"/>
  <c r="BB10" i="10"/>
  <c r="BB23" i="10" s="1"/>
  <c r="BC10" i="10"/>
  <c r="BC23" i="10" s="1"/>
  <c r="BC35" i="10"/>
  <c r="BB35" i="10"/>
  <c r="AU39" i="10"/>
  <c r="AW39" i="10"/>
  <c r="AV39" i="10"/>
  <c r="BC8" i="10"/>
  <c r="BC21" i="10" s="1"/>
  <c r="AW8" i="10"/>
  <c r="AW21" i="10" s="1"/>
  <c r="AU8" i="10"/>
  <c r="AU21" i="10" s="1"/>
  <c r="AW7" i="10"/>
  <c r="AV7" i="10"/>
  <c r="AV11" i="10"/>
  <c r="AU11" i="10"/>
  <c r="AW11" i="10"/>
  <c r="AV9" i="10"/>
  <c r="AV22" i="10" s="1"/>
  <c r="AV38" i="10" s="1"/>
  <c r="AU9" i="10"/>
  <c r="AU22" i="10" s="1"/>
  <c r="AU38" i="10" s="1"/>
  <c r="AW9" i="10"/>
  <c r="AW22" i="10" s="1"/>
  <c r="AW38" i="10" s="1"/>
  <c r="AZ20" i="10"/>
  <c r="AZ37" i="10"/>
  <c r="AL5" i="10"/>
  <c r="AQ15" i="10"/>
  <c r="BC9" i="10" s="1"/>
  <c r="BC22" i="10" s="1"/>
  <c r="BC38" i="10" s="1"/>
  <c r="AP6" i="10"/>
  <c r="K18" i="10"/>
  <c r="L14" i="10"/>
  <c r="L10" i="10"/>
  <c r="L6" i="10"/>
  <c r="AN4" i="10"/>
  <c r="K4" i="10"/>
  <c r="AL4" i="10"/>
  <c r="AK6" i="10"/>
  <c r="AD4" i="10"/>
  <c r="AK4" i="10" s="1"/>
  <c r="AN5" i="10"/>
  <c r="K15" i="10"/>
  <c r="K11" i="10"/>
  <c r="K7" i="10"/>
  <c r="L16" i="10"/>
  <c r="L12" i="10"/>
  <c r="L8" i="10"/>
  <c r="K14" i="10"/>
  <c r="K10" i="10"/>
  <c r="K6" i="10"/>
  <c r="L18" i="10"/>
  <c r="L17" i="10"/>
  <c r="L15" i="10"/>
  <c r="L13" i="10"/>
  <c r="L11" i="10"/>
  <c r="L9" i="10"/>
  <c r="L7" i="10"/>
  <c r="L5" i="10"/>
  <c r="L4" i="10"/>
  <c r="AC4" i="10"/>
  <c r="AC5" i="10"/>
  <c r="AT18" i="10"/>
  <c r="AT32" i="10" s="1"/>
  <c r="AC8" i="10"/>
  <c r="AC9" i="10"/>
  <c r="AT4" i="10"/>
  <c r="AC12" i="10"/>
  <c r="AC13" i="10"/>
  <c r="AC14" i="10"/>
  <c r="AA15" i="10"/>
  <c r="AC18" i="10"/>
  <c r="AV6" i="10" l="1"/>
  <c r="AV34" i="10" s="1"/>
  <c r="AU34" i="10"/>
  <c r="AW20" i="10"/>
  <c r="AW37" i="10"/>
  <c r="AV37" i="10"/>
  <c r="AV20" i="10"/>
  <c r="AY33" i="10"/>
  <c r="AY5" i="10"/>
  <c r="AY19" i="10" s="1"/>
  <c r="AW33" i="10"/>
  <c r="AU33" i="10"/>
  <c r="AW5" i="10"/>
  <c r="AW19" i="10" s="1"/>
  <c r="AU5" i="10"/>
  <c r="AU19" i="10" s="1"/>
  <c r="AU4" i="10"/>
  <c r="AU18" i="10" s="1"/>
  <c r="AU32" i="10" s="1"/>
  <c r="AW4" i="10"/>
  <c r="AW18" i="10" s="1"/>
  <c r="AW32" i="10" s="1"/>
  <c r="AV4" i="10" l="1"/>
  <c r="AV18" i="10" s="1"/>
  <c r="AV32" i="10" s="1"/>
  <c r="AV30" i="10" s="1"/>
  <c r="AW30" i="10"/>
  <c r="AU30" i="10"/>
  <c r="AW2" i="10"/>
  <c r="AW16" i="10"/>
  <c r="AV2" i="10"/>
  <c r="AU2" i="10"/>
  <c r="AU16" i="10"/>
  <c r="AV16" i="10" l="1"/>
  <c r="S18" i="10"/>
  <c r="AJ18" i="10" s="1"/>
  <c r="AQ18" i="10" s="1"/>
  <c r="Q18" i="10"/>
  <c r="AH18" i="10" s="1"/>
  <c r="AO18" i="10" s="1"/>
  <c r="Q17" i="10"/>
  <c r="AH17" i="10" s="1"/>
  <c r="AO17" i="10" s="1"/>
  <c r="S17" i="10"/>
  <c r="Q16" i="10"/>
  <c r="S16" i="10"/>
  <c r="AJ16" i="10" s="1"/>
  <c r="Q15" i="10"/>
  <c r="AH15" i="10" s="1"/>
  <c r="AO15" i="10" s="1"/>
  <c r="Q11" i="10"/>
  <c r="AH11" i="10" s="1"/>
  <c r="AO11" i="10" s="1"/>
  <c r="S11" i="10"/>
  <c r="AJ11" i="10" s="1"/>
  <c r="AQ11" i="10" s="1"/>
  <c r="Q14" i="10"/>
  <c r="AH14" i="10" s="1"/>
  <c r="AO14" i="10" s="1"/>
  <c r="Q13" i="10"/>
  <c r="AH13" i="10" s="1"/>
  <c r="AO13" i="10" s="1"/>
  <c r="Q12" i="10"/>
  <c r="AH12" i="10" s="1"/>
  <c r="AO12" i="10" s="1"/>
  <c r="Q9" i="10"/>
  <c r="AH9" i="10" s="1"/>
  <c r="Q7" i="10"/>
  <c r="AH7" i="10" s="1"/>
  <c r="Q10" i="10"/>
  <c r="AH10" i="10" s="1"/>
  <c r="Q8" i="10"/>
  <c r="AH8" i="10" s="1"/>
  <c r="AO8" i="10" s="1"/>
  <c r="S8" i="10"/>
  <c r="AJ8" i="10" s="1"/>
  <c r="AQ8" i="10" s="1"/>
  <c r="Q6" i="10"/>
  <c r="S6" i="10"/>
  <c r="AJ6" i="10" s="1"/>
  <c r="Q5" i="10"/>
  <c r="S5" i="10"/>
  <c r="AJ5" i="10" s="1"/>
  <c r="Q4" i="10"/>
  <c r="S4" i="10"/>
  <c r="AJ4" i="10" s="1"/>
  <c r="BC24" i="10" l="1"/>
  <c r="AZ24" i="10"/>
  <c r="AY24" i="10"/>
  <c r="AY8" i="10"/>
  <c r="AY21" i="10" s="1"/>
  <c r="BA8" i="10"/>
  <c r="BA21" i="10" s="1"/>
  <c r="AZ12" i="10"/>
  <c r="AZ25" i="10" s="1"/>
  <c r="AZ40" i="10" s="1"/>
  <c r="BA12" i="10"/>
  <c r="BA25" i="10" s="1"/>
  <c r="BA40" i="10" s="1"/>
  <c r="AO9" i="10"/>
  <c r="BE6" i="10" s="1"/>
  <c r="BE34" i="10" s="1"/>
  <c r="BD6" i="10"/>
  <c r="BD34" i="10" s="1"/>
  <c r="AO7" i="10"/>
  <c r="BE36" i="10" s="1"/>
  <c r="BD36" i="10"/>
  <c r="AZ39" i="10"/>
  <c r="AY39" i="10"/>
  <c r="AO10" i="10"/>
  <c r="BD35" i="10"/>
  <c r="AZ9" i="10"/>
  <c r="AZ22" i="10" s="1"/>
  <c r="AZ38" i="10" s="1"/>
  <c r="AY9" i="10"/>
  <c r="AY22" i="10" s="1"/>
  <c r="AY38" i="10" s="1"/>
  <c r="BC14" i="10"/>
  <c r="BC27" i="10" s="1"/>
  <c r="BC42" i="10" s="1"/>
  <c r="AJ17" i="10"/>
  <c r="AQ17" i="10" s="1"/>
  <c r="AH16" i="10"/>
  <c r="AO16" i="10" s="1"/>
  <c r="AQ4" i="10"/>
  <c r="BC4" i="10" s="1"/>
  <c r="BC18" i="10" s="1"/>
  <c r="BC32" i="10" s="1"/>
  <c r="AQ6" i="10"/>
  <c r="AH5" i="10"/>
  <c r="AH4" i="10"/>
  <c r="AO4" i="10" s="1"/>
  <c r="AH6" i="10"/>
  <c r="AQ16" i="10"/>
  <c r="AQ5" i="10"/>
  <c r="AY10" i="10" l="1"/>
  <c r="AY23" i="10" s="1"/>
  <c r="BE35" i="10"/>
  <c r="AZ10" i="10"/>
  <c r="AZ23" i="10" s="1"/>
  <c r="BA10" i="10"/>
  <c r="BA23" i="10" s="1"/>
  <c r="AO5" i="10"/>
  <c r="BD33" i="10"/>
  <c r="BD5" i="10"/>
  <c r="BD19" i="10" s="1"/>
  <c r="AO6" i="10"/>
  <c r="BE7" i="10" s="1"/>
  <c r="BD7" i="10"/>
  <c r="AZ11" i="10"/>
  <c r="AY11" i="10"/>
  <c r="BC5" i="10"/>
  <c r="BC19" i="10" s="1"/>
  <c r="BC33" i="10"/>
  <c r="BC39" i="10"/>
  <c r="BC13" i="10"/>
  <c r="BC26" i="10" s="1"/>
  <c r="BC41" i="10" s="1"/>
  <c r="BC11" i="10"/>
  <c r="BC28" i="10"/>
  <c r="BC7" i="10"/>
  <c r="BB7" i="10"/>
  <c r="AR20" i="1"/>
  <c r="W20" i="1"/>
  <c r="R20" i="1"/>
  <c r="S20" i="1"/>
  <c r="P20" i="1"/>
  <c r="N20" i="1"/>
  <c r="AK20" i="1" s="1"/>
  <c r="K20" i="1"/>
  <c r="L20" i="1"/>
  <c r="J20" i="1"/>
  <c r="AN20" i="1" l="1"/>
  <c r="AM20" i="1"/>
  <c r="AL20" i="1"/>
  <c r="AJ20" i="1"/>
  <c r="AI20" i="1"/>
  <c r="AG20" i="1"/>
  <c r="AH20" i="1"/>
  <c r="BD2" i="10"/>
  <c r="BE37" i="10"/>
  <c r="BE20" i="10"/>
  <c r="BD37" i="10"/>
  <c r="BD30" i="10" s="1"/>
  <c r="BD20" i="10"/>
  <c r="BD16" i="10" s="1"/>
  <c r="BE33" i="10"/>
  <c r="BE30" i="10" s="1"/>
  <c r="BE5" i="10"/>
  <c r="BC2" i="10"/>
  <c r="BB37" i="10"/>
  <c r="BB20" i="10"/>
  <c r="BC20" i="10"/>
  <c r="BC16" i="10" s="1"/>
  <c r="BC37" i="10"/>
  <c r="BC30" i="10" s="1"/>
  <c r="BE19" i="10" l="1"/>
  <c r="BE16" i="10" s="1"/>
  <c r="BE2" i="10"/>
  <c r="N22" i="1"/>
  <c r="AK22" i="1" s="1"/>
  <c r="N23" i="1"/>
  <c r="AK23" i="1" s="1"/>
  <c r="N24" i="1"/>
  <c r="AK24" i="1" s="1"/>
  <c r="N21" i="1"/>
  <c r="AK21" i="1" s="1"/>
  <c r="N18" i="1"/>
  <c r="AK18" i="1" s="1"/>
  <c r="N19" i="1"/>
  <c r="AK19" i="1" s="1"/>
  <c r="AN23" i="1" l="1"/>
  <c r="AM23" i="1"/>
  <c r="AL23" i="1"/>
  <c r="AN18" i="1"/>
  <c r="AM18" i="1"/>
  <c r="AL18" i="1"/>
  <c r="AN19" i="1"/>
  <c r="AM19" i="1"/>
  <c r="AL19" i="1"/>
  <c r="AN21" i="1"/>
  <c r="AM21" i="1"/>
  <c r="AL21" i="1"/>
  <c r="AN24" i="1"/>
  <c r="AM24" i="1"/>
  <c r="AL24" i="1"/>
  <c r="AN22" i="1"/>
  <c r="AM22" i="1"/>
  <c r="AL22" i="1"/>
  <c r="AJ23" i="1"/>
  <c r="AG23" i="1"/>
  <c r="AI23" i="1"/>
  <c r="AH23" i="1"/>
  <c r="AJ18" i="1"/>
  <c r="AI18" i="1"/>
  <c r="AG18" i="1"/>
  <c r="AH18" i="1"/>
  <c r="AJ21" i="1"/>
  <c r="AG21" i="1"/>
  <c r="AI21" i="1"/>
  <c r="AH21" i="1"/>
  <c r="AJ19" i="1"/>
  <c r="AI19" i="1"/>
  <c r="AH19" i="1"/>
  <c r="AG19" i="1"/>
  <c r="AJ24" i="1"/>
  <c r="AI24" i="1"/>
  <c r="AH24" i="1"/>
  <c r="AG24" i="1"/>
  <c r="AJ22" i="1"/>
  <c r="AG22" i="1"/>
  <c r="AI22" i="1"/>
  <c r="AH22" i="1"/>
  <c r="G9" i="5"/>
  <c r="G10" i="5"/>
  <c r="G11" i="5"/>
  <c r="G13" i="5"/>
  <c r="G14" i="5"/>
  <c r="G15" i="5"/>
  <c r="G16" i="5"/>
  <c r="G7" i="5"/>
  <c r="G3" i="5"/>
  <c r="G4" i="5"/>
  <c r="G8" i="5"/>
  <c r="G5" i="5"/>
  <c r="G2" i="5"/>
  <c r="P5" i="5"/>
  <c r="Q5" i="5"/>
  <c r="R5" i="5"/>
  <c r="S5" i="5"/>
  <c r="T5" i="5"/>
  <c r="U5" i="5"/>
  <c r="V5" i="5"/>
  <c r="W5" i="5"/>
  <c r="X5" i="5"/>
  <c r="Y5" i="5"/>
  <c r="O5" i="5"/>
  <c r="M5" i="5"/>
  <c r="L5" i="5"/>
  <c r="I4" i="5"/>
  <c r="A5" i="5"/>
  <c r="A3" i="5"/>
  <c r="A4" i="5"/>
  <c r="A8" i="5"/>
  <c r="A7" i="5"/>
  <c r="A9" i="5"/>
  <c r="A10" i="5"/>
  <c r="A11" i="5"/>
  <c r="A13" i="5"/>
  <c r="A14" i="5"/>
  <c r="A15" i="5"/>
  <c r="A16" i="5"/>
  <c r="AN5" i="5" l="1"/>
  <c r="AM5" i="5"/>
  <c r="Z5" i="5"/>
  <c r="AF5" i="5"/>
  <c r="AQ5" i="5"/>
  <c r="AA5" i="5"/>
  <c r="AR5" i="5"/>
  <c r="AI5" i="5"/>
  <c r="AK5" i="5"/>
  <c r="AB5" i="5"/>
  <c r="AJ5" i="5"/>
  <c r="AE5" i="5"/>
  <c r="AP5" i="5"/>
  <c r="AL5" i="5"/>
  <c r="AH5" i="5"/>
  <c r="AD5" i="5"/>
  <c r="AS5" i="5"/>
  <c r="AO5" i="5"/>
  <c r="AG5" i="5"/>
  <c r="AC5" i="5"/>
  <c r="W19" i="1"/>
  <c r="S19" i="1"/>
  <c r="R19" i="1"/>
  <c r="P19" i="1"/>
  <c r="J19" i="1"/>
  <c r="K19" i="1"/>
  <c r="L19" i="1"/>
  <c r="M3" i="5" l="1"/>
  <c r="M4" i="5"/>
  <c r="M8" i="5"/>
  <c r="M7" i="5"/>
  <c r="M9" i="5"/>
  <c r="M10" i="5"/>
  <c r="M11" i="5"/>
  <c r="M13" i="5"/>
  <c r="M14" i="5"/>
  <c r="M15" i="5"/>
  <c r="M16" i="5"/>
  <c r="M2" i="5"/>
  <c r="L3" i="5"/>
  <c r="L4" i="5"/>
  <c r="L8" i="5"/>
  <c r="L7" i="5"/>
  <c r="L9" i="5"/>
  <c r="L10" i="5"/>
  <c r="L11" i="5"/>
  <c r="L13" i="5"/>
  <c r="L14" i="5"/>
  <c r="L15" i="5"/>
  <c r="L16" i="5"/>
  <c r="E3" i="5"/>
  <c r="E4" i="5"/>
  <c r="E8" i="5"/>
  <c r="E7" i="5"/>
  <c r="E9" i="5"/>
  <c r="E11" i="5"/>
  <c r="E13" i="5"/>
  <c r="E14" i="5"/>
  <c r="E15" i="5"/>
  <c r="E16" i="5"/>
  <c r="O3" i="5"/>
  <c r="P3" i="5"/>
  <c r="Q3" i="5"/>
  <c r="O4" i="5"/>
  <c r="P4" i="5"/>
  <c r="O8" i="5"/>
  <c r="P8" i="5"/>
  <c r="Q8" i="5"/>
  <c r="O7" i="5"/>
  <c r="P7" i="5"/>
  <c r="Q7" i="5"/>
  <c r="O9" i="5"/>
  <c r="P9" i="5"/>
  <c r="Q9" i="5"/>
  <c r="O10" i="5"/>
  <c r="P10" i="5"/>
  <c r="Q10" i="5"/>
  <c r="O11" i="5"/>
  <c r="P11" i="5"/>
  <c r="Q11" i="5"/>
  <c r="O13" i="5"/>
  <c r="P13" i="5"/>
  <c r="Q13" i="5"/>
  <c r="O14" i="5"/>
  <c r="P14" i="5"/>
  <c r="Q14" i="5"/>
  <c r="O15" i="5"/>
  <c r="P15" i="5"/>
  <c r="Q15" i="5"/>
  <c r="O16" i="5"/>
  <c r="P16" i="5"/>
  <c r="Q16" i="5"/>
  <c r="P2" i="5"/>
  <c r="O2" i="5"/>
  <c r="Y3" i="5"/>
  <c r="Y4" i="5"/>
  <c r="Y8" i="5"/>
  <c r="Y7" i="5"/>
  <c r="Y9" i="5"/>
  <c r="Y10" i="5"/>
  <c r="Y11" i="5"/>
  <c r="Y13" i="5"/>
  <c r="Y14" i="5"/>
  <c r="Y15" i="5"/>
  <c r="Y16" i="5"/>
  <c r="Y2" i="5"/>
  <c r="R3" i="5"/>
  <c r="S3" i="5"/>
  <c r="U3" i="5"/>
  <c r="X3" i="5"/>
  <c r="R4" i="5"/>
  <c r="S4" i="5"/>
  <c r="U4" i="5"/>
  <c r="X4" i="5"/>
  <c r="R8" i="5"/>
  <c r="S8" i="5"/>
  <c r="T8" i="5"/>
  <c r="U8" i="5"/>
  <c r="V8" i="5"/>
  <c r="W8" i="5"/>
  <c r="X8" i="5"/>
  <c r="R7" i="5"/>
  <c r="S7" i="5"/>
  <c r="U7" i="5"/>
  <c r="X7" i="5"/>
  <c r="R9" i="5"/>
  <c r="S9" i="5"/>
  <c r="T9" i="5"/>
  <c r="U9" i="5"/>
  <c r="R10" i="5"/>
  <c r="S10" i="5"/>
  <c r="T10" i="5"/>
  <c r="U10" i="5"/>
  <c r="V10" i="5"/>
  <c r="W10" i="5"/>
  <c r="X10" i="5"/>
  <c r="R11" i="5"/>
  <c r="S11" i="5"/>
  <c r="T11" i="5"/>
  <c r="U11" i="5"/>
  <c r="V11" i="5"/>
  <c r="W11" i="5"/>
  <c r="X11" i="5"/>
  <c r="R13" i="5"/>
  <c r="S13" i="5"/>
  <c r="U13" i="5"/>
  <c r="X13" i="5"/>
  <c r="R14" i="5"/>
  <c r="S14" i="5"/>
  <c r="U14" i="5"/>
  <c r="R15" i="5"/>
  <c r="S15" i="5"/>
  <c r="U15" i="5"/>
  <c r="R16" i="5"/>
  <c r="S16" i="5"/>
  <c r="U16" i="5"/>
  <c r="S2" i="5"/>
  <c r="U2" i="5"/>
  <c r="R2" i="5"/>
  <c r="E2" i="5"/>
  <c r="L2" i="5"/>
  <c r="A2" i="5"/>
  <c r="Z16" i="5" l="1"/>
  <c r="Z3" i="5"/>
  <c r="Z13" i="5"/>
  <c r="AK11" i="5"/>
  <c r="AA11" i="5"/>
  <c r="AH7" i="5"/>
  <c r="Z15" i="5"/>
  <c r="Z11" i="5"/>
  <c r="Z8" i="5"/>
  <c r="AC10" i="5"/>
  <c r="AF15" i="5"/>
  <c r="AN8" i="5"/>
  <c r="AH8" i="5"/>
  <c r="Z7" i="5"/>
  <c r="AC11" i="5"/>
  <c r="AC8" i="5"/>
  <c r="Z14" i="5"/>
  <c r="Z10" i="5"/>
  <c r="AK8" i="5"/>
  <c r="AE3" i="5"/>
  <c r="AF3" i="5"/>
  <c r="AF7" i="5"/>
  <c r="AI3" i="5"/>
  <c r="AQ11" i="5"/>
  <c r="AG11" i="5"/>
  <c r="AA10" i="5"/>
  <c r="AH10" i="5"/>
  <c r="AL10" i="5"/>
  <c r="AR8" i="5"/>
  <c r="AS8" i="5"/>
  <c r="Z4" i="5"/>
  <c r="AK16" i="5"/>
  <c r="AK13" i="5"/>
  <c r="AI2" i="5"/>
  <c r="AI14" i="5"/>
  <c r="AF14" i="5"/>
  <c r="AE10" i="5"/>
  <c r="AE4" i="5"/>
  <c r="AK7" i="5"/>
  <c r="AM8" i="5"/>
  <c r="AO8" i="5"/>
  <c r="AQ8" i="5"/>
  <c r="AJ8" i="5"/>
  <c r="AG8" i="5"/>
  <c r="AD4" i="5"/>
  <c r="AL4" i="5"/>
  <c r="AH4" i="5"/>
  <c r="Z9" i="5"/>
  <c r="AI9" i="5"/>
  <c r="AE9" i="5"/>
  <c r="AM9" i="5"/>
  <c r="AO9" i="5"/>
  <c r="AE2" i="5"/>
  <c r="AF16" i="5"/>
  <c r="AJ9" i="5"/>
  <c r="AD10" i="5"/>
  <c r="AE14" i="5"/>
  <c r="AF13" i="5"/>
  <c r="AD11" i="5"/>
  <c r="AB11" i="5"/>
  <c r="AR10" i="5"/>
  <c r="AH13" i="5"/>
  <c r="AB10" i="5"/>
  <c r="AF9" i="5"/>
  <c r="AB8" i="5"/>
  <c r="AS10" i="5"/>
  <c r="AD7" i="5"/>
  <c r="AA8" i="5"/>
  <c r="AF2" i="5"/>
  <c r="AI16" i="5"/>
  <c r="AE16" i="5"/>
  <c r="AL14" i="5"/>
  <c r="AH14" i="5"/>
  <c r="AI13" i="5"/>
  <c r="AE13" i="5"/>
  <c r="AQ10" i="5"/>
  <c r="AK10" i="5"/>
  <c r="AG10" i="5"/>
  <c r="AL9" i="5"/>
  <c r="AH9" i="5"/>
  <c r="AI7" i="5"/>
  <c r="AE7" i="5"/>
  <c r="AP8" i="5"/>
  <c r="AF8" i="5"/>
  <c r="AK4" i="5"/>
  <c r="AL3" i="5"/>
  <c r="AH3" i="5"/>
  <c r="K4" i="5"/>
  <c r="AD13" i="5"/>
  <c r="AD8" i="5"/>
  <c r="AK2" i="5"/>
  <c r="AL16" i="5"/>
  <c r="AH16" i="5"/>
  <c r="AI15" i="5"/>
  <c r="AK14" i="5"/>
  <c r="AL13" i="5"/>
  <c r="AP10" i="5"/>
  <c r="AN10" i="5"/>
  <c r="AJ10" i="5"/>
  <c r="AF10" i="5"/>
  <c r="AQ9" i="5"/>
  <c r="AK9" i="5"/>
  <c r="AG9" i="5"/>
  <c r="AL7" i="5"/>
  <c r="AI8" i="5"/>
  <c r="AE8" i="5"/>
  <c r="AF4" i="5"/>
  <c r="AK3" i="5"/>
  <c r="AD3" i="5"/>
  <c r="AH2" i="5"/>
  <c r="AL2" i="5"/>
  <c r="AO10" i="5"/>
  <c r="AM10" i="5"/>
  <c r="AI10" i="5"/>
  <c r="AL8" i="5"/>
  <c r="AI4" i="5"/>
  <c r="AE11" i="5"/>
  <c r="AL15" i="5"/>
  <c r="AH15" i="5"/>
  <c r="AE15" i="5"/>
  <c r="AP11" i="5"/>
  <c r="AN11" i="5"/>
  <c r="AJ11" i="5"/>
  <c r="AK15" i="5"/>
  <c r="AS11" i="5"/>
  <c r="AO11" i="5"/>
  <c r="AM11" i="5"/>
  <c r="AI11" i="5"/>
  <c r="AF11" i="5"/>
  <c r="AR11" i="5"/>
  <c r="AL11" i="5"/>
  <c r="AH11" i="5"/>
  <c r="Z2" i="5"/>
  <c r="V16" i="5" l="1"/>
  <c r="V15" i="5"/>
  <c r="V14" i="5"/>
  <c r="V13" i="5"/>
  <c r="V9" i="5"/>
  <c r="V4" i="5"/>
  <c r="V3" i="5"/>
  <c r="V2" i="5"/>
  <c r="AA16" i="5" l="1"/>
  <c r="AP16" i="5"/>
  <c r="AA4" i="5"/>
  <c r="AP4" i="5"/>
  <c r="V7" i="5"/>
  <c r="AP13" i="5"/>
  <c r="AA13" i="5"/>
  <c r="AA2" i="5"/>
  <c r="AP2" i="5"/>
  <c r="AA14" i="5"/>
  <c r="AP14" i="5"/>
  <c r="AP3" i="5"/>
  <c r="AA3" i="5"/>
  <c r="AP9" i="5"/>
  <c r="AA9" i="5"/>
  <c r="AP15" i="5"/>
  <c r="AA15" i="5"/>
  <c r="AA7" i="5" l="1"/>
  <c r="AP7" i="5"/>
  <c r="R15" i="10" l="1"/>
  <c r="AI15" i="10" s="1"/>
  <c r="R16" i="10"/>
  <c r="AI16" i="10" s="1"/>
  <c r="R17" i="10"/>
  <c r="R18" i="10"/>
  <c r="AI18" i="10" s="1"/>
  <c r="AP18" i="10" s="1"/>
  <c r="BA14" i="10" l="1"/>
  <c r="BA27" i="10" s="1"/>
  <c r="BA42" i="10" s="1"/>
  <c r="AY14" i="10"/>
  <c r="BB14" i="10"/>
  <c r="BB27" i="10" s="1"/>
  <c r="BB42" i="10" s="1"/>
  <c r="AI17" i="10"/>
  <c r="AP17" i="10" s="1"/>
  <c r="AP16" i="10"/>
  <c r="AP15" i="10"/>
  <c r="W15" i="5"/>
  <c r="AN15" i="5" s="1"/>
  <c r="W14" i="5"/>
  <c r="AR14" i="5" s="1"/>
  <c r="W16" i="5"/>
  <c r="AR16" i="5" s="1"/>
  <c r="W13" i="5"/>
  <c r="AB13" i="5" s="1"/>
  <c r="AN16" i="5"/>
  <c r="AS15" i="5"/>
  <c r="AR13" i="5" l="1"/>
  <c r="AR15" i="5"/>
  <c r="AS14" i="5"/>
  <c r="AN14" i="5"/>
  <c r="AS13" i="5"/>
  <c r="BA13" i="10"/>
  <c r="BA26" i="10" s="1"/>
  <c r="BA41" i="10" s="1"/>
  <c r="BA39" i="10"/>
  <c r="AY13" i="10"/>
  <c r="BB13" i="10"/>
  <c r="BB26" i="10" s="1"/>
  <c r="BB41" i="10" s="1"/>
  <c r="BB39" i="10"/>
  <c r="BB9" i="10"/>
  <c r="BB22" i="10" s="1"/>
  <c r="BB38" i="10" s="1"/>
  <c r="BA9" i="10"/>
  <c r="AZ14" i="10"/>
  <c r="AZ27" i="10" s="1"/>
  <c r="AZ42" i="10" s="1"/>
  <c r="AY27" i="10"/>
  <c r="AY42" i="10" s="1"/>
  <c r="AY28" i="10"/>
  <c r="AZ28" i="10" s="1"/>
  <c r="BA11" i="10"/>
  <c r="BA28" i="10"/>
  <c r="BB11" i="10"/>
  <c r="BB28" i="10"/>
  <c r="AS16" i="5"/>
  <c r="AC13" i="5"/>
  <c r="AN13" i="5"/>
  <c r="R11" i="10"/>
  <c r="AI11" i="10" s="1"/>
  <c r="AP11" i="10" s="1"/>
  <c r="R14" i="10"/>
  <c r="AI14" i="10" s="1"/>
  <c r="AP14" i="10" s="1"/>
  <c r="R9" i="10"/>
  <c r="AI9" i="10" s="1"/>
  <c r="AP9" i="10" s="1"/>
  <c r="BB6" i="10" s="1"/>
  <c r="BB34" i="10" s="1"/>
  <c r="W4" i="5"/>
  <c r="R5" i="10"/>
  <c r="AI5" i="10" s="1"/>
  <c r="R4" i="10"/>
  <c r="BB24" i="10" l="1"/>
  <c r="BA24" i="10"/>
  <c r="BA22" i="10"/>
  <c r="BA2" i="10"/>
  <c r="AY26" i="10"/>
  <c r="AZ13" i="10"/>
  <c r="AY2" i="10"/>
  <c r="AI4" i="10"/>
  <c r="AP4" i="10" s="1"/>
  <c r="AP5" i="10"/>
  <c r="W2" i="5"/>
  <c r="AS2" i="5" s="1"/>
  <c r="X15" i="5"/>
  <c r="AB15" i="5" s="1"/>
  <c r="X2" i="5"/>
  <c r="AD2" i="5" s="1"/>
  <c r="W3" i="5"/>
  <c r="AN3" i="5" s="1"/>
  <c r="X9" i="5"/>
  <c r="X16" i="5"/>
  <c r="AB16" i="5" s="1"/>
  <c r="W9" i="5"/>
  <c r="AN9" i="5" s="1"/>
  <c r="AN4" i="5"/>
  <c r="AC4" i="5"/>
  <c r="AB4" i="5"/>
  <c r="AS4" i="5"/>
  <c r="AR4" i="5"/>
  <c r="W7" i="5"/>
  <c r="X14" i="5"/>
  <c r="AR2" i="5" l="1"/>
  <c r="AN2" i="5"/>
  <c r="AR3" i="5"/>
  <c r="AC16" i="5"/>
  <c r="AR9" i="5"/>
  <c r="AS9" i="5"/>
  <c r="AY41" i="10"/>
  <c r="AY30" i="10" s="1"/>
  <c r="AY16" i="10"/>
  <c r="BB33" i="10"/>
  <c r="BB30" i="10" s="1"/>
  <c r="BB5" i="10"/>
  <c r="AZ26" i="10"/>
  <c r="AZ2" i="10"/>
  <c r="BA38" i="10"/>
  <c r="BA30" i="10" s="1"/>
  <c r="BA16" i="10"/>
  <c r="AB3" i="5"/>
  <c r="AC9" i="5"/>
  <c r="AC3" i="5"/>
  <c r="AS3" i="5"/>
  <c r="AD16" i="5"/>
  <c r="AD15" i="5"/>
  <c r="AB9" i="5"/>
  <c r="AC15" i="5"/>
  <c r="AC2" i="5"/>
  <c r="AB2" i="5"/>
  <c r="AD9" i="5"/>
  <c r="AB7" i="5"/>
  <c r="AC7" i="5"/>
  <c r="AN7" i="5"/>
  <c r="AS7" i="5"/>
  <c r="AR7" i="5"/>
  <c r="AB14" i="5"/>
  <c r="AD14" i="5"/>
  <c r="AC14" i="5"/>
  <c r="BB19" i="10" l="1"/>
  <c r="BB16" i="10" s="1"/>
  <c r="BB2" i="10"/>
  <c r="AZ41" i="10"/>
  <c r="AZ30" i="10" s="1"/>
  <c r="AZ16" i="10"/>
  <c r="AD2" i="1" l="1"/>
  <c r="AO2" i="1" l="1"/>
  <c r="AQ2" i="1"/>
  <c r="AR19" i="1"/>
  <c r="AR25" i="1"/>
  <c r="J8" i="3" l="1"/>
  <c r="K8" i="3"/>
  <c r="L8" i="3"/>
  <c r="N8" i="3"/>
  <c r="P8" i="3"/>
  <c r="Q8" i="3"/>
  <c r="J9" i="3"/>
  <c r="K9" i="3"/>
  <c r="L9" i="3"/>
  <c r="M9" i="3"/>
  <c r="N9" i="3"/>
  <c r="P9" i="3"/>
  <c r="Q9" i="3"/>
  <c r="J10" i="3"/>
  <c r="K10" i="3"/>
  <c r="L10" i="3"/>
  <c r="M10" i="3"/>
  <c r="N10" i="3"/>
  <c r="P10" i="3"/>
  <c r="Q10" i="3"/>
  <c r="J11" i="3"/>
  <c r="K11" i="3"/>
  <c r="L11" i="3"/>
  <c r="N11" i="3"/>
  <c r="P11" i="3"/>
  <c r="Q11" i="3"/>
  <c r="J13" i="3"/>
  <c r="K13" i="3"/>
  <c r="L13" i="3"/>
  <c r="N13" i="3"/>
  <c r="P13" i="3"/>
  <c r="Q13" i="3"/>
  <c r="J14" i="3"/>
  <c r="K14" i="3"/>
  <c r="L14" i="3"/>
  <c r="N14" i="3"/>
  <c r="P14" i="3"/>
  <c r="Q14" i="3"/>
  <c r="J15" i="3"/>
  <c r="K15" i="3"/>
  <c r="L15" i="3"/>
  <c r="N15" i="3"/>
  <c r="P15" i="3"/>
  <c r="Q15" i="3"/>
  <c r="J16" i="3"/>
  <c r="K16" i="3"/>
  <c r="L16" i="3"/>
  <c r="N16" i="3"/>
  <c r="P16" i="3"/>
  <c r="Q16" i="3"/>
  <c r="J12" i="3"/>
  <c r="K12" i="3"/>
  <c r="L12" i="3"/>
  <c r="N12" i="3"/>
  <c r="P12" i="3"/>
  <c r="Q12" i="3"/>
  <c r="I8" i="3"/>
  <c r="I9" i="3"/>
  <c r="I10" i="3"/>
  <c r="I11" i="3"/>
  <c r="I13" i="3"/>
  <c r="I14" i="3"/>
  <c r="I15" i="3"/>
  <c r="I16" i="3"/>
  <c r="I12" i="3"/>
  <c r="B8" i="3"/>
  <c r="D8" i="3"/>
  <c r="F8" i="3"/>
  <c r="B9" i="3"/>
  <c r="D9" i="3"/>
  <c r="F9" i="3"/>
  <c r="B10" i="3"/>
  <c r="D10" i="3"/>
  <c r="F10" i="3"/>
  <c r="G10" i="3" s="1"/>
  <c r="B11" i="3"/>
  <c r="D11" i="3"/>
  <c r="F11" i="3"/>
  <c r="B13" i="3"/>
  <c r="D13" i="3"/>
  <c r="F13" i="3"/>
  <c r="G13" i="3" s="1"/>
  <c r="B14" i="3"/>
  <c r="D14" i="3"/>
  <c r="F14" i="3"/>
  <c r="G14" i="3" s="1"/>
  <c r="B15" i="3"/>
  <c r="D15" i="3"/>
  <c r="F15" i="3"/>
  <c r="G15" i="3" s="1"/>
  <c r="B16" i="3"/>
  <c r="D16" i="3"/>
  <c r="F16" i="3"/>
  <c r="G16" i="3" s="1"/>
  <c r="B12" i="3"/>
  <c r="D12" i="3"/>
  <c r="F12" i="3"/>
  <c r="G12" i="3" s="1"/>
  <c r="A8" i="3"/>
  <c r="A9" i="3"/>
  <c r="A10" i="3"/>
  <c r="A11" i="3"/>
  <c r="A13" i="3"/>
  <c r="A14" i="3"/>
  <c r="A15" i="3"/>
  <c r="A16" i="3"/>
  <c r="A12" i="3"/>
  <c r="AK12" i="3" l="1"/>
  <c r="AX12" i="3"/>
  <c r="AK16" i="3"/>
  <c r="U12" i="3"/>
  <c r="V12" i="3" s="1"/>
  <c r="AN16" i="3"/>
  <c r="AN13" i="3"/>
  <c r="U11" i="3"/>
  <c r="V11" i="3" s="1"/>
  <c r="AN10" i="3"/>
  <c r="BU10" i="3"/>
  <c r="AN12" i="3"/>
  <c r="CE10" i="3"/>
  <c r="U8" i="3"/>
  <c r="V8" i="3" s="1"/>
  <c r="U16" i="3"/>
  <c r="S14" i="3"/>
  <c r="S12" i="3"/>
  <c r="AA12" i="3"/>
  <c r="BE12" i="3"/>
  <c r="BI12" i="3"/>
  <c r="AH12" i="3"/>
  <c r="AL12" i="3"/>
  <c r="AP12" i="3"/>
  <c r="AR12" i="3" s="1"/>
  <c r="BJ12" i="3"/>
  <c r="BN12" i="3"/>
  <c r="T12" i="3"/>
  <c r="Z12" i="3"/>
  <c r="AB12" i="3" s="1"/>
  <c r="AD12" i="3"/>
  <c r="AF12" i="3" s="1"/>
  <c r="AI12" i="3"/>
  <c r="AM12" i="3"/>
  <c r="AQ12" i="3"/>
  <c r="AW12" i="3"/>
  <c r="AY12" i="3" s="1"/>
  <c r="BO12" i="3"/>
  <c r="BS12" i="3"/>
  <c r="AE12" i="3"/>
  <c r="S16" i="3"/>
  <c r="AA16" i="3"/>
  <c r="BE16" i="3"/>
  <c r="BI16" i="3"/>
  <c r="Z16" i="3"/>
  <c r="AB16" i="3" s="1"/>
  <c r="BD16" i="3"/>
  <c r="AH16" i="3"/>
  <c r="AL16" i="3"/>
  <c r="AP16" i="3"/>
  <c r="AR16" i="3" s="1"/>
  <c r="BJ16" i="3"/>
  <c r="BN16" i="3"/>
  <c r="AX16" i="3"/>
  <c r="T16" i="3"/>
  <c r="AD16" i="3"/>
  <c r="AF16" i="3" s="1"/>
  <c r="AI16" i="3"/>
  <c r="AM16" i="3"/>
  <c r="AQ16" i="3"/>
  <c r="AW16" i="3"/>
  <c r="AY16" i="3" s="1"/>
  <c r="BO16" i="3"/>
  <c r="BS16" i="3"/>
  <c r="AE16" i="3"/>
  <c r="BT16" i="3"/>
  <c r="S15" i="3"/>
  <c r="AH15" i="3"/>
  <c r="AL15" i="3"/>
  <c r="AP15" i="3"/>
  <c r="AR15" i="3" s="1"/>
  <c r="BJ15" i="3"/>
  <c r="BN15" i="3"/>
  <c r="T15" i="3"/>
  <c r="AD15" i="3"/>
  <c r="AF15" i="3" s="1"/>
  <c r="AI15" i="3"/>
  <c r="AM15" i="3"/>
  <c r="AQ15" i="3"/>
  <c r="AW15" i="3"/>
  <c r="AY15" i="3" s="1"/>
  <c r="BO15" i="3"/>
  <c r="BS15" i="3"/>
  <c r="Z15" i="3"/>
  <c r="AB15" i="3" s="1"/>
  <c r="AE15" i="3"/>
  <c r="AX15" i="3"/>
  <c r="BD15" i="3"/>
  <c r="BE15" i="3"/>
  <c r="AA15" i="3"/>
  <c r="BI15" i="3"/>
  <c r="BT15" i="3"/>
  <c r="AM14" i="3"/>
  <c r="T14" i="3"/>
  <c r="S13" i="3"/>
  <c r="AA13" i="3"/>
  <c r="BE13" i="3"/>
  <c r="BI13" i="3"/>
  <c r="AH13" i="3"/>
  <c r="AL13" i="3"/>
  <c r="AP13" i="3"/>
  <c r="AR13" i="3" s="1"/>
  <c r="BJ13" i="3"/>
  <c r="BN13" i="3"/>
  <c r="AD13" i="3"/>
  <c r="AF13" i="3" s="1"/>
  <c r="AI13" i="3"/>
  <c r="AM13" i="3"/>
  <c r="AQ13" i="3"/>
  <c r="AW13" i="3"/>
  <c r="AY13" i="3" s="1"/>
  <c r="BO13" i="3"/>
  <c r="BS13" i="3"/>
  <c r="AE13" i="3"/>
  <c r="AX13" i="3"/>
  <c r="BD13" i="3"/>
  <c r="BT13" i="3"/>
  <c r="T13" i="3"/>
  <c r="Z13" i="3"/>
  <c r="AB13" i="3" s="1"/>
  <c r="S11" i="3"/>
  <c r="AA11" i="3"/>
  <c r="BE11" i="3"/>
  <c r="BI11" i="3"/>
  <c r="AH11" i="3"/>
  <c r="AL11" i="3"/>
  <c r="AP11" i="3"/>
  <c r="AR11" i="3" s="1"/>
  <c r="BJ11" i="3"/>
  <c r="BN11" i="3"/>
  <c r="T11" i="3"/>
  <c r="AD11" i="3"/>
  <c r="AF11" i="3" s="1"/>
  <c r="AI11" i="3"/>
  <c r="AM11" i="3"/>
  <c r="AQ11" i="3"/>
  <c r="AW11" i="3"/>
  <c r="AY11" i="3" s="1"/>
  <c r="BO11" i="3"/>
  <c r="BS11" i="3"/>
  <c r="Z11" i="3"/>
  <c r="AB11" i="3" s="1"/>
  <c r="BT11" i="3"/>
  <c r="AE11" i="3"/>
  <c r="AX11" i="3"/>
  <c r="BD11" i="3"/>
  <c r="S10" i="3"/>
  <c r="AH10" i="3"/>
  <c r="AL10" i="3"/>
  <c r="AP10" i="3"/>
  <c r="AR10" i="3" s="1"/>
  <c r="BJ10" i="3"/>
  <c r="BN10" i="3"/>
  <c r="AD10" i="3"/>
  <c r="AF10" i="3" s="1"/>
  <c r="AI10" i="3"/>
  <c r="AM10" i="3"/>
  <c r="AQ10" i="3"/>
  <c r="AW10" i="3"/>
  <c r="AY10" i="3" s="1"/>
  <c r="BO10" i="3"/>
  <c r="BS10" i="3"/>
  <c r="T10" i="3"/>
  <c r="Z10" i="3"/>
  <c r="AB10" i="3" s="1"/>
  <c r="AE10" i="3"/>
  <c r="AX10" i="3"/>
  <c r="BD10" i="3"/>
  <c r="BT10" i="3"/>
  <c r="BE10" i="3"/>
  <c r="AA10" i="3"/>
  <c r="BI10" i="3"/>
  <c r="S9" i="3"/>
  <c r="Z9" i="3"/>
  <c r="AB9" i="3" s="1"/>
  <c r="AH9" i="3"/>
  <c r="AM9" i="3"/>
  <c r="AQ9" i="3"/>
  <c r="AX9" i="3"/>
  <c r="BE9" i="3"/>
  <c r="BJ9" i="3"/>
  <c r="BN9" i="3"/>
  <c r="BS9" i="3"/>
  <c r="AA9" i="3"/>
  <c r="AI9" i="3"/>
  <c r="BO9" i="3"/>
  <c r="BT9" i="3"/>
  <c r="AD9" i="3"/>
  <c r="AF9" i="3" s="1"/>
  <c r="AE9" i="3"/>
  <c r="BD9" i="3"/>
  <c r="AL9" i="3"/>
  <c r="BI9" i="3"/>
  <c r="X9" i="3"/>
  <c r="T9" i="3"/>
  <c r="AP9" i="3"/>
  <c r="AR9" i="3" s="1"/>
  <c r="AW9" i="3"/>
  <c r="AY9" i="3" s="1"/>
  <c r="S8" i="3"/>
  <c r="AA8" i="3"/>
  <c r="BE8" i="3"/>
  <c r="BI8" i="3"/>
  <c r="AH8" i="3"/>
  <c r="AL8" i="3"/>
  <c r="AP8" i="3"/>
  <c r="AR8" i="3" s="1"/>
  <c r="BJ8" i="3"/>
  <c r="BN8" i="3"/>
  <c r="T8" i="3"/>
  <c r="AD8" i="3"/>
  <c r="AF8" i="3" s="1"/>
  <c r="AI8" i="3"/>
  <c r="AM8" i="3"/>
  <c r="AQ8" i="3"/>
  <c r="AW8" i="3"/>
  <c r="AY8" i="3" s="1"/>
  <c r="BO8" i="3"/>
  <c r="BS8" i="3"/>
  <c r="Z8" i="3"/>
  <c r="AB8" i="3" s="1"/>
  <c r="BD8" i="3"/>
  <c r="BT8" i="3"/>
  <c r="AE8" i="3"/>
  <c r="AX8" i="3"/>
  <c r="W12" i="3"/>
  <c r="Y12" i="3" s="1"/>
  <c r="W16" i="3"/>
  <c r="Y16" i="3" s="1"/>
  <c r="BT12" i="3"/>
  <c r="BD12" i="3"/>
  <c r="H12" i="3"/>
  <c r="H14" i="3"/>
  <c r="H11" i="3"/>
  <c r="H9" i="3"/>
  <c r="W15" i="3"/>
  <c r="Y15" i="3" s="1"/>
  <c r="X15" i="3"/>
  <c r="W13" i="3"/>
  <c r="Y13" i="3" s="1"/>
  <c r="X13" i="3"/>
  <c r="W11" i="3"/>
  <c r="Y11" i="3" s="1"/>
  <c r="X11" i="3"/>
  <c r="W10" i="3"/>
  <c r="Y10" i="3" s="1"/>
  <c r="X10" i="3"/>
  <c r="W9" i="3"/>
  <c r="Y9" i="3" s="1"/>
  <c r="W8" i="3"/>
  <c r="Y8" i="3" s="1"/>
  <c r="X8" i="3"/>
  <c r="X12" i="3"/>
  <c r="X16" i="3"/>
  <c r="U10" i="3"/>
  <c r="V10" i="3" s="1"/>
  <c r="G11" i="3"/>
  <c r="G9" i="3"/>
  <c r="G8" i="3"/>
  <c r="U14" i="3"/>
  <c r="V14" i="3" s="1"/>
  <c r="AK13" i="3"/>
  <c r="AK11" i="3"/>
  <c r="AK9" i="3"/>
  <c r="AK8" i="3"/>
  <c r="AK15" i="3"/>
  <c r="AK10" i="3"/>
  <c r="U15" i="3"/>
  <c r="V15" i="3" s="1"/>
  <c r="AN15" i="3"/>
  <c r="U13" i="3"/>
  <c r="V13" i="3" s="1"/>
  <c r="AC10" i="3"/>
  <c r="BF10" i="3"/>
  <c r="BK10" i="3"/>
  <c r="AJ10" i="3"/>
  <c r="AS10" i="3"/>
  <c r="BP10" i="3"/>
  <c r="BX10" i="3"/>
  <c r="U9" i="3"/>
  <c r="V9" i="3" s="1"/>
  <c r="AN9" i="3"/>
  <c r="AJ9" i="3"/>
  <c r="BK9" i="3"/>
  <c r="V16" i="3"/>
  <c r="AN11" i="3"/>
  <c r="AZ10" i="3"/>
  <c r="AG10" i="3"/>
  <c r="AN8" i="3"/>
  <c r="BS14" i="3"/>
  <c r="AI14" i="3"/>
  <c r="BO14" i="3"/>
  <c r="AW14" i="3"/>
  <c r="AY14" i="3" s="1"/>
  <c r="AD14" i="3"/>
  <c r="AF14" i="3" s="1"/>
  <c r="AQ14" i="3"/>
  <c r="X14" i="3"/>
  <c r="BN14" i="3"/>
  <c r="BJ14" i="3"/>
  <c r="AP14" i="3"/>
  <c r="AR14" i="3" s="1"/>
  <c r="AL14" i="3"/>
  <c r="AH14" i="3"/>
  <c r="W14" i="3"/>
  <c r="Y14" i="3" s="1"/>
  <c r="BI14" i="3"/>
  <c r="BE14" i="3"/>
  <c r="AK14" i="3"/>
  <c r="AA14" i="3"/>
  <c r="BT14" i="3"/>
  <c r="BD14" i="3"/>
  <c r="AX14" i="3"/>
  <c r="AN14" i="3"/>
  <c r="AE14" i="3"/>
  <c r="Z14" i="3"/>
  <c r="AB14" i="3" s="1"/>
  <c r="BF9" i="3"/>
  <c r="AC9" i="3"/>
  <c r="CE9" i="3"/>
  <c r="BU9" i="3"/>
  <c r="AZ9" i="3"/>
  <c r="AG9" i="3"/>
  <c r="BX9" i="3"/>
  <c r="BP9" i="3"/>
  <c r="AS9" i="3"/>
  <c r="H16" i="3"/>
  <c r="H15" i="3"/>
  <c r="H13" i="3"/>
  <c r="H10" i="3"/>
  <c r="H8" i="3"/>
  <c r="O8" i="3" l="1"/>
  <c r="CB8" i="3" s="1"/>
  <c r="CD8" i="3" s="1"/>
  <c r="O16" i="3"/>
  <c r="CB16" i="3" s="1"/>
  <c r="CD16" i="3" s="1"/>
  <c r="O12" i="3"/>
  <c r="CB12" i="3" s="1"/>
  <c r="CD12" i="3" s="1"/>
  <c r="O13" i="3"/>
  <c r="CB13" i="3" s="1"/>
  <c r="CD13" i="3" s="1"/>
  <c r="O11" i="3"/>
  <c r="CB11" i="3" s="1"/>
  <c r="CD11" i="3" s="1"/>
  <c r="O14" i="3"/>
  <c r="CB14" i="3" s="1"/>
  <c r="CD14" i="3" s="1"/>
  <c r="O10" i="3"/>
  <c r="CB10" i="3" s="1"/>
  <c r="CD10" i="3" s="1"/>
  <c r="O9" i="3"/>
  <c r="CB9" i="3" s="1"/>
  <c r="CD9" i="3" s="1"/>
  <c r="O15" i="3"/>
  <c r="CB15" i="3" s="1"/>
  <c r="CD15" i="3" s="1"/>
  <c r="BM10" i="3" l="1"/>
  <c r="AT10" i="3"/>
  <c r="AV10" i="3" s="1"/>
  <c r="BW10" i="3"/>
  <c r="BV10" i="3"/>
  <c r="BY10" i="3"/>
  <c r="CA10" i="3" s="1"/>
  <c r="CC10" i="3"/>
  <c r="BB10" i="3"/>
  <c r="R10" i="3"/>
  <c r="AO10" i="3" s="1"/>
  <c r="BH10" i="3"/>
  <c r="BG10" i="3"/>
  <c r="BZ10" i="3"/>
  <c r="BL10" i="3"/>
  <c r="BQ10" i="3"/>
  <c r="BA10" i="3"/>
  <c r="BC10" i="3" s="1"/>
  <c r="AU10" i="3"/>
  <c r="BR10" i="3"/>
  <c r="BZ11" i="3"/>
  <c r="BA11" i="3"/>
  <c r="BC11" i="3" s="1"/>
  <c r="CC11" i="3"/>
  <c r="R11" i="3"/>
  <c r="AO11" i="3" s="1"/>
  <c r="BR11" i="3"/>
  <c r="BQ11" i="3"/>
  <c r="BH11" i="3"/>
  <c r="BY11" i="3"/>
  <c r="CA11" i="3" s="1"/>
  <c r="BG11" i="3"/>
  <c r="BL11" i="3"/>
  <c r="AU11" i="3"/>
  <c r="AT11" i="3"/>
  <c r="AV11" i="3" s="1"/>
  <c r="BW11" i="3"/>
  <c r="BV11" i="3"/>
  <c r="BB11" i="3"/>
  <c r="BM11" i="3"/>
  <c r="BR9" i="3"/>
  <c r="BZ9" i="3"/>
  <c r="R9" i="3"/>
  <c r="AO9" i="3" s="1"/>
  <c r="BW9" i="3"/>
  <c r="BH9" i="3"/>
  <c r="BG9" i="3"/>
  <c r="CC9" i="3"/>
  <c r="AT9" i="3"/>
  <c r="AV9" i="3" s="1"/>
  <c r="BM9" i="3"/>
  <c r="BL9" i="3"/>
  <c r="AU9" i="3"/>
  <c r="BA9" i="3"/>
  <c r="BC9" i="3" s="1"/>
  <c r="BQ9" i="3"/>
  <c r="BY9" i="3"/>
  <c r="CA9" i="3" s="1"/>
  <c r="BB9" i="3"/>
  <c r="BV9" i="3"/>
  <c r="BW14" i="3"/>
  <c r="BZ14" i="3"/>
  <c r="BQ14" i="3"/>
  <c r="BH14" i="3"/>
  <c r="BY14" i="3"/>
  <c r="CA14" i="3" s="1"/>
  <c r="R14" i="3"/>
  <c r="AO14" i="3" s="1"/>
  <c r="BB14" i="3"/>
  <c r="CC14" i="3"/>
  <c r="BV14" i="3"/>
  <c r="BM14" i="3"/>
  <c r="AT14" i="3"/>
  <c r="AV14" i="3" s="1"/>
  <c r="BG14" i="3"/>
  <c r="BR14" i="3"/>
  <c r="BA14" i="3"/>
  <c r="BC14" i="3" s="1"/>
  <c r="AU14" i="3"/>
  <c r="BL14" i="3"/>
  <c r="BL13" i="3"/>
  <c r="BA13" i="3"/>
  <c r="BC13" i="3" s="1"/>
  <c r="BZ13" i="3"/>
  <c r="AU13" i="3"/>
  <c r="BB13" i="3"/>
  <c r="AT13" i="3"/>
  <c r="AV13" i="3" s="1"/>
  <c r="BR13" i="3"/>
  <c r="BQ13" i="3"/>
  <c r="BV13" i="3"/>
  <c r="BM13" i="3"/>
  <c r="BW13" i="3"/>
  <c r="BH13" i="3"/>
  <c r="CC13" i="3"/>
  <c r="R13" i="3"/>
  <c r="AO13" i="3" s="1"/>
  <c r="BG13" i="3"/>
  <c r="BY13" i="3"/>
  <c r="CA13" i="3" s="1"/>
  <c r="BH16" i="3"/>
  <c r="AU16" i="3"/>
  <c r="BR16" i="3"/>
  <c r="BM16" i="3"/>
  <c r="AT16" i="3"/>
  <c r="AV16" i="3" s="1"/>
  <c r="BB16" i="3"/>
  <c r="R16" i="3"/>
  <c r="AO16" i="3" s="1"/>
  <c r="BW16" i="3"/>
  <c r="BZ16" i="3"/>
  <c r="BQ16" i="3"/>
  <c r="BL16" i="3"/>
  <c r="BA16" i="3"/>
  <c r="BC16" i="3" s="1"/>
  <c r="BY16" i="3"/>
  <c r="CA16" i="3" s="1"/>
  <c r="CC16" i="3"/>
  <c r="BG16" i="3"/>
  <c r="BV16" i="3"/>
  <c r="CC8" i="3"/>
  <c r="BA8" i="3"/>
  <c r="BC8" i="3" s="1"/>
  <c r="BH8" i="3"/>
  <c r="BG8" i="3"/>
  <c r="AU8" i="3"/>
  <c r="R8" i="3"/>
  <c r="AO8" i="3" s="1"/>
  <c r="BR8" i="3"/>
  <c r="BQ8" i="3"/>
  <c r="BL8" i="3"/>
  <c r="BV8" i="3"/>
  <c r="BY8" i="3"/>
  <c r="CA8" i="3" s="1"/>
  <c r="BM8" i="3"/>
  <c r="BZ8" i="3"/>
  <c r="BB8" i="3"/>
  <c r="AT8" i="3"/>
  <c r="AV8" i="3" s="1"/>
  <c r="BW8" i="3"/>
  <c r="AT15" i="3"/>
  <c r="AV15" i="3" s="1"/>
  <c r="BM15" i="3"/>
  <c r="AU15" i="3"/>
  <c r="BH15" i="3"/>
  <c r="BG15" i="3"/>
  <c r="BQ15" i="3"/>
  <c r="BZ15" i="3"/>
  <c r="BB15" i="3"/>
  <c r="BA15" i="3"/>
  <c r="BC15" i="3" s="1"/>
  <c r="BL15" i="3"/>
  <c r="R15" i="3"/>
  <c r="AO15" i="3" s="1"/>
  <c r="BW15" i="3"/>
  <c r="BV15" i="3"/>
  <c r="BY15" i="3"/>
  <c r="CA15" i="3" s="1"/>
  <c r="BR15" i="3"/>
  <c r="CC15" i="3"/>
  <c r="AT12" i="3"/>
  <c r="AV12" i="3" s="1"/>
  <c r="BH12" i="3"/>
  <c r="CC12" i="3"/>
  <c r="BL12" i="3"/>
  <c r="BV12" i="3"/>
  <c r="BB12" i="3"/>
  <c r="BY12" i="3"/>
  <c r="CA12" i="3" s="1"/>
  <c r="AU12" i="3"/>
  <c r="BW12" i="3"/>
  <c r="BR12" i="3"/>
  <c r="R12" i="3"/>
  <c r="AO12" i="3" s="1"/>
  <c r="BQ12" i="3"/>
  <c r="BG12" i="3"/>
  <c r="BA12" i="3"/>
  <c r="BC12" i="3" s="1"/>
  <c r="BZ12" i="3"/>
  <c r="BM12" i="3"/>
  <c r="N2" i="1"/>
  <c r="AR18" i="1" l="1"/>
  <c r="AR21" i="1"/>
  <c r="AR22" i="1"/>
  <c r="AR23" i="1"/>
  <c r="AR24" i="1"/>
  <c r="O14" i="10" l="1"/>
  <c r="AF14" i="10" s="1"/>
  <c r="AM14" i="10" s="1"/>
  <c r="O6" i="10"/>
  <c r="O5" i="10"/>
  <c r="AF5" i="10" s="1"/>
  <c r="AM5" i="10" s="1"/>
  <c r="O4" i="10"/>
  <c r="AX33" i="10" l="1"/>
  <c r="AX5" i="10"/>
  <c r="AX19" i="10" s="1"/>
  <c r="AF4" i="10"/>
  <c r="AM4" i="10" s="1"/>
  <c r="AF6" i="10"/>
  <c r="AM6" i="10" s="1"/>
  <c r="AX7" i="10" s="1"/>
  <c r="T14" i="5"/>
  <c r="AQ14" i="5" s="1"/>
  <c r="O16" i="10"/>
  <c r="AF16" i="10" s="1"/>
  <c r="T15" i="5"/>
  <c r="AJ15" i="5" s="1"/>
  <c r="O17" i="10"/>
  <c r="T13" i="5"/>
  <c r="AQ13" i="5" s="1"/>
  <c r="O15" i="10"/>
  <c r="T16" i="5"/>
  <c r="AQ16" i="5" s="1"/>
  <c r="O18" i="10"/>
  <c r="AF18" i="10" s="1"/>
  <c r="AM18" i="10" s="1"/>
  <c r="AX14" i="10" s="1"/>
  <c r="AX27" i="10" s="1"/>
  <c r="AX42" i="10" s="1"/>
  <c r="T3" i="5"/>
  <c r="T4" i="5"/>
  <c r="T7" i="5"/>
  <c r="T2" i="5"/>
  <c r="M14" i="3"/>
  <c r="M8" i="3"/>
  <c r="M15" i="3"/>
  <c r="M11" i="3"/>
  <c r="M16" i="3"/>
  <c r="M13" i="3"/>
  <c r="M12" i="3"/>
  <c r="AG13" i="5" l="1"/>
  <c r="AG16" i="5"/>
  <c r="AO14" i="5"/>
  <c r="AG15" i="5"/>
  <c r="AJ14" i="5"/>
  <c r="AM13" i="5"/>
  <c r="AO13" i="5"/>
  <c r="AM15" i="5"/>
  <c r="AM14" i="5"/>
  <c r="AJ13" i="5"/>
  <c r="AG14" i="5"/>
  <c r="AO16" i="5"/>
  <c r="AO15" i="5"/>
  <c r="AM16" i="5"/>
  <c r="AJ16" i="5"/>
  <c r="AQ15" i="5"/>
  <c r="AX37" i="10"/>
  <c r="AX20" i="10"/>
  <c r="AF17" i="10"/>
  <c r="AM17" i="10" s="1"/>
  <c r="AF15" i="10"/>
  <c r="AM15" i="10" s="1"/>
  <c r="AX9" i="10" s="1"/>
  <c r="AX22" i="10" s="1"/>
  <c r="AX38" i="10" s="1"/>
  <c r="AM16" i="10"/>
  <c r="AG7" i="5"/>
  <c r="AJ7" i="5"/>
  <c r="AO7" i="5"/>
  <c r="AM7" i="5"/>
  <c r="AQ7" i="5"/>
  <c r="AJ2" i="5"/>
  <c r="AQ2" i="5"/>
  <c r="AO2" i="5"/>
  <c r="AM2" i="5"/>
  <c r="AG2" i="5"/>
  <c r="AO3" i="5"/>
  <c r="AM3" i="5"/>
  <c r="AG3" i="5"/>
  <c r="AJ3" i="5"/>
  <c r="AQ3" i="5"/>
  <c r="AQ4" i="5"/>
  <c r="AJ4" i="5"/>
  <c r="AG4" i="5"/>
  <c r="AO4" i="5"/>
  <c r="AM4" i="5"/>
  <c r="AS11" i="3"/>
  <c r="AJ11" i="3"/>
  <c r="AZ11" i="3"/>
  <c r="BF11" i="3"/>
  <c r="BX11" i="3"/>
  <c r="BP11" i="3"/>
  <c r="AC11" i="3"/>
  <c r="BU11" i="3"/>
  <c r="BK11" i="3"/>
  <c r="CE11" i="3"/>
  <c r="AG11" i="3"/>
  <c r="AG12" i="3"/>
  <c r="AS12" i="3"/>
  <c r="BP12" i="3"/>
  <c r="AJ12" i="3"/>
  <c r="BX12" i="3"/>
  <c r="AC12" i="3"/>
  <c r="CE12" i="3"/>
  <c r="AZ12" i="3"/>
  <c r="BU12" i="3"/>
  <c r="BK12" i="3"/>
  <c r="BF12" i="3"/>
  <c r="AG16" i="3"/>
  <c r="BX16" i="3"/>
  <c r="BF16" i="3"/>
  <c r="CE16" i="3"/>
  <c r="AZ16" i="3"/>
  <c r="AC16" i="3"/>
  <c r="AJ16" i="3"/>
  <c r="AS16" i="3"/>
  <c r="BK16" i="3"/>
  <c r="BU16" i="3"/>
  <c r="BP16" i="3"/>
  <c r="BU15" i="3"/>
  <c r="CE15" i="3"/>
  <c r="BK15" i="3"/>
  <c r="BP15" i="3"/>
  <c r="BF15" i="3"/>
  <c r="AJ15" i="3"/>
  <c r="AZ15" i="3"/>
  <c r="AC15" i="3"/>
  <c r="AS15" i="3"/>
  <c r="AG15" i="3"/>
  <c r="BX15" i="3"/>
  <c r="AZ14" i="3"/>
  <c r="AG14" i="3"/>
  <c r="BX14" i="3"/>
  <c r="AC14" i="3"/>
  <c r="BU14" i="3"/>
  <c r="BK14" i="3"/>
  <c r="BF14" i="3"/>
  <c r="CE14" i="3"/>
  <c r="AJ14" i="3"/>
  <c r="BP14" i="3"/>
  <c r="AS14" i="3"/>
  <c r="AJ13" i="3"/>
  <c r="AS13" i="3"/>
  <c r="AG13" i="3"/>
  <c r="AC13" i="3"/>
  <c r="BU13" i="3"/>
  <c r="CE13" i="3"/>
  <c r="BX13" i="3"/>
  <c r="AZ13" i="3"/>
  <c r="BF13" i="3"/>
  <c r="BK13" i="3"/>
  <c r="BP13" i="3"/>
  <c r="AS8" i="3"/>
  <c r="AJ8" i="3"/>
  <c r="CE8" i="3"/>
  <c r="BF8" i="3"/>
  <c r="BK8" i="3"/>
  <c r="AG8" i="3"/>
  <c r="AC8" i="3"/>
  <c r="BU8" i="3"/>
  <c r="BP8" i="3"/>
  <c r="AZ8" i="3"/>
  <c r="BX8" i="3"/>
  <c r="AX28" i="10" l="1"/>
  <c r="AX11" i="10"/>
  <c r="AX39" i="10"/>
  <c r="AX13" i="10"/>
  <c r="AX26" i="10" s="1"/>
  <c r="AX41" i="10" s="1"/>
  <c r="AH38" i="3"/>
  <c r="AI38" i="3"/>
  <c r="AX16" i="10" l="1"/>
  <c r="AX30" i="10"/>
  <c r="AX2" i="10"/>
  <c r="W21" i="1" l="1"/>
  <c r="S21" i="1"/>
  <c r="R21" i="1"/>
  <c r="P21" i="1"/>
  <c r="L21" i="1"/>
  <c r="K21" i="1"/>
  <c r="J21" i="1"/>
  <c r="C14" i="2" l="1"/>
  <c r="C15" i="2"/>
  <c r="C16" i="2" s="1"/>
  <c r="I6" i="3" l="1"/>
  <c r="I7" i="3"/>
  <c r="I4" i="3"/>
  <c r="I5" i="3"/>
  <c r="I3" i="3"/>
  <c r="C1" i="2" l="1"/>
  <c r="J18" i="1" l="1"/>
  <c r="J22" i="1"/>
  <c r="J23" i="1"/>
  <c r="J24" i="1"/>
  <c r="R18" i="1"/>
  <c r="S18" i="1"/>
  <c r="R22" i="1"/>
  <c r="S22" i="1"/>
  <c r="R23" i="1"/>
  <c r="S23" i="1"/>
  <c r="R24" i="1"/>
  <c r="S24" i="1"/>
  <c r="S2" i="1" l="1"/>
  <c r="R2" i="1"/>
  <c r="D3" i="3" l="1"/>
  <c r="D6" i="3"/>
  <c r="D7" i="3"/>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W22" i="1" l="1"/>
  <c r="P22" i="1"/>
  <c r="K22" i="1"/>
  <c r="L22" i="1"/>
  <c r="F4" i="3" l="1"/>
  <c r="H4" i="3" s="1"/>
  <c r="J4" i="3"/>
  <c r="K4" i="3"/>
  <c r="L4" i="3"/>
  <c r="M4" i="3"/>
  <c r="N4" i="3"/>
  <c r="O4" i="3"/>
  <c r="P4" i="3"/>
  <c r="Q4" i="3"/>
  <c r="F5" i="3"/>
  <c r="H5" i="3" s="1"/>
  <c r="J5" i="3"/>
  <c r="K5" i="3"/>
  <c r="L5" i="3"/>
  <c r="M5" i="3"/>
  <c r="N5" i="3"/>
  <c r="O5" i="3"/>
  <c r="P5" i="3"/>
  <c r="Q5" i="3"/>
  <c r="F6" i="3"/>
  <c r="H6" i="3" s="1"/>
  <c r="J6" i="3"/>
  <c r="K6" i="3"/>
  <c r="L6" i="3"/>
  <c r="M6" i="3"/>
  <c r="N6" i="3"/>
  <c r="O6" i="3"/>
  <c r="P6" i="3"/>
  <c r="Q6" i="3"/>
  <c r="F7" i="3"/>
  <c r="H7" i="3" s="1"/>
  <c r="J7" i="3"/>
  <c r="K7" i="3"/>
  <c r="L7" i="3"/>
  <c r="M7" i="3"/>
  <c r="N7" i="3"/>
  <c r="O7" i="3"/>
  <c r="P7" i="3"/>
  <c r="Q7" i="3"/>
  <c r="L3" i="3"/>
  <c r="M3" i="3"/>
  <c r="N3" i="3"/>
  <c r="O3" i="3"/>
  <c r="P3" i="3"/>
  <c r="Q3" i="3"/>
  <c r="K3" i="3"/>
  <c r="J3" i="3"/>
  <c r="F3" i="3"/>
  <c r="H3" i="3" s="1"/>
  <c r="D4" i="3"/>
  <c r="D5" i="3"/>
  <c r="B4" i="3"/>
  <c r="B5" i="3"/>
  <c r="B6" i="3"/>
  <c r="B7" i="3"/>
  <c r="B3" i="3"/>
  <c r="A4" i="3"/>
  <c r="A5" i="3"/>
  <c r="A6" i="3"/>
  <c r="A7" i="3"/>
  <c r="A3" i="3"/>
  <c r="AN7" i="3" l="1"/>
  <c r="CE3" i="3"/>
  <c r="T3" i="3"/>
  <c r="AN4" i="3"/>
  <c r="G3" i="3"/>
  <c r="R7" i="3"/>
  <c r="AO7" i="3" s="1"/>
  <c r="BA7" i="3"/>
  <c r="BC7" i="3" s="1"/>
  <c r="BR7" i="3"/>
  <c r="AT7" i="3"/>
  <c r="AV7" i="3" s="1"/>
  <c r="BH7" i="3"/>
  <c r="BM7" i="3"/>
  <c r="BW7" i="3"/>
  <c r="W7" i="3"/>
  <c r="Y7" i="3" s="1"/>
  <c r="X7" i="3"/>
  <c r="S6" i="3"/>
  <c r="AU6" i="3"/>
  <c r="BB6" i="3"/>
  <c r="CC6" i="3"/>
  <c r="CB6" i="3"/>
  <c r="CD6" i="3" s="1"/>
  <c r="T6" i="3"/>
  <c r="AH6" i="3"/>
  <c r="AL6" i="3"/>
  <c r="AP6" i="3"/>
  <c r="AR6" i="3" s="1"/>
  <c r="BJ6" i="3"/>
  <c r="BN6" i="3"/>
  <c r="AD6" i="3"/>
  <c r="AF6" i="3" s="1"/>
  <c r="AI6" i="3"/>
  <c r="AM6" i="3"/>
  <c r="AQ6" i="3"/>
  <c r="AW6" i="3"/>
  <c r="AY6" i="3" s="1"/>
  <c r="AE6" i="3"/>
  <c r="AX6" i="3"/>
  <c r="Z6" i="3"/>
  <c r="AB6" i="3" s="1"/>
  <c r="BD6" i="3"/>
  <c r="BI6" i="3"/>
  <c r="BO6" i="3"/>
  <c r="BT6" i="3"/>
  <c r="BE6" i="3"/>
  <c r="BS6" i="3"/>
  <c r="AA6" i="3"/>
  <c r="BV5" i="3"/>
  <c r="BG5" i="3"/>
  <c r="BL5" i="3"/>
  <c r="BQ5" i="3"/>
  <c r="AK5" i="3"/>
  <c r="R4" i="3"/>
  <c r="AO4" i="3" s="1"/>
  <c r="BA4" i="3"/>
  <c r="BC4" i="3" s="1"/>
  <c r="BR4" i="3"/>
  <c r="BW4" i="3"/>
  <c r="BH4" i="3"/>
  <c r="AT4" i="3"/>
  <c r="AV4" i="3" s="1"/>
  <c r="BM4" i="3"/>
  <c r="W4" i="3"/>
  <c r="Y4" i="3" s="1"/>
  <c r="X4" i="3"/>
  <c r="BZ5" i="3"/>
  <c r="BY5" i="3"/>
  <c r="CA5" i="3" s="1"/>
  <c r="AC7" i="3"/>
  <c r="BF7" i="3"/>
  <c r="BX7" i="3"/>
  <c r="CE7" i="3"/>
  <c r="BK7" i="3"/>
  <c r="BP7" i="3"/>
  <c r="BU7" i="3"/>
  <c r="AG7" i="3"/>
  <c r="AS7" i="3"/>
  <c r="AJ7" i="3"/>
  <c r="AZ7" i="3"/>
  <c r="G7" i="3"/>
  <c r="BV6" i="3"/>
  <c r="BG6" i="3"/>
  <c r="BL6" i="3"/>
  <c r="BQ6" i="3"/>
  <c r="AK6" i="3"/>
  <c r="S5" i="3"/>
  <c r="AU5" i="3"/>
  <c r="BB5" i="3"/>
  <c r="CB5" i="3"/>
  <c r="CD5" i="3" s="1"/>
  <c r="CC5" i="3"/>
  <c r="AH5" i="3"/>
  <c r="AL5" i="3"/>
  <c r="AP5" i="3"/>
  <c r="AR5" i="3" s="1"/>
  <c r="BJ5" i="3"/>
  <c r="BN5" i="3"/>
  <c r="AD5" i="3"/>
  <c r="AF5" i="3" s="1"/>
  <c r="AI5" i="3"/>
  <c r="AM5" i="3"/>
  <c r="AQ5" i="3"/>
  <c r="AW5" i="3"/>
  <c r="AY5" i="3" s="1"/>
  <c r="BO5" i="3"/>
  <c r="BS5" i="3"/>
  <c r="AE5" i="3"/>
  <c r="AX5" i="3"/>
  <c r="Z5" i="3"/>
  <c r="AB5" i="3" s="1"/>
  <c r="BD5" i="3"/>
  <c r="BT5" i="3"/>
  <c r="BI5" i="3"/>
  <c r="AA5" i="3"/>
  <c r="BE5" i="3"/>
  <c r="AC4" i="3"/>
  <c r="BF4" i="3"/>
  <c r="BK4" i="3"/>
  <c r="AJ4" i="3"/>
  <c r="AS4" i="3"/>
  <c r="BP4" i="3"/>
  <c r="BX4" i="3"/>
  <c r="CE4" i="3"/>
  <c r="AG4" i="3"/>
  <c r="AZ4" i="3"/>
  <c r="BU4" i="3"/>
  <c r="G4" i="3"/>
  <c r="BZ7" i="3"/>
  <c r="BY7" i="3"/>
  <c r="CA7" i="3" s="1"/>
  <c r="BZ4" i="3"/>
  <c r="BY4" i="3"/>
  <c r="CA4" i="3" s="1"/>
  <c r="AN3" i="3"/>
  <c r="S7" i="3"/>
  <c r="AU7" i="3"/>
  <c r="BB7" i="3"/>
  <c r="CB7" i="3"/>
  <c r="CD7" i="3" s="1"/>
  <c r="CC7" i="3"/>
  <c r="T7" i="3"/>
  <c r="AH7" i="3"/>
  <c r="AL7" i="3"/>
  <c r="AP7" i="3"/>
  <c r="AR7" i="3" s="1"/>
  <c r="BJ7" i="3"/>
  <c r="BN7" i="3"/>
  <c r="AA7" i="3"/>
  <c r="AI7" i="3"/>
  <c r="BS7" i="3"/>
  <c r="AE7" i="3"/>
  <c r="AQ7" i="3"/>
  <c r="AX7" i="3"/>
  <c r="BE7" i="3"/>
  <c r="AD7" i="3"/>
  <c r="AF7" i="3" s="1"/>
  <c r="BD7" i="3"/>
  <c r="BO7" i="3"/>
  <c r="BI7" i="3"/>
  <c r="AM7" i="3"/>
  <c r="AW7" i="3"/>
  <c r="AY7" i="3" s="1"/>
  <c r="BT7" i="3"/>
  <c r="Z7" i="3"/>
  <c r="AB7" i="3" s="1"/>
  <c r="U6" i="3"/>
  <c r="V6" i="3" s="1"/>
  <c r="AN6" i="3"/>
  <c r="AC6" i="3"/>
  <c r="BF6" i="3"/>
  <c r="AJ6" i="3"/>
  <c r="AS6" i="3"/>
  <c r="AG6" i="3"/>
  <c r="AZ6" i="3"/>
  <c r="BX6" i="3"/>
  <c r="BP6" i="3"/>
  <c r="BU6" i="3"/>
  <c r="CE6" i="3"/>
  <c r="BK6" i="3"/>
  <c r="G6" i="3"/>
  <c r="R5" i="3"/>
  <c r="AO5" i="3" s="1"/>
  <c r="BA5" i="3"/>
  <c r="BC5" i="3" s="1"/>
  <c r="BR5" i="3"/>
  <c r="BW5" i="3"/>
  <c r="BH5" i="3"/>
  <c r="AT5" i="3"/>
  <c r="AV5" i="3" s="1"/>
  <c r="BM5" i="3"/>
  <c r="W5" i="3"/>
  <c r="Y5" i="3" s="1"/>
  <c r="X5" i="3"/>
  <c r="S4" i="3"/>
  <c r="AU4" i="3"/>
  <c r="BB4" i="3"/>
  <c r="CB4" i="3"/>
  <c r="CD4" i="3" s="1"/>
  <c r="CC4" i="3"/>
  <c r="T4" i="3"/>
  <c r="AH4" i="3"/>
  <c r="AL4" i="3"/>
  <c r="AP4" i="3"/>
  <c r="AR4" i="3" s="1"/>
  <c r="BJ4" i="3"/>
  <c r="BN4" i="3"/>
  <c r="AD4" i="3"/>
  <c r="AF4" i="3" s="1"/>
  <c r="AI4" i="3"/>
  <c r="AM4" i="3"/>
  <c r="AQ4" i="3"/>
  <c r="AW4" i="3"/>
  <c r="AY4" i="3" s="1"/>
  <c r="BO4" i="3"/>
  <c r="BS4" i="3"/>
  <c r="Z4" i="3"/>
  <c r="AB4" i="3" s="1"/>
  <c r="BD4" i="3"/>
  <c r="BT4" i="3"/>
  <c r="AE4" i="3"/>
  <c r="AX4" i="3"/>
  <c r="AA4" i="3"/>
  <c r="BE4" i="3"/>
  <c r="BI4" i="3"/>
  <c r="BZ6" i="3"/>
  <c r="BY6" i="3"/>
  <c r="CA6" i="3" s="1"/>
  <c r="BZ3" i="3"/>
  <c r="R3" i="3"/>
  <c r="AO3" i="3" s="1"/>
  <c r="BV7" i="3"/>
  <c r="AK7" i="3"/>
  <c r="BG7" i="3"/>
  <c r="BQ7" i="3"/>
  <c r="BL7" i="3"/>
  <c r="U7" i="3"/>
  <c r="V7" i="3" s="1"/>
  <c r="R6" i="3"/>
  <c r="AO6" i="3" s="1"/>
  <c r="BA6" i="3"/>
  <c r="BC6" i="3" s="1"/>
  <c r="BR6" i="3"/>
  <c r="BW6" i="3"/>
  <c r="BM6" i="3"/>
  <c r="AT6" i="3"/>
  <c r="AV6" i="3" s="1"/>
  <c r="BH6" i="3"/>
  <c r="W6" i="3"/>
  <c r="Y6" i="3" s="1"/>
  <c r="X6" i="3"/>
  <c r="U5" i="3"/>
  <c r="V5" i="3" s="1"/>
  <c r="AN5" i="3"/>
  <c r="AC5" i="3"/>
  <c r="BF5" i="3"/>
  <c r="BK5" i="3"/>
  <c r="BP5" i="3"/>
  <c r="BX5" i="3"/>
  <c r="AJ5" i="3"/>
  <c r="AS5" i="3"/>
  <c r="CE5" i="3"/>
  <c r="AZ5" i="3"/>
  <c r="AG5" i="3"/>
  <c r="BU5" i="3"/>
  <c r="G5" i="3"/>
  <c r="BV4" i="3"/>
  <c r="BG4" i="3"/>
  <c r="BL4" i="3"/>
  <c r="BQ4" i="3"/>
  <c r="AK4" i="3"/>
  <c r="U4" i="3"/>
  <c r="V4" i="3" s="1"/>
  <c r="BY3" i="3"/>
  <c r="CA3" i="3" s="1"/>
  <c r="S3" i="3"/>
  <c r="T5" i="3"/>
  <c r="U3" i="3"/>
  <c r="V3" i="3" s="1"/>
  <c r="AC3" i="3"/>
  <c r="AG3" i="3"/>
  <c r="AK3" i="3"/>
  <c r="AS3" i="3"/>
  <c r="AW3" i="3"/>
  <c r="AY3" i="3" s="1"/>
  <c r="BA3" i="3"/>
  <c r="BC3" i="3" s="1"/>
  <c r="BE3" i="3"/>
  <c r="BI3" i="3"/>
  <c r="BM3" i="3"/>
  <c r="BQ3" i="3"/>
  <c r="BU3" i="3"/>
  <c r="CC3" i="3"/>
  <c r="Z3" i="3"/>
  <c r="AB3" i="3" s="1"/>
  <c r="AH3" i="3"/>
  <c r="AP3" i="3"/>
  <c r="AR3" i="3" s="1"/>
  <c r="AX3" i="3"/>
  <c r="BB3" i="3"/>
  <c r="BF3" i="3"/>
  <c r="BJ3" i="3"/>
  <c r="BN3" i="3"/>
  <c r="BR3" i="3"/>
  <c r="BV3" i="3"/>
  <c r="X3" i="3"/>
  <c r="AJ3" i="3"/>
  <c r="AZ3" i="3"/>
  <c r="BD3" i="3"/>
  <c r="BH3" i="3"/>
  <c r="BL3" i="3"/>
  <c r="BP3" i="3"/>
  <c r="BT3" i="3"/>
  <c r="BX3" i="3"/>
  <c r="CB3" i="3"/>
  <c r="CD3" i="3" s="1"/>
  <c r="AD3" i="3"/>
  <c r="AF3" i="3" s="1"/>
  <c r="AL3" i="3"/>
  <c r="AT3" i="3"/>
  <c r="AV3" i="3" s="1"/>
  <c r="W3" i="3"/>
  <c r="Y3" i="3" s="1"/>
  <c r="AA3" i="3"/>
  <c r="AE3" i="3"/>
  <c r="AI3" i="3"/>
  <c r="AM3" i="3"/>
  <c r="AQ3" i="3"/>
  <c r="AU3" i="3"/>
  <c r="BG3" i="3"/>
  <c r="BK3" i="3"/>
  <c r="BO3" i="3"/>
  <c r="BS3" i="3"/>
  <c r="BW3" i="3"/>
  <c r="AH36" i="3" l="1"/>
  <c r="AI40" i="3" s="1"/>
  <c r="AI36" i="3"/>
  <c r="AH40" i="3" s="1"/>
  <c r="W23" i="1" l="1"/>
  <c r="P23" i="1"/>
  <c r="L23" i="1"/>
  <c r="K23" i="1"/>
  <c r="V2" i="1" l="1"/>
  <c r="T2" i="1"/>
  <c r="W2" i="1" l="1"/>
  <c r="C9" i="2"/>
  <c r="C10" i="2" s="1"/>
  <c r="B9" i="2"/>
  <c r="B10" i="2" s="1"/>
  <c r="AE2" i="1" l="1"/>
  <c r="Q2" i="1"/>
  <c r="O2" i="1"/>
  <c r="I2" i="1"/>
  <c r="W24" i="1" l="1"/>
  <c r="L24" i="1"/>
  <c r="K24" i="1"/>
  <c r="P24" i="1"/>
  <c r="D2" i="1"/>
  <c r="W18" i="1"/>
  <c r="L18" i="1"/>
  <c r="K18" i="1"/>
  <c r="P18" i="1"/>
  <c r="F6" i="1" l="1"/>
  <c r="C6" i="1" s="1"/>
  <c r="F22" i="1"/>
  <c r="F18" i="1"/>
  <c r="F13" i="1"/>
  <c r="F23" i="1"/>
  <c r="F5" i="1"/>
  <c r="F4" i="1"/>
  <c r="F20" i="1"/>
  <c r="H6" i="5" s="1"/>
  <c r="F16" i="1"/>
  <c r="C24" i="3" s="1"/>
  <c r="F17" i="1"/>
  <c r="F14" i="1"/>
  <c r="F11" i="1"/>
  <c r="F10" i="1"/>
  <c r="F7" i="1"/>
  <c r="F15" i="1"/>
  <c r="F8" i="1"/>
  <c r="F12" i="1"/>
  <c r="F9" i="1"/>
  <c r="F19" i="1"/>
  <c r="F21" i="1"/>
  <c r="F24" i="1"/>
  <c r="C11" i="1" l="1"/>
  <c r="C29" i="3"/>
  <c r="C4" i="1"/>
  <c r="C28" i="3"/>
  <c r="C17" i="1"/>
  <c r="C27" i="3"/>
  <c r="C8" i="1"/>
  <c r="C22" i="3"/>
  <c r="C10" i="1"/>
  <c r="C26" i="3"/>
  <c r="C15" i="1"/>
  <c r="C21" i="3"/>
  <c r="C12" i="1"/>
  <c r="C17" i="3"/>
  <c r="C5" i="1"/>
  <c r="C18" i="3"/>
  <c r="C9" i="1"/>
  <c r="C20" i="3"/>
  <c r="C7" i="1"/>
  <c r="C25" i="3"/>
  <c r="C14" i="1"/>
  <c r="C23" i="3"/>
  <c r="C13" i="1"/>
  <c r="C19" i="3"/>
  <c r="C16" i="1"/>
  <c r="H12" i="5"/>
  <c r="N12" i="5" s="1"/>
  <c r="I6" i="5"/>
  <c r="K6" i="5" s="1"/>
  <c r="N6" i="5"/>
  <c r="C21" i="1"/>
  <c r="F8" i="10"/>
  <c r="AB8" i="10" s="1"/>
  <c r="C20" i="1"/>
  <c r="C8" i="10" s="1"/>
  <c r="F4" i="10"/>
  <c r="AB4" i="10" s="1"/>
  <c r="F13" i="10"/>
  <c r="AB13" i="10" s="1"/>
  <c r="F12" i="10"/>
  <c r="AB12" i="10" s="1"/>
  <c r="F17" i="10"/>
  <c r="AB17" i="10" s="1"/>
  <c r="F6" i="10"/>
  <c r="AB6" i="10" s="1"/>
  <c r="F7" i="10"/>
  <c r="AB7" i="10" s="1"/>
  <c r="F14" i="10"/>
  <c r="AB14" i="10" s="1"/>
  <c r="F5" i="10"/>
  <c r="AB5" i="10" s="1"/>
  <c r="F18" i="10"/>
  <c r="AB18" i="10" s="1"/>
  <c r="F15" i="10"/>
  <c r="AB15" i="10" s="1"/>
  <c r="F9" i="10"/>
  <c r="AB9" i="10" s="1"/>
  <c r="F10" i="10"/>
  <c r="AB10" i="10" s="1"/>
  <c r="F11" i="10"/>
  <c r="AB11" i="10" s="1"/>
  <c r="F16" i="10"/>
  <c r="AB16" i="10" s="1"/>
  <c r="H8" i="5"/>
  <c r="I8" i="5" s="1"/>
  <c r="K8" i="5" s="1"/>
  <c r="H2" i="5"/>
  <c r="I2" i="5" s="1"/>
  <c r="K2" i="5" s="1"/>
  <c r="H13" i="5"/>
  <c r="I13" i="5" s="1"/>
  <c r="K13" i="5" s="1"/>
  <c r="H11" i="5"/>
  <c r="N11" i="5" s="1"/>
  <c r="H10" i="5"/>
  <c r="N10" i="5" s="1"/>
  <c r="H9" i="5"/>
  <c r="N9" i="5" s="1"/>
  <c r="H4" i="5"/>
  <c r="N4" i="5" s="1"/>
  <c r="B4" i="5" s="1"/>
  <c r="C23" i="1"/>
  <c r="C17" i="10" s="1"/>
  <c r="H15" i="5"/>
  <c r="C24" i="1"/>
  <c r="C18" i="10" s="1"/>
  <c r="H16" i="5"/>
  <c r="C16" i="10"/>
  <c r="H14" i="5"/>
  <c r="H7" i="5"/>
  <c r="H3" i="5"/>
  <c r="H5" i="5"/>
  <c r="C19" i="1"/>
  <c r="C7" i="10" s="1"/>
  <c r="C13" i="10"/>
  <c r="C10" i="10"/>
  <c r="C11" i="10"/>
  <c r="C15" i="10"/>
  <c r="C22" i="1"/>
  <c r="C14" i="10" s="1"/>
  <c r="C18" i="1"/>
  <c r="C5" i="10" s="1"/>
  <c r="C6" i="10"/>
  <c r="C4" i="10"/>
  <c r="C12" i="3"/>
  <c r="C16" i="3"/>
  <c r="C15" i="3"/>
  <c r="C14" i="3"/>
  <c r="C13" i="3"/>
  <c r="C11" i="3"/>
  <c r="C10" i="3"/>
  <c r="C9" i="3"/>
  <c r="C8" i="3"/>
  <c r="C6" i="3"/>
  <c r="C7" i="3"/>
  <c r="C4" i="3"/>
  <c r="C5" i="3"/>
  <c r="C3" i="3"/>
  <c r="I12" i="5" l="1"/>
  <c r="K12" i="5" s="1"/>
  <c r="B12" i="5" s="1"/>
  <c r="B6" i="5"/>
  <c r="I10" i="5"/>
  <c r="K10" i="5" s="1"/>
  <c r="B10" i="5" s="1"/>
  <c r="N8" i="5"/>
  <c r="B8" i="5" s="1"/>
  <c r="N2" i="5"/>
  <c r="B2" i="5" s="1"/>
  <c r="I9" i="5"/>
  <c r="K9" i="5" s="1"/>
  <c r="B9" i="5" s="1"/>
  <c r="C9" i="10"/>
  <c r="C12" i="10"/>
  <c r="N13" i="5"/>
  <c r="B13" i="5" s="1"/>
  <c r="I11" i="5"/>
  <c r="K11" i="5" s="1"/>
  <c r="B11" i="5" s="1"/>
  <c r="N16" i="5"/>
  <c r="I16" i="5"/>
  <c r="K16" i="5" s="1"/>
  <c r="I15" i="5"/>
  <c r="K15" i="5" s="1"/>
  <c r="N15" i="5"/>
  <c r="N14" i="5"/>
  <c r="I14" i="5"/>
  <c r="K14" i="5" s="1"/>
  <c r="N7" i="5"/>
  <c r="I7" i="5"/>
  <c r="K7" i="5" s="1"/>
  <c r="I3" i="5"/>
  <c r="K3" i="5" s="1"/>
  <c r="N3" i="5"/>
  <c r="N5" i="5"/>
  <c r="I5" i="5"/>
  <c r="K5" i="5" s="1"/>
  <c r="B3" i="5" l="1"/>
  <c r="B16" i="5"/>
  <c r="B14" i="5"/>
  <c r="B15" i="5"/>
  <c r="B7" i="5"/>
  <c r="B5" i="5"/>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37" authorId="0" shapeId="0">
      <text>
        <r>
          <rPr>
            <b/>
            <sz val="8"/>
            <color indexed="81"/>
            <rFont val="Tahoma"/>
            <family val="2"/>
          </rPr>
          <t>Sacado del manual no escrito, no se sabe que son estos valores</t>
        </r>
      </text>
    </comment>
    <comment ref="D37"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BI1" authorId="0" shapeId="0">
      <text>
        <r>
          <rPr>
            <b/>
            <sz val="8"/>
            <color indexed="81"/>
            <rFont val="Tahoma"/>
            <family val="2"/>
          </rPr>
          <t>Sacado del manual no escrito, no se sabe que son estos valores</t>
        </r>
      </text>
    </comment>
    <comment ref="BJ1" authorId="0" shapeId="0">
      <text>
        <r>
          <rPr>
            <b/>
            <sz val="8"/>
            <color indexed="81"/>
            <rFont val="Tahoma"/>
            <family val="2"/>
          </rPr>
          <t>En partidos de Torneo con el predictor
-Campo neutral
-Espiritu: Ilusionats (6)
-Confiança: Alta (7)
Entrenador NEUTRO</t>
        </r>
      </text>
    </comment>
    <comment ref="K3" authorId="0" shapeId="0">
      <text>
        <r>
          <rPr>
            <sz val="8"/>
            <color indexed="81"/>
            <rFont val="Tahoma"/>
            <family val="2"/>
          </rPr>
          <t>Lid*Lid*Exp</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List>
</comments>
</file>

<file path=xl/sharedStrings.xml><?xml version="1.0" encoding="utf-8"?>
<sst xmlns="http://schemas.openxmlformats.org/spreadsheetml/2006/main" count="1268" uniqueCount="443">
  <si>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</si>
  <si>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</si>
  <si>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</si>
  <si>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</si>
  <si>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</si>
  <si>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</si>
  <si>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</si>
  <si>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</si>
  <si>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</si>
  <si>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</si>
  <si>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</si>
  <si>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</si>
  <si>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</si>
  <si>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</si>
  <si>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</si>
  <si>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</si>
  <si>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</si>
  <si>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</si>
  <si>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</si>
  <si>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</si>
  <si>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</si>
  <si>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</si>
  <si>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</si>
  <si>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</si>
  <si>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</si>
  <si>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</si>
  <si>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</si>
  <si>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</si>
  <si>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</si>
  <si>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</si>
  <si>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</si>
  <si>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</si>
  <si>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</si>
  <si>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</si>
  <si>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</si>
  <si>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</si>
  <si>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</si>
  <si>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</si>
  <si>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</si>
  <si>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</si>
  <si>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</si>
  <si>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</si>
  <si>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</si>
  <si>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</si>
  <si>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</si>
  <si>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</si>
  <si>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</si>
  <si>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</si>
  <si>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</si>
  <si>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Rasheed Da'na</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</si>
  <si>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</si>
  <si>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</si>
  <si>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</si>
  <si>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</si>
  <si>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</si>
  <si>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</si>
  <si>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</si>
  <si>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</si>
  <si>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</si>
  <si>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</si>
  <si>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</si>
  <si>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</si>
  <si>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</si>
  <si>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</si>
  <si>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</si>
  <si>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</si>
  <si>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</si>
  <si>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</si>
  <si>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</si>
  <si>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</si>
  <si>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</si>
  <si>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Adam Moss</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</si>
  <si>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</si>
  <si>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</si>
  <si>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</si>
  <si>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</si>
  <si>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</si>
  <si>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</si>
  <si>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</si>
  <si>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</si>
  <si>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</si>
  <si>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</si>
  <si>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</si>
  <si>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</si>
  <si>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</si>
  <si>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</si>
  <si>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</si>
  <si>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</si>
  <si>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</si>
  <si>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</si>
  <si>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</si>
  <si>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</si>
  <si>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</si>
  <si>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</si>
  <si>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</si>
  <si>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</si>
  <si>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</si>
  <si>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</si>
  <si>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</si>
  <si>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</si>
  <si>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</si>
  <si>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</si>
  <si>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</si>
  <si>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</si>
  <si>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</si>
  <si>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</si>
  <si>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</si>
  <si>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</si>
  <si>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</si>
  <si>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</si>
  <si>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</si>
  <si>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</si>
  <si>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</si>
  <si>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</si>
  <si>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</si>
  <si>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</si>
  <si>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</si>
  <si>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</si>
  <si>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</si>
  <si>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</si>
  <si>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</si>
  <si>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Tiempo</t>
  </si>
  <si>
    <t>PrecioCompra</t>
  </si>
  <si>
    <t>FechaVenta</t>
  </si>
  <si>
    <t>PrecioVenta</t>
  </si>
  <si>
    <t>SueldoSem</t>
  </si>
  <si>
    <t>SueldoTOTAL</t>
  </si>
  <si>
    <t>COSTE_TEMP</t>
  </si>
  <si>
    <t>BENEFICIO</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</si>
  <si>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</si>
  <si>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</si>
  <si>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</si>
  <si>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</si>
  <si>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</si>
  <si>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</si>
  <si>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</si>
  <si>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</si>
  <si>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</si>
  <si>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</si>
  <si>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</si>
  <si>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</si>
  <si>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</si>
  <si>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</si>
  <si>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</si>
  <si>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</si>
  <si>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</si>
  <si>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</si>
  <si>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</si>
  <si>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</si>
  <si>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</si>
  <si>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</si>
  <si>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</si>
  <si>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</si>
  <si>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</si>
  <si>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</si>
  <si>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</si>
  <si>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</si>
  <si>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</si>
  <si>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</si>
  <si>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</si>
  <si>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</si>
  <si>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</si>
  <si>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</si>
  <si>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</si>
  <si>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</si>
  <si>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</si>
  <si>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</si>
  <si>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</si>
  <si>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</si>
  <si>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</si>
  <si>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</si>
  <si>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</si>
  <si>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</si>
  <si>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</si>
  <si>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</si>
  <si>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</si>
  <si>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</si>
  <si>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</si>
  <si>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</si>
  <si>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</si>
  <si>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</si>
  <si>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</si>
  <si>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</si>
  <si>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</si>
  <si>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</si>
  <si>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</si>
  <si>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LID</t>
  </si>
  <si>
    <t>POT</t>
  </si>
  <si>
    <t>Ag</t>
  </si>
  <si>
    <t>Ho</t>
  </si>
  <si>
    <t>%_T</t>
  </si>
  <si>
    <t>Fcompra</t>
  </si>
  <si>
    <t>Ca</t>
  </si>
  <si>
    <t>A. Ilisie</t>
  </si>
  <si>
    <t>Logros:  0,25 y 3,75 (ambos no inclusive)</t>
  </si>
  <si>
    <t>h33</t>
  </si>
  <si>
    <t>DCNo</t>
  </si>
  <si>
    <t>DLNo</t>
  </si>
  <si>
    <t>COMPRA</t>
  </si>
  <si>
    <t>CosteTRA_BUENO</t>
  </si>
  <si>
    <t>COSTETOTAL_BUENO</t>
  </si>
  <si>
    <t>CosteTRA_EX</t>
  </si>
  <si>
    <t>COSTETOTAL_EX</t>
  </si>
  <si>
    <t>CAP</t>
  </si>
  <si>
    <t>Ojo, no es directo a calis, es un % para comparar entre varias POS</t>
  </si>
  <si>
    <t>Niveles¿?</t>
  </si>
  <si>
    <t>CALCULADO</t>
  </si>
  <si>
    <t>10niveles</t>
  </si>
  <si>
    <t>15niveles</t>
  </si>
  <si>
    <t>CMin</t>
  </si>
  <si>
    <t>CMax</t>
  </si>
  <si>
    <t>DEFLat1</t>
  </si>
  <si>
    <t>DEFLat2</t>
  </si>
  <si>
    <t>DEFCen</t>
  </si>
  <si>
    <t>MEDIO</t>
  </si>
  <si>
    <t>AtLat1</t>
  </si>
  <si>
    <t>AtLat2</t>
  </si>
  <si>
    <t>AtCen</t>
  </si>
  <si>
    <t>BPIAt</t>
  </si>
  <si>
    <t>BPIDf</t>
  </si>
  <si>
    <t>Dif</t>
  </si>
  <si>
    <t>LAT</t>
  </si>
  <si>
    <t>EN</t>
  </si>
  <si>
    <t>IOF</t>
  </si>
  <si>
    <t>532 MonoB-Central</t>
  </si>
  <si>
    <t>253 Bi+Central</t>
  </si>
  <si>
    <t>352 Mono+Central</t>
  </si>
  <si>
    <t>EhM</t>
  </si>
  <si>
    <t>IN</t>
  </si>
  <si>
    <t>DC</t>
  </si>
  <si>
    <t>DhL</t>
  </si>
  <si>
    <t>Ldef</t>
  </si>
  <si>
    <t>- 2 Central Defenders: -3.6%</t>
  </si>
  <si>
    <t>- 3 Central Defenders: -10%</t>
  </si>
  <si>
    <t>- 2 Inner Midfielders: -6.5%</t>
  </si>
  <si>
    <t>- 3 Inner Midfielders: -17.5%</t>
  </si>
  <si>
    <t>- 2 Forwads: -5.5%</t>
  </si>
  <si>
    <t>- 3 Forwards: -13.5%</t>
  </si>
  <si>
    <t>Morgan Thomas</t>
  </si>
  <si>
    <t>Ibiur Altxakoa</t>
  </si>
  <si>
    <t>Mario Omarini</t>
  </si>
  <si>
    <t>Andrea Califano</t>
  </si>
  <si>
    <t>Mateuz Brzostowski</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</si>
  <si>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</si>
  <si>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</si>
  <si>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</si>
  <si>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</si>
  <si>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</si>
  <si>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</si>
  <si>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</si>
  <si>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</si>
  <si>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</si>
  <si>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</si>
  <si>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</si>
  <si>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</si>
  <si>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</si>
  <si>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</si>
  <si>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</si>
  <si>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</si>
  <si>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</si>
  <si>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</si>
  <si>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</si>
  <si>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</si>
  <si>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</si>
  <si>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</si>
  <si>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</si>
  <si>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</si>
  <si>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</si>
  <si>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</si>
  <si>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</si>
  <si>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</si>
  <si>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</si>
  <si>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</si>
  <si>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</si>
  <si>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</si>
  <si>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</si>
  <si>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</si>
  <si>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</si>
  <si>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</si>
  <si>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</si>
  <si>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</si>
  <si>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</si>
  <si>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</si>
  <si>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</si>
  <si>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</si>
  <si>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</si>
  <si>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</si>
  <si>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</si>
  <si>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</si>
  <si>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</si>
  <si>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</si>
  <si>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</si>
  <si>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</si>
  <si>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</si>
  <si>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</si>
  <si>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</si>
  <si>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</si>
  <si>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</si>
  <si>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</si>
  <si>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</si>
  <si>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</si>
  <si>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</si>
  <si>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</si>
  <si>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</si>
  <si>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</si>
  <si>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</si>
  <si>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</si>
  <si>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</si>
  <si>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</si>
  <si>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</si>
  <si>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</si>
  <si>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</si>
  <si>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</si>
  <si>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</si>
  <si>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</si>
  <si>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</si>
  <si>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</si>
  <si>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</si>
  <si>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</si>
  <si>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</si>
  <si>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</si>
  <si>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</si>
  <si>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</si>
  <si>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</si>
  <si>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</si>
  <si>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</si>
  <si>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</si>
  <si>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</si>
  <si>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</si>
  <si>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</si>
  <si>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</si>
  <si>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</si>
  <si>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</si>
  <si>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</si>
  <si>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</si>
  <si>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</si>
  <si>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</si>
  <si>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</si>
  <si>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</si>
  <si>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</si>
  <si>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</si>
  <si>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</si>
  <si>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</si>
  <si>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</si>
  <si>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</si>
  <si>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</si>
  <si>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</si>
  <si>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</si>
  <si>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</si>
  <si>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</si>
  <si>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</si>
  <si>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</si>
  <si>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</si>
  <si>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</si>
  <si>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</si>
  <si>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</si>
  <si>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</si>
  <si>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</si>
  <si>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Juan Garcia Peñuela</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</si>
  <si>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</si>
  <si>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</si>
  <si>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</si>
  <si>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</si>
  <si>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</si>
  <si>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</si>
  <si>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</si>
  <si>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</si>
  <si>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</si>
  <si>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</si>
  <si>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</si>
  <si>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</si>
  <si>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</si>
  <si>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</si>
  <si>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</si>
  <si>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</si>
  <si>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</si>
  <si>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</si>
  <si>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</si>
  <si>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</si>
  <si>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</si>
  <si>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</si>
  <si>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</si>
  <si>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</si>
  <si>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</si>
  <si>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</si>
  <si>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</si>
  <si>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</si>
  <si>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</si>
  <si>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</si>
  <si>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</si>
  <si>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</si>
  <si>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</si>
  <si>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</si>
  <si>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</si>
  <si>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</si>
  <si>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</si>
  <si>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</si>
  <si>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</si>
  <si>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</si>
  <si>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</si>
  <si>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</si>
  <si>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</si>
  <si>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</si>
  <si>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Valor lider de "RED BARON"</t>
  </si>
  <si>
    <t>HT Medida</t>
  </si>
  <si>
    <t>Thomas Ruelle</t>
  </si>
  <si>
    <t>Karl-Uwe Mose</t>
  </si>
  <si>
    <t>Werner Mayer</t>
  </si>
  <si>
    <t>Giovanni Bellavite Pellegrini</t>
  </si>
  <si>
    <t>Frederic Ekster</t>
  </si>
  <si>
    <t>Gilad Domb</t>
  </si>
  <si>
    <t xml:space="preserve">功志 (Koji) 森 (Mori) </t>
  </si>
  <si>
    <t>Belmiro Marques Jr.</t>
  </si>
  <si>
    <t>Zoltán Nyilas</t>
  </si>
  <si>
    <t>Radko Kravaev</t>
  </si>
  <si>
    <t>Juan Gabriel de Minaya</t>
  </si>
  <si>
    <t>#91</t>
  </si>
  <si>
    <t>#92</t>
  </si>
  <si>
    <t>#93</t>
  </si>
  <si>
    <t>#94</t>
  </si>
  <si>
    <t>#95</t>
  </si>
  <si>
    <t>#97</t>
  </si>
  <si>
    <t>#98</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</si>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</sst>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_-* #,##0\ [$€-C0A]_-;\-* #,##0\ [$€-C0A]_-;_-* &quot;-&quot;??\ [$€-C0A]_-;_-@_-"/>
    <numFmt numFmtId="170" formatCode="0.0%"/>
    <numFmt numFmtId="171" formatCode="#,##0.0_ ;\-#,##0.0\ "/>
    <numFmt numFmtId="172" formatCode="_-* #,##0.0\ &quot;€&quot;_-;\-* #,##0.0\ &quot;€&quot;_-;_-* &quot;-&quot;??\ &quot;€&quot;_-;_-@_-"/>
  </numFmts>
  <fonts count="52"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b/>
      <sz val="11"/>
      <name val="Calibri"/>
      <family val="2"/>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sz val="8"/>
      <color rgb="FF00B050"/>
      <name val="Verdana"/>
      <family val="2"/>
    </font>
    <font>
      <i/>
      <sz val="11"/>
      <color theme="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b/>
      <sz val="11"/>
      <color indexed="8"/>
      <name val="Calibri"/>
      <family val="2"/>
      <charset val="1"/>
    </font>
    <font>
      <b/>
      <sz val="11"/>
      <name val="Calibri"/>
      <family val="2"/>
      <charset val="1"/>
    </font>
    <font>
      <sz val="11"/>
      <name val="Calibri"/>
      <family val="2"/>
      <charset val="1"/>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s>
  <fills count="38">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theme="7" tint="-0.249977111117893"/>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79">
    <xf numFmtId="0" fontId="0" fillId="0" borderId="0" xfId="0"/>
    <xf numFmtId="0" fontId="5" fillId="2" borderId="1" xfId="3" applyFont="1" applyFill="1" applyBorder="1" applyAlignment="1">
      <alignment horizontal="right"/>
    </xf>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12" fillId="2" borderId="1" xfId="3" applyFont="1" applyFill="1" applyBorder="1" applyAlignment="1">
      <alignment horizontal="right"/>
    </xf>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3"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0" fontId="3" fillId="2" borderId="1" xfId="3" applyFont="1" applyFill="1" applyBorder="1" applyAlignment="1">
      <alignment horizontal="right"/>
    </xf>
    <xf numFmtId="164" fontId="7" fillId="4" borderId="1" xfId="0" applyNumberFormat="1" applyFont="1" applyFill="1" applyBorder="1" applyAlignment="1">
      <alignment horizontal="left" vertical="center"/>
    </xf>
    <xf numFmtId="0" fontId="14"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7" fillId="9" borderId="0" xfId="1" applyNumberFormat="1" applyFont="1" applyFill="1"/>
    <xf numFmtId="164" fontId="0" fillId="0" borderId="0" xfId="0" applyNumberFormat="1" applyAlignment="1">
      <alignment horizontal="center"/>
    </xf>
    <xf numFmtId="0" fontId="18" fillId="0" borderId="1" xfId="0" applyFont="1" applyFill="1" applyBorder="1" applyAlignment="1">
      <alignment horizontal="left" vertical="center"/>
    </xf>
    <xf numFmtId="0" fontId="19" fillId="10" borderId="0" xfId="0" applyFont="1" applyFill="1"/>
    <xf numFmtId="0" fontId="19" fillId="11" borderId="0" xfId="0" applyFont="1" applyFill="1" applyAlignment="1">
      <alignment horizontal="center"/>
    </xf>
    <xf numFmtId="0" fontId="19" fillId="12" borderId="0" xfId="0" applyFont="1" applyFill="1" applyAlignment="1">
      <alignment horizontal="center"/>
    </xf>
    <xf numFmtId="0" fontId="19" fillId="13" borderId="0" xfId="0" applyFont="1" applyFill="1"/>
    <xf numFmtId="0" fontId="19" fillId="12" borderId="0" xfId="0" applyFont="1" applyFill="1"/>
    <xf numFmtId="14" fontId="0" fillId="0" borderId="0" xfId="4" applyNumberFormat="1" applyFont="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9" fillId="14" borderId="0" xfId="0" applyFont="1" applyFill="1" applyAlignment="1">
      <alignment horizontal="center"/>
    </xf>
    <xf numFmtId="0" fontId="19" fillId="15" borderId="0" xfId="0" applyFont="1" applyFill="1" applyAlignment="1">
      <alignment horizontal="center"/>
    </xf>
    <xf numFmtId="43" fontId="0" fillId="0" borderId="0" xfId="1" applyFont="1" applyAlignment="1">
      <alignment horizontal="center"/>
    </xf>
    <xf numFmtId="0" fontId="17" fillId="0" borderId="0" xfId="0" applyFont="1"/>
    <xf numFmtId="0" fontId="17"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7" fillId="0" borderId="0" xfId="0" applyFont="1" applyAlignment="1">
      <alignment horizontal="center"/>
    </xf>
    <xf numFmtId="9" fontId="0" fillId="0" borderId="0" xfId="0" applyNumberFormat="1" applyAlignment="1">
      <alignment horizontal="center"/>
    </xf>
    <xf numFmtId="167" fontId="0" fillId="0" borderId="0" xfId="0" applyNumberFormat="1" applyAlignment="1">
      <alignment horizontal="center"/>
    </xf>
    <xf numFmtId="168" fontId="0" fillId="0" borderId="0" xfId="0" applyNumberFormat="1"/>
    <xf numFmtId="169" fontId="0" fillId="0" borderId="0" xfId="0" applyNumberFormat="1"/>
    <xf numFmtId="165" fontId="0" fillId="0" borderId="0" xfId="0" applyNumberFormat="1"/>
    <xf numFmtId="168" fontId="0" fillId="0" borderId="0" xfId="4" applyNumberFormat="1" applyFont="1"/>
    <xf numFmtId="0" fontId="19" fillId="16" borderId="0" xfId="0" applyFont="1" applyFill="1"/>
    <xf numFmtId="0" fontId="19" fillId="14" borderId="0" xfId="0" applyFont="1" applyFill="1"/>
    <xf numFmtId="0" fontId="19" fillId="17" borderId="0" xfId="0" applyFont="1" applyFill="1"/>
    <xf numFmtId="0" fontId="6" fillId="0" borderId="0" xfId="0" applyFont="1"/>
    <xf numFmtId="0" fontId="20" fillId="0" borderId="0" xfId="0" applyFont="1"/>
    <xf numFmtId="0" fontId="6" fillId="0" borderId="0" xfId="0" applyFont="1" applyFill="1"/>
    <xf numFmtId="0" fontId="15" fillId="0" borderId="0" xfId="0" applyFont="1"/>
    <xf numFmtId="0" fontId="17" fillId="19" borderId="0" xfId="0" applyFont="1" applyFill="1" applyAlignment="1">
      <alignment horizontal="center" wrapText="1"/>
    </xf>
    <xf numFmtId="0" fontId="17" fillId="19" borderId="0" xfId="0" applyFont="1" applyFill="1" applyAlignment="1">
      <alignment wrapText="1"/>
    </xf>
    <xf numFmtId="0" fontId="17" fillId="19" borderId="0" xfId="0" applyFont="1" applyFill="1" applyBorder="1" applyAlignment="1">
      <alignment wrapText="1"/>
    </xf>
    <xf numFmtId="0" fontId="6" fillId="3" borderId="3" xfId="0" applyFont="1" applyFill="1" applyBorder="1" applyAlignment="1">
      <alignment horizontal="left" vertical="top" wrapText="1"/>
    </xf>
    <xf numFmtId="0" fontId="17" fillId="0" borderId="0" xfId="0" applyFont="1" applyFill="1" applyAlignment="1">
      <alignment wrapText="1"/>
    </xf>
    <xf numFmtId="9" fontId="17" fillId="19"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2" fillId="0" borderId="0" xfId="0" applyFont="1" applyFill="1" applyBorder="1" applyAlignment="1">
      <alignment wrapText="1"/>
    </xf>
    <xf numFmtId="9" fontId="22" fillId="19" borderId="1" xfId="0" applyNumberFormat="1" applyFont="1" applyFill="1" applyBorder="1" applyAlignment="1">
      <alignment wrapText="1"/>
    </xf>
    <xf numFmtId="0" fontId="22" fillId="0" borderId="1" xfId="0" applyFont="1" applyBorder="1" applyAlignment="1">
      <alignment wrapText="1"/>
    </xf>
    <xf numFmtId="0" fontId="23" fillId="0" borderId="1" xfId="0" applyFont="1" applyBorder="1" applyAlignment="1">
      <alignment wrapText="1"/>
    </xf>
    <xf numFmtId="9" fontId="17" fillId="19" borderId="0" xfId="0" applyNumberFormat="1" applyFont="1" applyFill="1" applyAlignment="1">
      <alignment horizontal="right" wrapText="1"/>
    </xf>
    <xf numFmtId="0" fontId="0" fillId="0" borderId="0" xfId="0" applyFill="1"/>
    <xf numFmtId="0" fontId="24" fillId="0" borderId="0" xfId="0" applyFont="1" applyFill="1"/>
    <xf numFmtId="0" fontId="24" fillId="0" borderId="0" xfId="0" applyFont="1"/>
    <xf numFmtId="0" fontId="21" fillId="0" borderId="0" xfId="0" applyFont="1"/>
    <xf numFmtId="0" fontId="24" fillId="0" borderId="0" xfId="0" applyFont="1" applyAlignment="1">
      <alignment horizontal="left" indent="2"/>
    </xf>
    <xf numFmtId="0" fontId="26" fillId="20" borderId="0" xfId="0" applyFont="1" applyFill="1" applyAlignment="1">
      <alignment horizontal="center" wrapText="1"/>
    </xf>
    <xf numFmtId="0" fontId="25" fillId="21"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27" fillId="0" borderId="0" xfId="0" applyFont="1"/>
    <xf numFmtId="0" fontId="25" fillId="0" borderId="0" xfId="0" applyFont="1" applyAlignment="1">
      <alignment horizontal="center" wrapText="1"/>
    </xf>
    <xf numFmtId="0" fontId="24" fillId="23" borderId="0" xfId="0" applyFont="1" applyFill="1" applyAlignment="1">
      <alignment wrapText="1"/>
    </xf>
    <xf numFmtId="0" fontId="24" fillId="24" borderId="0" xfId="0" applyFont="1" applyFill="1" applyAlignment="1">
      <alignment wrapText="1"/>
    </xf>
    <xf numFmtId="0" fontId="25" fillId="22" borderId="0" xfId="0" applyFont="1" applyFill="1" applyAlignment="1">
      <alignment horizontal="center" wrapText="1"/>
    </xf>
    <xf numFmtId="0" fontId="22" fillId="27" borderId="4" xfId="0" applyFont="1" applyFill="1" applyBorder="1" applyAlignment="1">
      <alignment horizontal="center"/>
    </xf>
    <xf numFmtId="0" fontId="29" fillId="19"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9" fillId="10" borderId="0" xfId="0" applyFont="1" applyFill="1" applyAlignment="1">
      <alignment horizontal="center"/>
    </xf>
    <xf numFmtId="167" fontId="31" fillId="0" borderId="1" xfId="0" applyNumberFormat="1" applyFont="1" applyFill="1" applyBorder="1" applyAlignment="1">
      <alignment horizontal="center"/>
    </xf>
    <xf numFmtId="167" fontId="32" fillId="19" borderId="1" xfId="0" applyNumberFormat="1" applyFont="1" applyFill="1" applyBorder="1" applyAlignment="1">
      <alignment horizontal="center"/>
    </xf>
    <xf numFmtId="0" fontId="0" fillId="0" borderId="0" xfId="0" applyAlignment="1">
      <alignment horizontal="right"/>
    </xf>
    <xf numFmtId="0" fontId="17" fillId="0" borderId="1" xfId="0" applyFont="1" applyBorder="1" applyAlignment="1">
      <alignment horizontal="center"/>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0" fontId="17" fillId="0" borderId="1" xfId="0" applyFont="1" applyFill="1" applyBorder="1" applyAlignment="1">
      <alignment horizontal="center"/>
    </xf>
    <xf numFmtId="1" fontId="7" fillId="3" borderId="1" xfId="0" applyNumberFormat="1" applyFont="1" applyFill="1" applyBorder="1" applyAlignment="1">
      <alignment horizontal="center" vertical="center"/>
    </xf>
    <xf numFmtId="0" fontId="0" fillId="19"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70" fontId="0" fillId="0" borderId="0" xfId="2" applyNumberFormat="1" applyFont="1"/>
    <xf numFmtId="10" fontId="0" fillId="0" borderId="0" xfId="2" applyNumberFormat="1" applyFont="1"/>
    <xf numFmtId="167" fontId="0" fillId="0" borderId="0" xfId="0" applyNumberFormat="1"/>
    <xf numFmtId="43" fontId="13" fillId="0" borderId="1" xfId="1" applyNumberFormat="1" applyFont="1" applyBorder="1" applyAlignment="1">
      <alignment horizontal="center"/>
    </xf>
    <xf numFmtId="2" fontId="11" fillId="0" borderId="1" xfId="0" applyNumberFormat="1" applyFont="1" applyBorder="1"/>
    <xf numFmtId="9" fontId="17" fillId="19" borderId="0" xfId="0" applyNumberFormat="1" applyFont="1" applyFill="1" applyBorder="1" applyAlignment="1">
      <alignment wrapText="1"/>
    </xf>
    <xf numFmtId="0" fontId="17" fillId="0" borderId="0" xfId="0" applyFont="1" applyBorder="1" applyAlignment="1">
      <alignment wrapText="1"/>
    </xf>
    <xf numFmtId="0" fontId="21" fillId="19" borderId="0" xfId="0" applyFont="1" applyFill="1" applyBorder="1" applyAlignment="1">
      <alignment wrapText="1"/>
    </xf>
    <xf numFmtId="0" fontId="0" fillId="0" borderId="0" xfId="0" applyBorder="1" applyAlignment="1">
      <alignment wrapText="1"/>
    </xf>
    <xf numFmtId="0" fontId="21" fillId="0" borderId="0" xfId="0" applyFont="1" applyBorder="1" applyAlignment="1">
      <alignment wrapText="1"/>
    </xf>
    <xf numFmtId="0" fontId="34" fillId="0" borderId="1" xfId="0" applyFont="1" applyFill="1" applyBorder="1" applyAlignment="1">
      <alignment horizontal="left" vertical="center"/>
    </xf>
    <xf numFmtId="0" fontId="35" fillId="0" borderId="0" xfId="0" applyFont="1"/>
    <xf numFmtId="168" fontId="35" fillId="0" borderId="0" xfId="4" applyNumberFormat="1" applyFont="1"/>
    <xf numFmtId="0" fontId="19" fillId="16" borderId="0" xfId="0" applyFont="1" applyFill="1" applyAlignment="1">
      <alignment horizontal="center"/>
    </xf>
    <xf numFmtId="0" fontId="0" fillId="28" borderId="0" xfId="0" applyFill="1" applyAlignment="1">
      <alignment horizontal="center"/>
    </xf>
    <xf numFmtId="165" fontId="0" fillId="0" borderId="0" xfId="1" applyNumberFormat="1" applyFont="1"/>
    <xf numFmtId="171"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14" fontId="1" fillId="0" borderId="0" xfId="4" applyNumberFormat="1" applyFont="1"/>
    <xf numFmtId="0" fontId="8" fillId="14" borderId="2" xfId="0" applyFont="1" applyFill="1" applyBorder="1" applyAlignment="1">
      <alignment horizontal="center" vertical="center"/>
    </xf>
    <xf numFmtId="0" fontId="8" fillId="30"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2" fontId="0" fillId="0" borderId="0" xfId="4" applyNumberFormat="1" applyFont="1"/>
    <xf numFmtId="0" fontId="0" fillId="31" borderId="0" xfId="0" applyFill="1"/>
    <xf numFmtId="168" fontId="0" fillId="29" borderId="0" xfId="4" applyNumberFormat="1" applyFont="1" applyFill="1"/>
    <xf numFmtId="1" fontId="35" fillId="0" borderId="0" xfId="0" applyNumberFormat="1" applyFont="1"/>
    <xf numFmtId="0" fontId="36" fillId="0" borderId="0" xfId="0" applyFont="1"/>
    <xf numFmtId="0" fontId="37"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8" fillId="0" borderId="0" xfId="3" applyFont="1" applyFill="1" applyBorder="1" applyAlignment="1">
      <alignment horizontal="left"/>
    </xf>
    <xf numFmtId="0" fontId="38" fillId="0" borderId="0" xfId="3" applyFont="1" applyFill="1" applyBorder="1" applyAlignment="1">
      <alignment horizontal="center"/>
    </xf>
    <xf numFmtId="0" fontId="39"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40" fillId="0" borderId="0" xfId="3" applyNumberFormat="1" applyFont="1" applyFill="1" applyAlignment="1">
      <alignment horizontal="center"/>
    </xf>
    <xf numFmtId="1" fontId="41" fillId="0" borderId="0" xfId="3" applyNumberFormat="1" applyFont="1" applyFill="1" applyAlignment="1">
      <alignment horizontal="center"/>
    </xf>
    <xf numFmtId="1" fontId="3" fillId="0" borderId="0" xfId="3" applyNumberFormat="1" applyFont="1" applyFill="1" applyAlignment="1">
      <alignment horizontal="center"/>
    </xf>
    <xf numFmtId="167" fontId="3" fillId="0" borderId="1" xfId="3" applyNumberFormat="1" applyFont="1" applyBorder="1"/>
    <xf numFmtId="2" fontId="3" fillId="0" borderId="1" xfId="3" applyNumberFormat="1" applyFont="1" applyBorder="1"/>
    <xf numFmtId="167" fontId="17" fillId="0" borderId="1" xfId="0" applyNumberFormat="1" applyFont="1" applyFill="1" applyBorder="1" applyAlignment="1">
      <alignment horizontal="center"/>
    </xf>
    <xf numFmtId="167" fontId="29" fillId="19" borderId="1" xfId="0" applyNumberFormat="1" applyFont="1" applyFill="1" applyBorder="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17" fillId="5" borderId="1" xfId="0" applyFont="1" applyFill="1" applyBorder="1" applyAlignment="1">
      <alignment horizont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42" fillId="0" borderId="0" xfId="3" applyNumberFormat="1" applyFont="1"/>
    <xf numFmtId="0" fontId="42" fillId="0" borderId="0" xfId="3" applyFont="1"/>
    <xf numFmtId="0" fontId="3" fillId="0" borderId="1" xfId="3" applyFont="1" applyBorder="1" applyAlignment="1">
      <alignment horizontal="center"/>
    </xf>
    <xf numFmtId="0" fontId="5" fillId="0" borderId="1" xfId="3" applyFont="1" applyBorder="1"/>
    <xf numFmtId="167" fontId="5" fillId="0" borderId="1" xfId="3" applyNumberFormat="1" applyFont="1" applyBorder="1"/>
    <xf numFmtId="0" fontId="43" fillId="0" borderId="0" xfId="3" applyFont="1" applyFill="1"/>
    <xf numFmtId="0" fontId="12" fillId="0" borderId="1" xfId="3" applyFont="1" applyFill="1" applyBorder="1" applyAlignment="1">
      <alignment horizontal="center"/>
    </xf>
    <xf numFmtId="0" fontId="14" fillId="0" borderId="1" xfId="3" applyFont="1" applyFill="1" applyBorder="1"/>
    <xf numFmtId="167" fontId="14" fillId="0" borderId="1" xfId="3" applyNumberFormat="1" applyFont="1" applyFill="1" applyBorder="1"/>
    <xf numFmtId="2" fontId="14" fillId="0" borderId="1" xfId="3" applyNumberFormat="1" applyFont="1" applyFill="1" applyBorder="1"/>
    <xf numFmtId="167" fontId="0" fillId="0" borderId="1" xfId="0" applyNumberFormat="1" applyFont="1" applyBorder="1"/>
    <xf numFmtId="0" fontId="2" fillId="0" borderId="0" xfId="3" applyFont="1"/>
    <xf numFmtId="0" fontId="17" fillId="0" borderId="0" xfId="0" applyFont="1" applyBorder="1" applyAlignment="1">
      <alignment horizontal="center"/>
    </xf>
    <xf numFmtId="0" fontId="0" fillId="0" borderId="0" xfId="0" applyFont="1" applyBorder="1"/>
    <xf numFmtId="0" fontId="44" fillId="0" borderId="0" xfId="3" applyFont="1" applyFill="1"/>
    <xf numFmtId="0" fontId="10" fillId="0" borderId="0" xfId="0" applyFont="1"/>
    <xf numFmtId="0" fontId="44" fillId="0" borderId="0" xfId="3" applyFont="1"/>
    <xf numFmtId="2" fontId="14" fillId="0" borderId="1" xfId="3" applyNumberFormat="1" applyFont="1" applyBorder="1"/>
    <xf numFmtId="2" fontId="10" fillId="0" borderId="1" xfId="0" applyNumberFormat="1" applyFont="1" applyBorder="1"/>
    <xf numFmtId="0" fontId="3" fillId="0" borderId="1" xfId="3" applyFont="1" applyFill="1" applyBorder="1" applyAlignment="1">
      <alignment horizontal="center"/>
    </xf>
    <xf numFmtId="0" fontId="33" fillId="19" borderId="0" xfId="0" applyFont="1" applyFill="1"/>
    <xf numFmtId="2" fontId="17" fillId="0" borderId="0" xfId="0" applyNumberFormat="1" applyFont="1"/>
    <xf numFmtId="0" fontId="47" fillId="32" borderId="1" xfId="0" applyFont="1" applyFill="1" applyBorder="1" applyAlignment="1">
      <alignment horizontal="center" vertical="top" wrapText="1"/>
    </xf>
    <xf numFmtId="0" fontId="48" fillId="32"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48" fillId="33" borderId="1" xfId="0" applyFont="1" applyFill="1" applyBorder="1" applyAlignment="1">
      <alignment horizontal="center" vertical="top" wrapText="1"/>
    </xf>
    <xf numFmtId="168" fontId="0" fillId="27" borderId="0" xfId="4" applyNumberFormat="1" applyFont="1" applyFill="1"/>
    <xf numFmtId="0" fontId="0" fillId="0" borderId="0" xfId="0" applyAlignment="1">
      <alignment horizontal="center"/>
    </xf>
    <xf numFmtId="170"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70" fontId="0" fillId="16" borderId="0" xfId="0" applyNumberFormat="1" applyFill="1" applyAlignment="1">
      <alignment horizontal="center"/>
    </xf>
    <xf numFmtId="170" fontId="0" fillId="0" borderId="0" xfId="0" applyNumberFormat="1"/>
    <xf numFmtId="170" fontId="0" fillId="5" borderId="0" xfId="0" applyNumberFormat="1" applyFill="1" applyAlignment="1">
      <alignment horizontal="center"/>
    </xf>
    <xf numFmtId="170" fontId="0" fillId="5" borderId="0" xfId="0" applyNumberFormat="1" applyFill="1"/>
    <xf numFmtId="2" fontId="0" fillId="5" borderId="0" xfId="0" applyNumberFormat="1" applyFill="1"/>
    <xf numFmtId="164" fontId="0" fillId="5" borderId="0" xfId="0" applyNumberFormat="1" applyFill="1"/>
    <xf numFmtId="9" fontId="0" fillId="28" borderId="0" xfId="0" applyNumberFormat="1" applyFill="1" applyAlignment="1">
      <alignment horizontal="center"/>
    </xf>
    <xf numFmtId="170" fontId="0" fillId="28" borderId="0" xfId="0" applyNumberFormat="1" applyFill="1" applyAlignment="1">
      <alignment horizontal="center"/>
    </xf>
    <xf numFmtId="168" fontId="0" fillId="28" borderId="0" xfId="0" applyNumberFormat="1" applyFill="1"/>
    <xf numFmtId="170" fontId="0" fillId="28" borderId="0" xfId="0" applyNumberFormat="1" applyFill="1"/>
    <xf numFmtId="2" fontId="0" fillId="28" borderId="0" xfId="0" applyNumberFormat="1" applyFill="1"/>
    <xf numFmtId="164" fontId="0" fillId="28" borderId="0" xfId="0" applyNumberFormat="1" applyFill="1"/>
    <xf numFmtId="9" fontId="17" fillId="34" borderId="0" xfId="0" applyNumberFormat="1" applyFont="1" applyFill="1" applyAlignment="1">
      <alignment horizontal="center"/>
    </xf>
    <xf numFmtId="10" fontId="17" fillId="34" borderId="0" xfId="0" applyNumberFormat="1" applyFont="1" applyFill="1" applyAlignment="1">
      <alignment horizontal="center"/>
    </xf>
    <xf numFmtId="170" fontId="17" fillId="34" borderId="0" xfId="0" applyNumberFormat="1" applyFont="1" applyFill="1" applyAlignment="1">
      <alignment horizontal="center"/>
    </xf>
    <xf numFmtId="0" fontId="17" fillId="34" borderId="0" xfId="0" applyFont="1" applyFill="1" applyAlignment="1">
      <alignment horizontal="center"/>
    </xf>
    <xf numFmtId="168" fontId="17" fillId="34" borderId="0" xfId="0" applyNumberFormat="1" applyFont="1" applyFill="1"/>
    <xf numFmtId="170" fontId="17" fillId="34" borderId="0" xfId="0" applyNumberFormat="1" applyFont="1" applyFill="1"/>
    <xf numFmtId="2" fontId="17" fillId="34" borderId="0" xfId="0" applyNumberFormat="1" applyFont="1" applyFill="1"/>
    <xf numFmtId="164" fontId="17" fillId="34" borderId="0" xfId="0" applyNumberFormat="1" applyFont="1" applyFill="1"/>
    <xf numFmtId="0" fontId="0" fillId="0" borderId="0" xfId="0" applyAlignment="1">
      <alignment horizontal="center"/>
    </xf>
    <xf numFmtId="0" fontId="49"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7" fillId="0" borderId="0" xfId="0" applyNumberFormat="1" applyFont="1" applyAlignment="1">
      <alignment horizontal="center"/>
    </xf>
    <xf numFmtId="0" fontId="0" fillId="0" borderId="0" xfId="0" applyFill="1" applyBorder="1" applyAlignment="1">
      <alignment horizontal="center"/>
    </xf>
    <xf numFmtId="1" fontId="17" fillId="0" borderId="0" xfId="0" applyNumberFormat="1" applyFont="1"/>
    <xf numFmtId="0" fontId="0" fillId="19" borderId="0" xfId="0" applyFill="1"/>
    <xf numFmtId="164" fontId="0" fillId="19" borderId="0" xfId="0" applyNumberFormat="1" applyFill="1"/>
    <xf numFmtId="0" fontId="0" fillId="35" borderId="1" xfId="0" applyFill="1" applyBorder="1"/>
    <xf numFmtId="0" fontId="0" fillId="36" borderId="1" xfId="0" applyFill="1" applyBorder="1"/>
    <xf numFmtId="0" fontId="0" fillId="19" borderId="1" xfId="0" applyFill="1" applyBorder="1"/>
    <xf numFmtId="0" fontId="33" fillId="35" borderId="1" xfId="0" applyFont="1" applyFill="1" applyBorder="1" applyAlignment="1">
      <alignment horizontal="center"/>
    </xf>
    <xf numFmtId="0" fontId="33" fillId="36" borderId="1" xfId="0" applyFont="1" applyFill="1" applyBorder="1" applyAlignment="1">
      <alignment horizontal="center"/>
    </xf>
    <xf numFmtId="0" fontId="17" fillId="0" borderId="0" xfId="0" applyFont="1" applyAlignment="1">
      <alignment horizontal="center" vertical="center" wrapText="1"/>
    </xf>
    <xf numFmtId="0" fontId="33"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3" fillId="0" borderId="1" xfId="0" applyNumberFormat="1" applyFont="1" applyFill="1" applyBorder="1" applyAlignment="1">
      <alignment horizontal="center"/>
    </xf>
    <xf numFmtId="1" fontId="50" fillId="0" borderId="0" xfId="0" applyNumberFormat="1" applyFont="1" applyFill="1"/>
    <xf numFmtId="2" fontId="33" fillId="0" borderId="1" xfId="0" applyNumberFormat="1" applyFont="1" applyFill="1" applyBorder="1" applyAlignment="1">
      <alignment horizontal="center"/>
    </xf>
    <xf numFmtId="0" fontId="48" fillId="33"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4" fillId="37" borderId="1" xfId="3" applyFont="1" applyFill="1" applyBorder="1" applyAlignment="1">
      <alignment horizontal="right"/>
    </xf>
    <xf numFmtId="0" fontId="5" fillId="37" borderId="1" xfId="3" applyFont="1" applyFill="1" applyBorder="1" applyAlignment="1">
      <alignment horizontal="right"/>
    </xf>
    <xf numFmtId="0" fontId="51" fillId="2" borderId="1" xfId="3" applyFont="1" applyFill="1" applyBorder="1" applyAlignment="1">
      <alignment horizontal="right"/>
    </xf>
    <xf numFmtId="0" fontId="0" fillId="0" borderId="0" xfId="0" applyAlignment="1">
      <alignment horizontal="center"/>
    </xf>
    <xf numFmtId="0" fontId="25" fillId="22" borderId="0" xfId="0" applyFont="1" applyFill="1" applyAlignment="1">
      <alignment horizontal="center" wrapText="1"/>
    </xf>
    <xf numFmtId="0" fontId="28" fillId="18" borderId="0" xfId="0" applyFont="1" applyFill="1" applyAlignment="1">
      <alignment horizontal="center" wrapText="1"/>
    </xf>
    <xf numFmtId="0" fontId="25" fillId="25" borderId="0" xfId="0" applyFont="1" applyFill="1" applyAlignment="1">
      <alignment horizontal="center" wrapText="1"/>
    </xf>
    <xf numFmtId="0" fontId="25" fillId="26" borderId="0" xfId="0" applyFont="1" applyFill="1" applyAlignment="1">
      <alignment horizontal="center" wrapText="1"/>
    </xf>
    <xf numFmtId="0" fontId="25" fillId="23" borderId="0" xfId="0" applyFont="1" applyFill="1" applyAlignment="1">
      <alignment horizontal="center" wrapText="1"/>
    </xf>
    <xf numFmtId="0" fontId="25" fillId="24" borderId="0" xfId="0" applyFont="1" applyFill="1" applyAlignment="1">
      <alignment horizontal="center" wrapText="1"/>
    </xf>
    <xf numFmtId="0" fontId="45" fillId="32" borderId="1" xfId="0" applyFont="1" applyFill="1" applyBorder="1" applyAlignment="1">
      <alignment horizontal="center" vertical="top" wrapText="1"/>
    </xf>
    <xf numFmtId="0" fontId="46" fillId="33" borderId="1" xfId="0" applyFont="1" applyFill="1" applyBorder="1" applyAlignment="1">
      <alignment horizontal="center" vertical="top" wrapText="1"/>
    </xf>
    <xf numFmtId="0" fontId="47" fillId="33" borderId="1" xfId="0" applyFont="1" applyFill="1" applyBorder="1" applyAlignment="1">
      <alignment horizontal="center" vertical="top" wrapText="1"/>
    </xf>
    <xf numFmtId="0" fontId="33" fillId="9" borderId="5" xfId="0" applyFont="1" applyFill="1" applyBorder="1" applyAlignment="1">
      <alignment horizontal="center"/>
    </xf>
    <xf numFmtId="0" fontId="33" fillId="9" borderId="6" xfId="0" applyFont="1" applyFill="1" applyBorder="1" applyAlignment="1">
      <alignment horizontal="center"/>
    </xf>
    <xf numFmtId="0" fontId="0" fillId="0" borderId="0" xfId="0" applyAlignment="1">
      <alignment horizontal="center"/>
    </xf>
    <xf numFmtId="2" fontId="7" fillId="3" borderId="1" xfId="0" applyNumberFormat="1" applyFont="1" applyFill="1" applyBorder="1" applyAlignment="1">
      <alignment horizontal="center" vertical="center"/>
    </xf>
    <xf numFmtId="0" fontId="17" fillId="0" borderId="0" xfId="0" applyFont="1" applyAlignment="1">
      <alignment horizontal="right"/>
    </xf>
  </cellXfs>
  <cellStyles count="5">
    <cellStyle name="Excel Built-in Normal" xfId="3"/>
    <cellStyle name="Millares" xfId="1" builtinId="3"/>
    <cellStyle name="Moneda" xfId="4" builtinId="4"/>
    <cellStyle name="Normal" xfId="0" builtinId="0"/>
    <cellStyle name="Porcentaje" xfId="2" builtinId="5"/>
  </cellStyles>
  <dxfs count="6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b/>
        <i val="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baseColWidth="10"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80" t="s">
        <v>129</v>
      </c>
      <c r="B1" s="80"/>
      <c r="C1" s="80"/>
      <c r="D1" s="80"/>
      <c r="E1" s="80"/>
      <c r="F1" s="80"/>
      <c r="G1" s="80"/>
      <c r="H1" s="81"/>
      <c r="I1" s="80"/>
      <c r="J1" s="80"/>
      <c r="K1" s="80"/>
      <c r="L1" s="80"/>
      <c r="M1" s="80"/>
      <c r="N1" s="80"/>
      <c r="O1" s="80"/>
      <c r="P1" s="80"/>
      <c r="Q1" s="80"/>
      <c r="R1" s="80"/>
      <c r="S1" s="80"/>
      <c r="T1" s="80"/>
      <c r="U1" s="80"/>
      <c r="V1" s="80"/>
      <c r="W1" s="80"/>
      <c r="X1" s="82"/>
      <c r="Y1" s="83" t="s">
        <v>130</v>
      </c>
      <c r="Z1" s="83"/>
    </row>
    <row r="2" spans="1:46" ht="15.75" x14ac:dyDescent="0.25">
      <c r="A2" s="84" t="s">
        <v>131</v>
      </c>
      <c r="B2" s="85">
        <v>17</v>
      </c>
      <c r="C2" s="85">
        <v>18</v>
      </c>
      <c r="D2" s="85">
        <v>19</v>
      </c>
      <c r="E2" s="85">
        <v>20</v>
      </c>
      <c r="F2" s="86">
        <v>21</v>
      </c>
      <c r="G2" s="135">
        <v>22</v>
      </c>
      <c r="H2" s="85">
        <v>23</v>
      </c>
      <c r="I2" s="85">
        <v>24</v>
      </c>
      <c r="J2" s="85">
        <v>25</v>
      </c>
      <c r="K2" s="85">
        <v>26</v>
      </c>
      <c r="L2" s="85">
        <v>27</v>
      </c>
      <c r="M2" s="86">
        <v>28</v>
      </c>
      <c r="N2" s="86">
        <v>29</v>
      </c>
      <c r="O2" s="86">
        <v>30</v>
      </c>
      <c r="P2" s="86">
        <v>31</v>
      </c>
      <c r="Q2" s="85">
        <v>32</v>
      </c>
      <c r="R2" s="85">
        <v>33</v>
      </c>
      <c r="S2" s="85">
        <v>34</v>
      </c>
      <c r="T2" s="85">
        <v>35</v>
      </c>
      <c r="U2" s="85">
        <v>36</v>
      </c>
      <c r="V2" s="85">
        <v>37</v>
      </c>
      <c r="W2" s="85">
        <v>38</v>
      </c>
      <c r="X2" s="88"/>
      <c r="Y2" s="80" t="s">
        <v>134</v>
      </c>
      <c r="Z2" s="80"/>
    </row>
    <row r="3" spans="1:46" ht="16.5" thickBot="1" x14ac:dyDescent="0.3">
      <c r="A3" s="89">
        <v>0.05</v>
      </c>
      <c r="B3" s="90">
        <v>3.2</v>
      </c>
      <c r="C3" s="90">
        <v>3.7</v>
      </c>
      <c r="D3" s="90">
        <v>4.0999999999999996</v>
      </c>
      <c r="E3" s="90">
        <v>4.4000000000000004</v>
      </c>
      <c r="F3" s="136">
        <v>4.5999999999999996</v>
      </c>
      <c r="G3" s="137">
        <v>4.7</v>
      </c>
      <c r="H3" s="90">
        <v>4.55</v>
      </c>
      <c r="I3" s="90">
        <v>4.4000000000000004</v>
      </c>
      <c r="J3" s="90">
        <v>4.25</v>
      </c>
      <c r="K3" s="90">
        <v>4.0999999999999996</v>
      </c>
      <c r="L3" s="90">
        <v>3.95</v>
      </c>
      <c r="M3" s="91">
        <v>3.8</v>
      </c>
      <c r="N3" s="91">
        <v>3.6500000000000004</v>
      </c>
      <c r="O3" s="91">
        <v>3.5</v>
      </c>
      <c r="P3" s="91">
        <v>3.3499999999999996</v>
      </c>
      <c r="Q3" s="90">
        <v>3.1500000000000004</v>
      </c>
      <c r="R3" s="90">
        <v>2.95</v>
      </c>
      <c r="S3" s="90">
        <v>2.65</v>
      </c>
      <c r="T3" s="90">
        <v>2.2999999999999998</v>
      </c>
      <c r="U3" s="90">
        <v>1.9</v>
      </c>
      <c r="V3" s="90">
        <v>1.4500000000000002</v>
      </c>
      <c r="W3" s="90">
        <v>0.95</v>
      </c>
      <c r="X3" s="92"/>
      <c r="Y3" s="80"/>
      <c r="Z3" s="80"/>
    </row>
    <row r="4" spans="1:46" ht="16.5" thickBot="1" x14ac:dyDescent="0.3">
      <c r="A4" s="89">
        <v>0.06</v>
      </c>
      <c r="B4" s="90">
        <v>3.5700000000000003</v>
      </c>
      <c r="C4" s="90">
        <v>4.07</v>
      </c>
      <c r="D4" s="90">
        <v>4.47</v>
      </c>
      <c r="E4" s="90">
        <v>4.7699999999999996</v>
      </c>
      <c r="F4" s="136">
        <v>4.97</v>
      </c>
      <c r="G4" s="137">
        <v>5.07</v>
      </c>
      <c r="H4" s="90">
        <v>4.92</v>
      </c>
      <c r="I4" s="90">
        <v>4.7699999999999996</v>
      </c>
      <c r="J4" s="90">
        <v>4.62</v>
      </c>
      <c r="K4" s="90">
        <v>4.47</v>
      </c>
      <c r="L4" s="90">
        <v>4.32</v>
      </c>
      <c r="M4" s="91">
        <v>4.17</v>
      </c>
      <c r="N4" s="91">
        <v>4.0199999999999996</v>
      </c>
      <c r="O4" s="91">
        <v>3.87</v>
      </c>
      <c r="P4" s="91">
        <v>3.7199999999999998</v>
      </c>
      <c r="Q4" s="90">
        <v>3.5199999999999996</v>
      </c>
      <c r="R4" s="90">
        <v>3.3200000000000003</v>
      </c>
      <c r="S4" s="90">
        <v>3.0199999999999996</v>
      </c>
      <c r="T4" s="90">
        <v>2.67</v>
      </c>
      <c r="U4" s="90">
        <v>2.27</v>
      </c>
      <c r="V4" s="90">
        <v>1.8199999999999998</v>
      </c>
      <c r="W4" s="90">
        <v>1.3199999999999998</v>
      </c>
      <c r="X4" s="92"/>
      <c r="Y4" s="87" t="s">
        <v>132</v>
      </c>
      <c r="Z4" s="87" t="s">
        <v>170</v>
      </c>
      <c r="AA4" s="87">
        <v>0</v>
      </c>
      <c r="AB4" s="87">
        <v>5</v>
      </c>
      <c r="AC4" s="87">
        <v>10</v>
      </c>
      <c r="AD4" s="87">
        <v>15</v>
      </c>
      <c r="AE4" s="87">
        <v>20</v>
      </c>
      <c r="AF4" s="87">
        <v>25</v>
      </c>
      <c r="AG4" s="87">
        <v>30</v>
      </c>
      <c r="AH4" s="87">
        <v>35</v>
      </c>
      <c r="AI4" s="87">
        <v>40</v>
      </c>
      <c r="AJ4" s="87">
        <v>45</v>
      </c>
      <c r="AK4" s="87">
        <v>50</v>
      </c>
      <c r="AL4" s="87">
        <v>55</v>
      </c>
      <c r="AM4" s="87">
        <v>60</v>
      </c>
      <c r="AN4" s="87">
        <v>65</v>
      </c>
      <c r="AO4" s="87">
        <v>70</v>
      </c>
      <c r="AP4" s="87">
        <v>75</v>
      </c>
      <c r="AQ4" s="87">
        <v>80</v>
      </c>
      <c r="AR4" s="87">
        <v>85</v>
      </c>
      <c r="AS4" s="87">
        <v>90</v>
      </c>
      <c r="AT4" s="87" t="s">
        <v>133</v>
      </c>
    </row>
    <row r="5" spans="1:46" ht="16.5" thickBot="1" x14ac:dyDescent="0.3">
      <c r="A5" s="89">
        <v>7.0000000000000007E-2</v>
      </c>
      <c r="B5" s="90">
        <v>3.92</v>
      </c>
      <c r="C5" s="90">
        <v>4.42</v>
      </c>
      <c r="D5" s="90">
        <v>4.82</v>
      </c>
      <c r="E5" s="90">
        <v>5.12</v>
      </c>
      <c r="F5" s="136">
        <v>5.32</v>
      </c>
      <c r="G5" s="137">
        <v>5.42</v>
      </c>
      <c r="H5" s="90">
        <v>5.27</v>
      </c>
      <c r="I5" s="90">
        <v>5.12</v>
      </c>
      <c r="J5" s="90">
        <v>4.97</v>
      </c>
      <c r="K5" s="90">
        <v>4.82</v>
      </c>
      <c r="L5" s="90">
        <v>4.67</v>
      </c>
      <c r="M5" s="91">
        <v>4.5199999999999996</v>
      </c>
      <c r="N5" s="91">
        <v>4.37</v>
      </c>
      <c r="O5" s="91">
        <v>4.22</v>
      </c>
      <c r="P5" s="91">
        <v>4.07</v>
      </c>
      <c r="Q5" s="90">
        <v>3.87</v>
      </c>
      <c r="R5" s="90">
        <v>3.67</v>
      </c>
      <c r="S5" s="90">
        <v>3.37</v>
      </c>
      <c r="T5" s="90">
        <v>3.0199999999999996</v>
      </c>
      <c r="U5" s="90">
        <v>2.62</v>
      </c>
      <c r="V5" s="90">
        <v>2.17</v>
      </c>
      <c r="W5" s="90">
        <v>1.67</v>
      </c>
      <c r="X5" s="92"/>
      <c r="Y5" s="87">
        <v>9</v>
      </c>
      <c r="Z5" s="87">
        <f>Y5-1</f>
        <v>8</v>
      </c>
      <c r="AA5" s="87">
        <v>100</v>
      </c>
      <c r="AB5" s="87">
        <v>100</v>
      </c>
      <c r="AC5" s="87">
        <v>100</v>
      </c>
      <c r="AD5" s="87">
        <v>100</v>
      </c>
      <c r="AE5" s="87">
        <v>100</v>
      </c>
      <c r="AF5" s="87">
        <v>100</v>
      </c>
      <c r="AG5" s="87">
        <v>100</v>
      </c>
      <c r="AH5" s="87">
        <v>100</v>
      </c>
      <c r="AI5" s="87">
        <v>100</v>
      </c>
      <c r="AJ5" s="87">
        <v>100</v>
      </c>
      <c r="AK5" s="87">
        <v>100</v>
      </c>
      <c r="AL5" s="87">
        <v>100</v>
      </c>
      <c r="AM5" s="87">
        <v>100</v>
      </c>
      <c r="AN5" s="87">
        <v>100</v>
      </c>
      <c r="AO5" s="87">
        <v>100</v>
      </c>
      <c r="AP5" s="87">
        <v>100</v>
      </c>
      <c r="AQ5" s="87">
        <v>100</v>
      </c>
      <c r="AR5" s="87">
        <v>100</v>
      </c>
      <c r="AS5" s="87">
        <v>99</v>
      </c>
      <c r="AT5" s="87">
        <v>99.95</v>
      </c>
    </row>
    <row r="6" spans="1:46" ht="19.5" thickBot="1" x14ac:dyDescent="0.35">
      <c r="A6" s="89">
        <v>0.08</v>
      </c>
      <c r="B6" s="90">
        <v>4.24</v>
      </c>
      <c r="C6" s="90">
        <v>4.74</v>
      </c>
      <c r="D6" s="90">
        <v>5.14</v>
      </c>
      <c r="E6" s="90">
        <v>5.44</v>
      </c>
      <c r="F6" s="136">
        <v>5.64</v>
      </c>
      <c r="G6" s="137">
        <v>5.74</v>
      </c>
      <c r="H6" s="90">
        <v>5.59</v>
      </c>
      <c r="I6" s="90">
        <v>5.44</v>
      </c>
      <c r="J6" s="90">
        <v>5.29</v>
      </c>
      <c r="K6" s="90">
        <v>5.14</v>
      </c>
      <c r="L6" s="90">
        <v>4.99</v>
      </c>
      <c r="M6" s="91">
        <v>4.84</v>
      </c>
      <c r="N6" s="91">
        <v>4.6900000000000004</v>
      </c>
      <c r="O6" s="91">
        <v>4.54</v>
      </c>
      <c r="P6" s="91">
        <v>4.3899999999999997</v>
      </c>
      <c r="Q6" s="90">
        <v>4.1900000000000004</v>
      </c>
      <c r="R6" s="90">
        <v>3.99</v>
      </c>
      <c r="S6" s="90">
        <v>3.6900000000000004</v>
      </c>
      <c r="T6" s="90">
        <v>3.34</v>
      </c>
      <c r="U6" s="90">
        <v>2.94</v>
      </c>
      <c r="V6" s="90">
        <v>2.4900000000000002</v>
      </c>
      <c r="W6" s="90">
        <v>1.9900000000000002</v>
      </c>
      <c r="X6" s="93"/>
      <c r="Y6" s="87">
        <v>8.9</v>
      </c>
      <c r="Z6" s="87">
        <f t="shared" ref="Z6:Z45" si="0">Y6-1</f>
        <v>7.9</v>
      </c>
      <c r="AA6" s="87">
        <v>100</v>
      </c>
      <c r="AB6" s="87">
        <v>100</v>
      </c>
      <c r="AC6" s="87">
        <v>100</v>
      </c>
      <c r="AD6" s="87">
        <v>100</v>
      </c>
      <c r="AE6" s="87">
        <v>100</v>
      </c>
      <c r="AF6" s="87">
        <v>100</v>
      </c>
      <c r="AG6" s="87">
        <v>100</v>
      </c>
      <c r="AH6" s="87">
        <v>100</v>
      </c>
      <c r="AI6" s="87">
        <v>100</v>
      </c>
      <c r="AJ6" s="87">
        <v>100</v>
      </c>
      <c r="AK6" s="87">
        <v>100</v>
      </c>
      <c r="AL6" s="87">
        <v>100</v>
      </c>
      <c r="AM6" s="87">
        <v>100</v>
      </c>
      <c r="AN6" s="87">
        <v>100</v>
      </c>
      <c r="AO6" s="87">
        <v>100</v>
      </c>
      <c r="AP6" s="87">
        <v>100</v>
      </c>
      <c r="AQ6" s="87">
        <v>100</v>
      </c>
      <c r="AR6" s="87">
        <v>100</v>
      </c>
      <c r="AS6" s="87">
        <v>98</v>
      </c>
      <c r="AT6" s="87">
        <v>99.89</v>
      </c>
    </row>
    <row r="7" spans="1:46" ht="16.5" thickBot="1" x14ac:dyDescent="0.3">
      <c r="A7" s="89">
        <v>0.09</v>
      </c>
      <c r="B7" s="90">
        <v>4.53</v>
      </c>
      <c r="C7" s="90">
        <v>5.03</v>
      </c>
      <c r="D7" s="90">
        <v>5.43</v>
      </c>
      <c r="E7" s="90">
        <v>5.73</v>
      </c>
      <c r="F7" s="136">
        <v>5.93</v>
      </c>
      <c r="G7" s="137">
        <v>6.03</v>
      </c>
      <c r="H7" s="90">
        <v>5.88</v>
      </c>
      <c r="I7" s="90">
        <v>5.73</v>
      </c>
      <c r="J7" s="90">
        <v>5.58</v>
      </c>
      <c r="K7" s="90">
        <v>5.43</v>
      </c>
      <c r="L7" s="90">
        <v>5.28</v>
      </c>
      <c r="M7" s="91">
        <v>5.13</v>
      </c>
      <c r="N7" s="91">
        <v>4.9800000000000004</v>
      </c>
      <c r="O7" s="91">
        <v>4.83</v>
      </c>
      <c r="P7" s="91">
        <v>4.68</v>
      </c>
      <c r="Q7" s="90">
        <v>4.4800000000000004</v>
      </c>
      <c r="R7" s="90">
        <v>4.28</v>
      </c>
      <c r="S7" s="90">
        <v>3.9800000000000004</v>
      </c>
      <c r="T7" s="90">
        <v>3.63</v>
      </c>
      <c r="U7" s="90">
        <v>3.2300000000000004</v>
      </c>
      <c r="V7" s="90">
        <v>2.78</v>
      </c>
      <c r="W7" s="90">
        <v>2.2799999999999998</v>
      </c>
      <c r="X7" s="92"/>
      <c r="Y7" s="87">
        <v>8.8000000000000007</v>
      </c>
      <c r="Z7" s="87">
        <f t="shared" si="0"/>
        <v>7.8000000000000007</v>
      </c>
      <c r="AA7" s="87">
        <v>100</v>
      </c>
      <c r="AB7" s="87">
        <v>100</v>
      </c>
      <c r="AC7" s="87">
        <v>100</v>
      </c>
      <c r="AD7" s="87">
        <v>100</v>
      </c>
      <c r="AE7" s="87">
        <v>100</v>
      </c>
      <c r="AF7" s="87">
        <v>100</v>
      </c>
      <c r="AG7" s="87">
        <v>100</v>
      </c>
      <c r="AH7" s="87">
        <v>100</v>
      </c>
      <c r="AI7" s="87">
        <v>100</v>
      </c>
      <c r="AJ7" s="87">
        <v>100</v>
      </c>
      <c r="AK7" s="87">
        <v>100</v>
      </c>
      <c r="AL7" s="87">
        <v>100</v>
      </c>
      <c r="AM7" s="87">
        <v>100</v>
      </c>
      <c r="AN7" s="87">
        <v>100</v>
      </c>
      <c r="AO7" s="87">
        <v>100</v>
      </c>
      <c r="AP7" s="87">
        <v>100</v>
      </c>
      <c r="AQ7" s="87">
        <v>100</v>
      </c>
      <c r="AR7" s="87">
        <v>100</v>
      </c>
      <c r="AS7" s="87">
        <v>97</v>
      </c>
      <c r="AT7" s="87">
        <v>99.84</v>
      </c>
    </row>
    <row r="8" spans="1:46" ht="15.75" thickBot="1" x14ac:dyDescent="0.3">
      <c r="A8" s="133">
        <v>0.1</v>
      </c>
      <c r="B8" s="134">
        <v>4.8099999999999996</v>
      </c>
      <c r="C8" s="134">
        <v>5.31</v>
      </c>
      <c r="D8" s="134">
        <v>5.71</v>
      </c>
      <c r="E8" s="134">
        <v>6.01</v>
      </c>
      <c r="F8" s="134">
        <v>6.21</v>
      </c>
      <c r="G8" s="134">
        <v>6.31</v>
      </c>
      <c r="H8" s="134">
        <v>6.16</v>
      </c>
      <c r="I8" s="134">
        <v>6.01</v>
      </c>
      <c r="J8" s="134">
        <v>5.86</v>
      </c>
      <c r="K8" s="134">
        <v>5.71</v>
      </c>
      <c r="L8" s="134">
        <v>5.56</v>
      </c>
      <c r="M8" s="134">
        <v>5.41</v>
      </c>
      <c r="N8" s="134">
        <v>5.26</v>
      </c>
      <c r="O8" s="134">
        <v>5.1100000000000003</v>
      </c>
      <c r="P8" s="134">
        <v>4.96</v>
      </c>
      <c r="Q8" s="134">
        <v>4.76</v>
      </c>
      <c r="R8" s="134">
        <v>4.5599999999999996</v>
      </c>
      <c r="S8" s="134">
        <v>4.26</v>
      </c>
      <c r="T8" s="134">
        <v>3.91</v>
      </c>
      <c r="U8" s="134">
        <v>3.51</v>
      </c>
      <c r="V8" s="134">
        <v>3.0599999999999996</v>
      </c>
      <c r="W8" s="134">
        <v>2.56</v>
      </c>
      <c r="X8" s="92"/>
      <c r="Y8" s="87">
        <v>8.6999999999999993</v>
      </c>
      <c r="Z8" s="87">
        <f t="shared" si="0"/>
        <v>7.6999999999999993</v>
      </c>
      <c r="AA8" s="87">
        <v>100</v>
      </c>
      <c r="AB8" s="87">
        <v>100</v>
      </c>
      <c r="AC8" s="87">
        <v>100</v>
      </c>
      <c r="AD8" s="87">
        <v>100</v>
      </c>
      <c r="AE8" s="87">
        <v>100</v>
      </c>
      <c r="AF8" s="87">
        <v>100</v>
      </c>
      <c r="AG8" s="87">
        <v>100</v>
      </c>
      <c r="AH8" s="87">
        <v>100</v>
      </c>
      <c r="AI8" s="87">
        <v>100</v>
      </c>
      <c r="AJ8" s="87">
        <v>100</v>
      </c>
      <c r="AK8" s="87">
        <v>100</v>
      </c>
      <c r="AL8" s="87">
        <v>100</v>
      </c>
      <c r="AM8" s="87">
        <v>100</v>
      </c>
      <c r="AN8" s="87">
        <v>100</v>
      </c>
      <c r="AO8" s="87">
        <v>100</v>
      </c>
      <c r="AP8" s="87">
        <v>100</v>
      </c>
      <c r="AQ8" s="87">
        <v>100</v>
      </c>
      <c r="AR8" s="87">
        <v>100</v>
      </c>
      <c r="AS8" s="87">
        <v>96</v>
      </c>
      <c r="AT8" s="87">
        <v>99.79</v>
      </c>
    </row>
    <row r="9" spans="1:46" ht="15.75" thickBot="1" x14ac:dyDescent="0.3">
      <c r="A9" s="133">
        <v>0.11</v>
      </c>
      <c r="B9" s="91">
        <v>5.0599999999999996</v>
      </c>
      <c r="C9" s="91">
        <v>5.56</v>
      </c>
      <c r="D9" s="91">
        <v>5.96</v>
      </c>
      <c r="E9" s="91">
        <v>6.26</v>
      </c>
      <c r="F9" s="91">
        <v>6.46</v>
      </c>
      <c r="G9" s="134">
        <v>6.56</v>
      </c>
      <c r="H9" s="91">
        <v>6.41</v>
      </c>
      <c r="I9" s="91">
        <v>6.26</v>
      </c>
      <c r="J9" s="91">
        <v>6.11</v>
      </c>
      <c r="K9" s="91">
        <v>5.96</v>
      </c>
      <c r="L9" s="91">
        <v>5.81</v>
      </c>
      <c r="M9" s="91">
        <v>5.66</v>
      </c>
      <c r="N9" s="91">
        <v>5.51</v>
      </c>
      <c r="O9" s="91">
        <v>5.36</v>
      </c>
      <c r="P9" s="91">
        <v>5.21</v>
      </c>
      <c r="Q9" s="91">
        <v>5.01</v>
      </c>
      <c r="R9" s="91">
        <v>4.8099999999999996</v>
      </c>
      <c r="S9" s="91">
        <v>4.51</v>
      </c>
      <c r="T9" s="91">
        <v>4.16</v>
      </c>
      <c r="U9" s="91">
        <v>3.76</v>
      </c>
      <c r="V9" s="91">
        <v>3.3099999999999996</v>
      </c>
      <c r="W9" s="91">
        <v>2.81</v>
      </c>
      <c r="X9" s="92"/>
      <c r="Y9" s="87">
        <v>8.6</v>
      </c>
      <c r="Z9" s="87">
        <f t="shared" si="0"/>
        <v>7.6</v>
      </c>
      <c r="AA9" s="87">
        <v>100</v>
      </c>
      <c r="AB9" s="87">
        <v>100</v>
      </c>
      <c r="AC9" s="87">
        <v>100</v>
      </c>
      <c r="AD9" s="87">
        <v>100</v>
      </c>
      <c r="AE9" s="87">
        <v>100</v>
      </c>
      <c r="AF9" s="87">
        <v>100</v>
      </c>
      <c r="AG9" s="87">
        <v>100</v>
      </c>
      <c r="AH9" s="87">
        <v>100</v>
      </c>
      <c r="AI9" s="87">
        <v>100</v>
      </c>
      <c r="AJ9" s="87">
        <v>100</v>
      </c>
      <c r="AK9" s="87">
        <v>100</v>
      </c>
      <c r="AL9" s="87">
        <v>100</v>
      </c>
      <c r="AM9" s="87">
        <v>100</v>
      </c>
      <c r="AN9" s="87">
        <v>100</v>
      </c>
      <c r="AO9" s="87">
        <v>100</v>
      </c>
      <c r="AP9" s="87">
        <v>100</v>
      </c>
      <c r="AQ9" s="87">
        <v>100</v>
      </c>
      <c r="AR9" s="87">
        <v>98</v>
      </c>
      <c r="AS9" s="87">
        <v>95</v>
      </c>
      <c r="AT9" s="87">
        <v>99.63</v>
      </c>
    </row>
    <row r="10" spans="1:46" ht="15.75" thickBot="1" x14ac:dyDescent="0.3">
      <c r="A10" s="133">
        <v>0.12</v>
      </c>
      <c r="B10" s="134">
        <v>5.3</v>
      </c>
      <c r="C10" s="134">
        <v>5.8</v>
      </c>
      <c r="D10" s="134">
        <v>6.2</v>
      </c>
      <c r="E10" s="134">
        <v>6.5</v>
      </c>
      <c r="F10" s="134">
        <v>6.7</v>
      </c>
      <c r="G10" s="134">
        <v>6.8</v>
      </c>
      <c r="H10" s="134">
        <v>6.65</v>
      </c>
      <c r="I10" s="134">
        <v>6.5</v>
      </c>
      <c r="J10" s="134">
        <v>6.35</v>
      </c>
      <c r="K10" s="134">
        <v>6.2</v>
      </c>
      <c r="L10" s="134">
        <v>6.05</v>
      </c>
      <c r="M10" s="134">
        <v>5.9</v>
      </c>
      <c r="N10" s="134">
        <v>5.75</v>
      </c>
      <c r="O10" s="134">
        <v>5.6</v>
      </c>
      <c r="P10" s="134">
        <v>5.45</v>
      </c>
      <c r="Q10" s="134">
        <v>5.25</v>
      </c>
      <c r="R10" s="134">
        <v>5.05</v>
      </c>
      <c r="S10" s="134">
        <v>4.75</v>
      </c>
      <c r="T10" s="134">
        <v>4.4000000000000004</v>
      </c>
      <c r="U10" s="134">
        <v>4</v>
      </c>
      <c r="V10" s="134">
        <v>3.55</v>
      </c>
      <c r="W10" s="134">
        <v>3.05</v>
      </c>
      <c r="X10" s="88"/>
      <c r="Y10" s="87">
        <v>8.5</v>
      </c>
      <c r="Z10" s="87">
        <f t="shared" si="0"/>
        <v>7.5</v>
      </c>
      <c r="AA10" s="87">
        <v>100</v>
      </c>
      <c r="AB10" s="87">
        <v>100</v>
      </c>
      <c r="AC10" s="87">
        <v>100</v>
      </c>
      <c r="AD10" s="87">
        <v>100</v>
      </c>
      <c r="AE10" s="87">
        <v>100</v>
      </c>
      <c r="AF10" s="87">
        <v>100</v>
      </c>
      <c r="AG10" s="87">
        <v>100</v>
      </c>
      <c r="AH10" s="87">
        <v>100</v>
      </c>
      <c r="AI10" s="87">
        <v>100</v>
      </c>
      <c r="AJ10" s="87">
        <v>100</v>
      </c>
      <c r="AK10" s="87">
        <v>100</v>
      </c>
      <c r="AL10" s="87">
        <v>100</v>
      </c>
      <c r="AM10" s="87">
        <v>100</v>
      </c>
      <c r="AN10" s="87">
        <v>100</v>
      </c>
      <c r="AO10" s="87">
        <v>100</v>
      </c>
      <c r="AP10" s="87">
        <v>100</v>
      </c>
      <c r="AQ10" s="87">
        <v>100</v>
      </c>
      <c r="AR10" s="87">
        <v>98</v>
      </c>
      <c r="AS10" s="87">
        <v>94</v>
      </c>
      <c r="AT10" s="87">
        <v>99.58</v>
      </c>
    </row>
    <row r="11" spans="1:46" ht="15.75" thickBot="1" x14ac:dyDescent="0.3">
      <c r="A11" s="133">
        <v>0.13</v>
      </c>
      <c r="B11" s="91">
        <v>5.52</v>
      </c>
      <c r="C11" s="91">
        <v>6.02</v>
      </c>
      <c r="D11" s="91">
        <v>6.42</v>
      </c>
      <c r="E11" s="91">
        <v>6.72</v>
      </c>
      <c r="F11" s="91">
        <v>6.92</v>
      </c>
      <c r="G11" s="134">
        <v>7.02</v>
      </c>
      <c r="H11" s="91">
        <v>6.87</v>
      </c>
      <c r="I11" s="91">
        <v>6.72</v>
      </c>
      <c r="J11" s="91">
        <v>6.57</v>
      </c>
      <c r="K11" s="91">
        <v>6.42</v>
      </c>
      <c r="L11" s="91">
        <v>6.27</v>
      </c>
      <c r="M11" s="91">
        <v>6.12</v>
      </c>
      <c r="N11" s="91">
        <v>5.97</v>
      </c>
      <c r="O11" s="91">
        <v>5.82</v>
      </c>
      <c r="P11" s="91">
        <v>5.67</v>
      </c>
      <c r="Q11" s="91">
        <v>5.47</v>
      </c>
      <c r="R11" s="91">
        <v>5.27</v>
      </c>
      <c r="S11" s="91">
        <v>4.97</v>
      </c>
      <c r="T11" s="91">
        <v>4.62</v>
      </c>
      <c r="U11" s="91">
        <v>4.22</v>
      </c>
      <c r="V11" s="91">
        <v>3.7699999999999996</v>
      </c>
      <c r="W11" s="91">
        <v>3.2699999999999996</v>
      </c>
      <c r="X11" s="92"/>
      <c r="Y11" s="87">
        <v>8.4</v>
      </c>
      <c r="Z11" s="87">
        <f t="shared" si="0"/>
        <v>7.4</v>
      </c>
      <c r="AA11" s="87">
        <v>100</v>
      </c>
      <c r="AB11" s="87">
        <v>100</v>
      </c>
      <c r="AC11" s="87">
        <v>100</v>
      </c>
      <c r="AD11" s="87">
        <v>100</v>
      </c>
      <c r="AE11" s="87">
        <v>100</v>
      </c>
      <c r="AF11" s="87">
        <v>100</v>
      </c>
      <c r="AG11" s="87">
        <v>100</v>
      </c>
      <c r="AH11" s="87">
        <v>100</v>
      </c>
      <c r="AI11" s="87">
        <v>100</v>
      </c>
      <c r="AJ11" s="87">
        <v>100</v>
      </c>
      <c r="AK11" s="87">
        <v>100</v>
      </c>
      <c r="AL11" s="87">
        <v>100</v>
      </c>
      <c r="AM11" s="87">
        <v>100</v>
      </c>
      <c r="AN11" s="87">
        <v>100</v>
      </c>
      <c r="AO11" s="87">
        <v>100</v>
      </c>
      <c r="AP11" s="87">
        <v>100</v>
      </c>
      <c r="AQ11" s="87">
        <v>99</v>
      </c>
      <c r="AR11" s="87">
        <v>96</v>
      </c>
      <c r="AS11" s="87">
        <v>93</v>
      </c>
      <c r="AT11" s="87">
        <v>99.37</v>
      </c>
    </row>
    <row r="12" spans="1:46" ht="15.75" thickBot="1" x14ac:dyDescent="0.3">
      <c r="A12" s="133">
        <v>0.14000000000000001</v>
      </c>
      <c r="B12" s="91">
        <v>5.72</v>
      </c>
      <c r="C12" s="91">
        <v>6.22</v>
      </c>
      <c r="D12" s="91">
        <v>6.62</v>
      </c>
      <c r="E12" s="91">
        <v>6.92</v>
      </c>
      <c r="F12" s="91">
        <v>7.1199999999999992</v>
      </c>
      <c r="G12" s="134">
        <v>7.2200000000000006</v>
      </c>
      <c r="H12" s="91">
        <v>7.07</v>
      </c>
      <c r="I12" s="91">
        <v>6.92</v>
      </c>
      <c r="J12" s="91">
        <v>6.77</v>
      </c>
      <c r="K12" s="91">
        <v>6.62</v>
      </c>
      <c r="L12" s="91">
        <v>6.47</v>
      </c>
      <c r="M12" s="91">
        <v>6.32</v>
      </c>
      <c r="N12" s="91">
        <v>6.17</v>
      </c>
      <c r="O12" s="91">
        <v>6.02</v>
      </c>
      <c r="P12" s="91">
        <v>5.87</v>
      </c>
      <c r="Q12" s="91">
        <v>5.67</v>
      </c>
      <c r="R12" s="91">
        <v>5.47</v>
      </c>
      <c r="S12" s="91">
        <v>5.17</v>
      </c>
      <c r="T12" s="91">
        <v>4.82</v>
      </c>
      <c r="U12" s="91">
        <v>4.42</v>
      </c>
      <c r="V12" s="91">
        <v>3.9699999999999998</v>
      </c>
      <c r="W12" s="91">
        <v>3.4699999999999998</v>
      </c>
      <c r="X12" s="92"/>
      <c r="Y12" s="87">
        <v>8.3000000000000007</v>
      </c>
      <c r="Z12" s="87">
        <f t="shared" si="0"/>
        <v>7.3000000000000007</v>
      </c>
      <c r="AA12" s="87">
        <v>100</v>
      </c>
      <c r="AB12" s="87">
        <v>100</v>
      </c>
      <c r="AC12" s="87">
        <v>100</v>
      </c>
      <c r="AD12" s="87">
        <v>100</v>
      </c>
      <c r="AE12" s="87">
        <v>100</v>
      </c>
      <c r="AF12" s="87">
        <v>100</v>
      </c>
      <c r="AG12" s="87">
        <v>100</v>
      </c>
      <c r="AH12" s="87">
        <v>100</v>
      </c>
      <c r="AI12" s="87">
        <v>100</v>
      </c>
      <c r="AJ12" s="87">
        <v>100</v>
      </c>
      <c r="AK12" s="87">
        <v>100</v>
      </c>
      <c r="AL12" s="87">
        <v>100</v>
      </c>
      <c r="AM12" s="87">
        <v>100</v>
      </c>
      <c r="AN12" s="87">
        <v>100</v>
      </c>
      <c r="AO12" s="87">
        <v>100</v>
      </c>
      <c r="AP12" s="87">
        <v>100</v>
      </c>
      <c r="AQ12" s="87">
        <v>99</v>
      </c>
      <c r="AR12" s="87">
        <v>95</v>
      </c>
      <c r="AS12" s="87">
        <v>92</v>
      </c>
      <c r="AT12" s="87">
        <v>99.26</v>
      </c>
    </row>
    <row r="13" spans="1:46" ht="15.75" thickBot="1" x14ac:dyDescent="0.3">
      <c r="A13" s="133">
        <v>0.15</v>
      </c>
      <c r="B13" s="91">
        <v>5.91</v>
      </c>
      <c r="C13" s="91">
        <v>6.41</v>
      </c>
      <c r="D13" s="91">
        <v>6.81</v>
      </c>
      <c r="E13" s="91">
        <v>7.1099999999999994</v>
      </c>
      <c r="F13" s="91">
        <v>7.3100000000000005</v>
      </c>
      <c r="G13" s="134">
        <v>7.41</v>
      </c>
      <c r="H13" s="91">
        <v>7.26</v>
      </c>
      <c r="I13" s="91">
        <v>7.1099999999999994</v>
      </c>
      <c r="J13" s="91">
        <v>6.96</v>
      </c>
      <c r="K13" s="91">
        <v>6.81</v>
      </c>
      <c r="L13" s="91">
        <v>6.66</v>
      </c>
      <c r="M13" s="91">
        <v>6.51</v>
      </c>
      <c r="N13" s="91">
        <v>6.36</v>
      </c>
      <c r="O13" s="91">
        <v>6.21</v>
      </c>
      <c r="P13" s="91">
        <v>6.06</v>
      </c>
      <c r="Q13" s="91">
        <v>5.86</v>
      </c>
      <c r="R13" s="91">
        <v>5.66</v>
      </c>
      <c r="S13" s="91">
        <v>5.36</v>
      </c>
      <c r="T13" s="91">
        <v>5.01</v>
      </c>
      <c r="U13" s="91">
        <v>4.6100000000000003</v>
      </c>
      <c r="V13" s="91">
        <v>4.16</v>
      </c>
      <c r="W13" s="91">
        <v>3.66</v>
      </c>
      <c r="X13" s="92"/>
      <c r="Y13" s="87">
        <v>8.1999999999999993</v>
      </c>
      <c r="Z13" s="87">
        <f t="shared" si="0"/>
        <v>7.1999999999999993</v>
      </c>
      <c r="AA13" s="87">
        <v>100</v>
      </c>
      <c r="AB13" s="87">
        <v>100</v>
      </c>
      <c r="AC13" s="87">
        <v>100</v>
      </c>
      <c r="AD13" s="87">
        <v>100</v>
      </c>
      <c r="AE13" s="87">
        <v>100</v>
      </c>
      <c r="AF13" s="87">
        <v>100</v>
      </c>
      <c r="AG13" s="87">
        <v>100</v>
      </c>
      <c r="AH13" s="87">
        <v>100</v>
      </c>
      <c r="AI13" s="87">
        <v>100</v>
      </c>
      <c r="AJ13" s="87">
        <v>100</v>
      </c>
      <c r="AK13" s="87">
        <v>100</v>
      </c>
      <c r="AL13" s="87">
        <v>100</v>
      </c>
      <c r="AM13" s="87">
        <v>100</v>
      </c>
      <c r="AN13" s="87">
        <v>100</v>
      </c>
      <c r="AO13" s="87">
        <v>100</v>
      </c>
      <c r="AP13" s="87">
        <v>100</v>
      </c>
      <c r="AQ13" s="87">
        <v>97</v>
      </c>
      <c r="AR13" s="87">
        <v>94</v>
      </c>
      <c r="AS13" s="87">
        <v>91</v>
      </c>
      <c r="AT13" s="87">
        <v>99.05</v>
      </c>
    </row>
    <row r="14" spans="1:46" ht="15.75" thickBot="1" x14ac:dyDescent="0.3">
      <c r="A14" s="133">
        <v>0.16</v>
      </c>
      <c r="B14" s="91">
        <v>6.09</v>
      </c>
      <c r="C14" s="91">
        <v>6.59</v>
      </c>
      <c r="D14" s="91">
        <v>6.99</v>
      </c>
      <c r="E14" s="91">
        <v>7.2899999999999991</v>
      </c>
      <c r="F14" s="91">
        <v>7.49</v>
      </c>
      <c r="G14" s="134">
        <v>7.59</v>
      </c>
      <c r="H14" s="91">
        <v>7.4399999999999995</v>
      </c>
      <c r="I14" s="91">
        <v>7.2899999999999991</v>
      </c>
      <c r="J14" s="91">
        <v>7.1400000000000006</v>
      </c>
      <c r="K14" s="91">
        <v>6.99</v>
      </c>
      <c r="L14" s="91">
        <v>6.84</v>
      </c>
      <c r="M14" s="91">
        <v>6.69</v>
      </c>
      <c r="N14" s="91">
        <v>6.54</v>
      </c>
      <c r="O14" s="91">
        <v>6.39</v>
      </c>
      <c r="P14" s="91">
        <v>6.24</v>
      </c>
      <c r="Q14" s="91">
        <v>6.04</v>
      </c>
      <c r="R14" s="91">
        <v>5.84</v>
      </c>
      <c r="S14" s="91">
        <v>5.54</v>
      </c>
      <c r="T14" s="91">
        <v>5.19</v>
      </c>
      <c r="U14" s="91">
        <v>4.79</v>
      </c>
      <c r="V14" s="91">
        <v>4.34</v>
      </c>
      <c r="W14" s="91">
        <v>3.84</v>
      </c>
      <c r="X14" s="92"/>
      <c r="Y14" s="87">
        <v>8.1</v>
      </c>
      <c r="Z14" s="87">
        <f t="shared" si="0"/>
        <v>7.1</v>
      </c>
      <c r="AA14" s="87">
        <v>100</v>
      </c>
      <c r="AB14" s="87">
        <v>100</v>
      </c>
      <c r="AC14" s="87">
        <v>100</v>
      </c>
      <c r="AD14" s="87">
        <v>100</v>
      </c>
      <c r="AE14" s="87">
        <v>100</v>
      </c>
      <c r="AF14" s="87">
        <v>100</v>
      </c>
      <c r="AG14" s="87">
        <v>100</v>
      </c>
      <c r="AH14" s="87">
        <v>100</v>
      </c>
      <c r="AI14" s="87">
        <v>100</v>
      </c>
      <c r="AJ14" s="87">
        <v>100</v>
      </c>
      <c r="AK14" s="87">
        <v>100</v>
      </c>
      <c r="AL14" s="87">
        <v>100</v>
      </c>
      <c r="AM14" s="87">
        <v>100</v>
      </c>
      <c r="AN14" s="87">
        <v>100</v>
      </c>
      <c r="AO14" s="87">
        <v>100</v>
      </c>
      <c r="AP14" s="87">
        <v>100</v>
      </c>
      <c r="AQ14" s="87">
        <v>97</v>
      </c>
      <c r="AR14" s="87">
        <v>93</v>
      </c>
      <c r="AS14" s="87">
        <v>90</v>
      </c>
      <c r="AT14" s="87">
        <v>98.95</v>
      </c>
    </row>
    <row r="15" spans="1:46" ht="19.5" thickBot="1" x14ac:dyDescent="0.35">
      <c r="A15" s="133">
        <v>0.17</v>
      </c>
      <c r="B15" s="134">
        <v>6.25</v>
      </c>
      <c r="C15" s="134">
        <v>6.75</v>
      </c>
      <c r="D15" s="134">
        <v>7.15</v>
      </c>
      <c r="E15" s="134">
        <v>7.4499999999999993</v>
      </c>
      <c r="F15" s="134">
        <v>7.65</v>
      </c>
      <c r="G15" s="134">
        <v>7.75</v>
      </c>
      <c r="H15" s="134">
        <v>7.6</v>
      </c>
      <c r="I15" s="134">
        <v>7.4499999999999993</v>
      </c>
      <c r="J15" s="134">
        <v>7.3000000000000007</v>
      </c>
      <c r="K15" s="134">
        <v>7.15</v>
      </c>
      <c r="L15" s="134">
        <v>7</v>
      </c>
      <c r="M15" s="134">
        <v>6.85</v>
      </c>
      <c r="N15" s="134">
        <v>6.7</v>
      </c>
      <c r="O15" s="134">
        <v>6.55</v>
      </c>
      <c r="P15" s="134">
        <v>6.4</v>
      </c>
      <c r="Q15" s="134">
        <v>6.2</v>
      </c>
      <c r="R15" s="134">
        <v>6</v>
      </c>
      <c r="S15" s="134">
        <v>5.7</v>
      </c>
      <c r="T15" s="134">
        <v>5.35</v>
      </c>
      <c r="U15" s="134">
        <v>4.95</v>
      </c>
      <c r="V15" s="134">
        <v>4.5</v>
      </c>
      <c r="W15" s="134">
        <v>4</v>
      </c>
      <c r="X15" s="93"/>
      <c r="Y15" s="87">
        <v>8</v>
      </c>
      <c r="Z15" s="87">
        <f t="shared" si="0"/>
        <v>7</v>
      </c>
      <c r="AA15" s="87">
        <v>100</v>
      </c>
      <c r="AB15" s="87">
        <v>100</v>
      </c>
      <c r="AC15" s="87">
        <v>100</v>
      </c>
      <c r="AD15" s="87">
        <v>100</v>
      </c>
      <c r="AE15" s="87">
        <v>100</v>
      </c>
      <c r="AF15" s="87">
        <v>100</v>
      </c>
      <c r="AG15" s="87">
        <v>100</v>
      </c>
      <c r="AH15" s="87">
        <v>100</v>
      </c>
      <c r="AI15" s="87">
        <v>100</v>
      </c>
      <c r="AJ15" s="87">
        <v>99</v>
      </c>
      <c r="AK15" s="87">
        <v>100</v>
      </c>
      <c r="AL15" s="87">
        <v>100</v>
      </c>
      <c r="AM15" s="87">
        <v>100</v>
      </c>
      <c r="AN15" s="87">
        <v>100</v>
      </c>
      <c r="AO15" s="87">
        <v>100</v>
      </c>
      <c r="AP15" s="87">
        <v>99</v>
      </c>
      <c r="AQ15" s="87">
        <v>95</v>
      </c>
      <c r="AR15" s="87">
        <v>92</v>
      </c>
      <c r="AS15" s="87">
        <v>89</v>
      </c>
      <c r="AT15" s="87">
        <v>98.63</v>
      </c>
    </row>
    <row r="16" spans="1:46" ht="15.75" thickBot="1" x14ac:dyDescent="0.3">
      <c r="A16" s="133">
        <v>0.18</v>
      </c>
      <c r="B16" s="91">
        <v>6.4</v>
      </c>
      <c r="C16" s="91">
        <v>6.9</v>
      </c>
      <c r="D16" s="91">
        <v>7.3000000000000007</v>
      </c>
      <c r="E16" s="91">
        <v>7.6</v>
      </c>
      <c r="F16" s="91">
        <v>7.8000000000000007</v>
      </c>
      <c r="G16" s="134">
        <v>7.9</v>
      </c>
      <c r="H16" s="91">
        <v>7.75</v>
      </c>
      <c r="I16" s="91">
        <v>7.6</v>
      </c>
      <c r="J16" s="91">
        <v>7.4499999999999993</v>
      </c>
      <c r="K16" s="91">
        <v>7.3000000000000007</v>
      </c>
      <c r="L16" s="91">
        <v>7.15</v>
      </c>
      <c r="M16" s="91">
        <v>7</v>
      </c>
      <c r="N16" s="91">
        <v>6.85</v>
      </c>
      <c r="O16" s="91">
        <v>6.7</v>
      </c>
      <c r="P16" s="91">
        <v>6.55</v>
      </c>
      <c r="Q16" s="91">
        <v>6.35</v>
      </c>
      <c r="R16" s="91">
        <v>6.15</v>
      </c>
      <c r="S16" s="91">
        <v>5.85</v>
      </c>
      <c r="T16" s="91">
        <v>5.5</v>
      </c>
      <c r="U16" s="91">
        <v>5.0999999999999996</v>
      </c>
      <c r="V16" s="91">
        <v>4.6500000000000004</v>
      </c>
      <c r="W16" s="91">
        <v>4.1500000000000004</v>
      </c>
      <c r="X16" s="92"/>
      <c r="Y16" s="87">
        <v>7.9</v>
      </c>
      <c r="Z16" s="87">
        <f t="shared" si="0"/>
        <v>6.9</v>
      </c>
      <c r="AA16" s="87">
        <v>100</v>
      </c>
      <c r="AB16" s="87">
        <v>100</v>
      </c>
      <c r="AC16" s="87">
        <v>100</v>
      </c>
      <c r="AD16" s="87">
        <v>100</v>
      </c>
      <c r="AE16" s="87">
        <v>100</v>
      </c>
      <c r="AF16" s="87">
        <v>100</v>
      </c>
      <c r="AG16" s="87">
        <v>100</v>
      </c>
      <c r="AH16" s="87">
        <v>100</v>
      </c>
      <c r="AI16" s="87">
        <v>100</v>
      </c>
      <c r="AJ16" s="87">
        <v>99</v>
      </c>
      <c r="AK16" s="87">
        <v>100</v>
      </c>
      <c r="AL16" s="87">
        <v>100</v>
      </c>
      <c r="AM16" s="87">
        <v>100</v>
      </c>
      <c r="AN16" s="87">
        <v>100</v>
      </c>
      <c r="AO16" s="87">
        <v>100</v>
      </c>
      <c r="AP16" s="87">
        <v>98</v>
      </c>
      <c r="AQ16" s="87">
        <v>95</v>
      </c>
      <c r="AR16" s="87">
        <v>92</v>
      </c>
      <c r="AS16" s="87">
        <v>88</v>
      </c>
      <c r="AT16" s="87">
        <v>98.53</v>
      </c>
    </row>
    <row r="17" spans="1:46" ht="15.75" thickBot="1" x14ac:dyDescent="0.3">
      <c r="A17" s="133">
        <v>0.19</v>
      </c>
      <c r="B17" s="91">
        <v>6.54</v>
      </c>
      <c r="C17" s="91">
        <v>7.0399999999999991</v>
      </c>
      <c r="D17" s="91">
        <v>7.4399999999999995</v>
      </c>
      <c r="E17" s="91">
        <v>7.74</v>
      </c>
      <c r="F17" s="91">
        <v>7.9399999999999995</v>
      </c>
      <c r="G17" s="134">
        <v>8.0399999999999991</v>
      </c>
      <c r="H17" s="91">
        <v>7.8900000000000006</v>
      </c>
      <c r="I17" s="91">
        <v>7.74</v>
      </c>
      <c r="J17" s="91">
        <v>7.59</v>
      </c>
      <c r="K17" s="91">
        <v>7.4399999999999995</v>
      </c>
      <c r="L17" s="91">
        <v>7.2899999999999991</v>
      </c>
      <c r="M17" s="91">
        <v>7.1400000000000006</v>
      </c>
      <c r="N17" s="91">
        <v>6.99</v>
      </c>
      <c r="O17" s="91">
        <v>6.84</v>
      </c>
      <c r="P17" s="91">
        <v>6.69</v>
      </c>
      <c r="Q17" s="91">
        <v>6.49</v>
      </c>
      <c r="R17" s="91">
        <v>6.29</v>
      </c>
      <c r="S17" s="91">
        <v>5.99</v>
      </c>
      <c r="T17" s="91">
        <v>5.64</v>
      </c>
      <c r="U17" s="91">
        <v>5.24</v>
      </c>
      <c r="V17" s="91">
        <v>4.79</v>
      </c>
      <c r="W17" s="91">
        <v>4.29</v>
      </c>
      <c r="X17" s="92"/>
      <c r="Y17" s="87">
        <v>7.8</v>
      </c>
      <c r="Z17" s="87">
        <f t="shared" si="0"/>
        <v>6.8</v>
      </c>
      <c r="AA17" s="87">
        <v>100</v>
      </c>
      <c r="AB17" s="87">
        <v>100</v>
      </c>
      <c r="AC17" s="87">
        <v>100</v>
      </c>
      <c r="AD17" s="87">
        <v>100</v>
      </c>
      <c r="AE17" s="87">
        <v>100</v>
      </c>
      <c r="AF17" s="87">
        <v>100</v>
      </c>
      <c r="AG17" s="87">
        <v>100</v>
      </c>
      <c r="AH17" s="87">
        <v>100</v>
      </c>
      <c r="AI17" s="87">
        <v>100</v>
      </c>
      <c r="AJ17" s="87">
        <v>98</v>
      </c>
      <c r="AK17" s="87">
        <v>100</v>
      </c>
      <c r="AL17" s="87">
        <v>100</v>
      </c>
      <c r="AM17" s="87">
        <v>100</v>
      </c>
      <c r="AN17" s="87">
        <v>100</v>
      </c>
      <c r="AO17" s="87">
        <v>100</v>
      </c>
      <c r="AP17" s="87">
        <v>97</v>
      </c>
      <c r="AQ17" s="87">
        <v>94</v>
      </c>
      <c r="AR17" s="87">
        <v>91</v>
      </c>
      <c r="AS17" s="87">
        <v>87</v>
      </c>
      <c r="AT17" s="87">
        <v>98.26</v>
      </c>
    </row>
    <row r="18" spans="1:46" ht="19.5" thickBot="1" x14ac:dyDescent="0.35">
      <c r="A18" s="94">
        <v>0.2</v>
      </c>
      <c r="B18" s="96">
        <v>6.67</v>
      </c>
      <c r="C18" s="96">
        <v>7.17</v>
      </c>
      <c r="D18" s="96">
        <v>7.57</v>
      </c>
      <c r="E18" s="96">
        <v>7.8699999999999992</v>
      </c>
      <c r="F18" s="96">
        <v>8.07</v>
      </c>
      <c r="G18" s="95">
        <v>8.17</v>
      </c>
      <c r="H18" s="96">
        <v>8.02</v>
      </c>
      <c r="I18" s="96">
        <v>7.8699999999999992</v>
      </c>
      <c r="J18" s="96">
        <v>7.7200000000000006</v>
      </c>
      <c r="K18" s="96">
        <v>7.57</v>
      </c>
      <c r="L18" s="96">
        <v>7.42</v>
      </c>
      <c r="M18" s="96">
        <v>7.27</v>
      </c>
      <c r="N18" s="96">
        <v>7.1199999999999992</v>
      </c>
      <c r="O18" s="96">
        <v>6.97</v>
      </c>
      <c r="P18" s="96">
        <v>6.82</v>
      </c>
      <c r="Q18" s="96">
        <v>6.62</v>
      </c>
      <c r="R18" s="96">
        <v>6.42</v>
      </c>
      <c r="S18" s="96">
        <v>6.12</v>
      </c>
      <c r="T18" s="96">
        <v>5.77</v>
      </c>
      <c r="U18" s="96">
        <v>5.37</v>
      </c>
      <c r="V18" s="96">
        <v>4.92</v>
      </c>
      <c r="W18" s="96">
        <v>4.42</v>
      </c>
      <c r="X18" s="92"/>
      <c r="Y18" s="87">
        <v>7.7</v>
      </c>
      <c r="Z18" s="87">
        <f t="shared" si="0"/>
        <v>6.7</v>
      </c>
      <c r="AA18" s="87">
        <v>100</v>
      </c>
      <c r="AB18" s="87">
        <v>100</v>
      </c>
      <c r="AC18" s="87">
        <v>100</v>
      </c>
      <c r="AD18" s="87">
        <v>100</v>
      </c>
      <c r="AE18" s="87">
        <v>100</v>
      </c>
      <c r="AF18" s="87">
        <v>100</v>
      </c>
      <c r="AG18" s="87">
        <v>100</v>
      </c>
      <c r="AH18" s="87">
        <v>100</v>
      </c>
      <c r="AI18" s="87">
        <v>100</v>
      </c>
      <c r="AJ18" s="87">
        <v>97</v>
      </c>
      <c r="AK18" s="87">
        <v>100</v>
      </c>
      <c r="AL18" s="87">
        <v>100</v>
      </c>
      <c r="AM18" s="87">
        <v>100</v>
      </c>
      <c r="AN18" s="87">
        <v>100</v>
      </c>
      <c r="AO18" s="87">
        <v>99</v>
      </c>
      <c r="AP18" s="87">
        <v>96</v>
      </c>
      <c r="AQ18" s="87">
        <v>93</v>
      </c>
      <c r="AR18" s="87">
        <v>89</v>
      </c>
      <c r="AS18" s="87">
        <v>86</v>
      </c>
      <c r="AT18" s="87">
        <v>97.89</v>
      </c>
    </row>
    <row r="19" spans="1:46" ht="16.5" customHeight="1" thickBot="1" x14ac:dyDescent="0.3">
      <c r="A19" s="89">
        <v>0.21</v>
      </c>
      <c r="B19" s="90">
        <v>6.8</v>
      </c>
      <c r="C19" s="90">
        <v>7.3000000000000007</v>
      </c>
      <c r="D19" s="90">
        <v>7.6999999999999993</v>
      </c>
      <c r="E19" s="90">
        <v>8</v>
      </c>
      <c r="F19" s="136">
        <v>8.1999999999999993</v>
      </c>
      <c r="G19" s="137">
        <v>8.3000000000000007</v>
      </c>
      <c r="H19" s="90">
        <v>8.15</v>
      </c>
      <c r="I19" s="90">
        <v>8</v>
      </c>
      <c r="J19" s="90">
        <v>7.85</v>
      </c>
      <c r="K19" s="90">
        <v>7.6999999999999993</v>
      </c>
      <c r="L19" s="90">
        <v>7.5500000000000007</v>
      </c>
      <c r="M19" s="91">
        <v>7.4</v>
      </c>
      <c r="N19" s="91">
        <v>7.25</v>
      </c>
      <c r="O19" s="91">
        <v>7.1</v>
      </c>
      <c r="P19" s="91">
        <v>6.95</v>
      </c>
      <c r="Q19" s="90">
        <v>6.75</v>
      </c>
      <c r="R19" s="90">
        <v>6.55</v>
      </c>
      <c r="S19" s="90">
        <v>6.25</v>
      </c>
      <c r="T19" s="90">
        <v>5.9</v>
      </c>
      <c r="U19" s="90">
        <v>5.5</v>
      </c>
      <c r="V19" s="90">
        <v>5.05</v>
      </c>
      <c r="W19" s="90">
        <v>4.55</v>
      </c>
      <c r="X19" s="92"/>
      <c r="Y19" s="87">
        <v>7.6</v>
      </c>
      <c r="Z19" s="87">
        <f t="shared" si="0"/>
        <v>6.6</v>
      </c>
      <c r="AA19" s="87">
        <v>100</v>
      </c>
      <c r="AB19" s="87">
        <v>100</v>
      </c>
      <c r="AC19" s="87">
        <v>100</v>
      </c>
      <c r="AD19" s="87">
        <v>100</v>
      </c>
      <c r="AE19" s="87">
        <v>100</v>
      </c>
      <c r="AF19" s="87">
        <v>100</v>
      </c>
      <c r="AG19" s="87">
        <v>100</v>
      </c>
      <c r="AH19" s="87">
        <v>100</v>
      </c>
      <c r="AI19" s="87">
        <v>100</v>
      </c>
      <c r="AJ19" s="87">
        <v>96</v>
      </c>
      <c r="AK19" s="87">
        <v>100</v>
      </c>
      <c r="AL19" s="87">
        <v>100</v>
      </c>
      <c r="AM19" s="87">
        <v>100</v>
      </c>
      <c r="AN19" s="87">
        <v>100</v>
      </c>
      <c r="AO19" s="87">
        <v>98</v>
      </c>
      <c r="AP19" s="87">
        <v>95</v>
      </c>
      <c r="AQ19" s="87">
        <v>91</v>
      </c>
      <c r="AR19" s="87">
        <v>88</v>
      </c>
      <c r="AS19" s="87">
        <v>85</v>
      </c>
      <c r="AT19" s="87">
        <v>97.53</v>
      </c>
    </row>
    <row r="20" spans="1:46" ht="16.5" customHeight="1" thickBot="1" x14ac:dyDescent="0.3">
      <c r="A20" s="89">
        <v>0.22</v>
      </c>
      <c r="B20" s="90">
        <v>6.91</v>
      </c>
      <c r="C20" s="90">
        <v>7.41</v>
      </c>
      <c r="D20" s="90">
        <v>7.8100000000000005</v>
      </c>
      <c r="E20" s="90">
        <v>8.11</v>
      </c>
      <c r="F20" s="136">
        <v>8.31</v>
      </c>
      <c r="G20" s="137">
        <v>8.33</v>
      </c>
      <c r="H20" s="90">
        <v>8.26</v>
      </c>
      <c r="I20" s="90">
        <v>8.11</v>
      </c>
      <c r="J20" s="90">
        <v>7.9600000000000009</v>
      </c>
      <c r="K20" s="90">
        <v>7.8100000000000005</v>
      </c>
      <c r="L20" s="90">
        <v>7.66</v>
      </c>
      <c r="M20" s="91">
        <v>7.51</v>
      </c>
      <c r="N20" s="91">
        <v>7.3599999999999994</v>
      </c>
      <c r="O20" s="91">
        <v>7.2100000000000009</v>
      </c>
      <c r="P20" s="91">
        <v>7.0600000000000005</v>
      </c>
      <c r="Q20" s="90">
        <v>6.86</v>
      </c>
      <c r="R20" s="90">
        <v>6.66</v>
      </c>
      <c r="S20" s="90">
        <v>6.36</v>
      </c>
      <c r="T20" s="90">
        <v>6.01</v>
      </c>
      <c r="U20" s="90">
        <v>5.61</v>
      </c>
      <c r="V20" s="90">
        <v>5.16</v>
      </c>
      <c r="W20" s="90">
        <v>4.66</v>
      </c>
      <c r="X20" s="92"/>
      <c r="Y20" s="87">
        <v>7.5</v>
      </c>
      <c r="Z20" s="87">
        <f t="shared" si="0"/>
        <v>6.5</v>
      </c>
      <c r="AA20" s="87">
        <v>100</v>
      </c>
      <c r="AB20" s="87">
        <v>100</v>
      </c>
      <c r="AC20" s="87">
        <v>100</v>
      </c>
      <c r="AD20" s="87">
        <v>100</v>
      </c>
      <c r="AE20" s="87">
        <v>100</v>
      </c>
      <c r="AF20" s="87">
        <v>100</v>
      </c>
      <c r="AG20" s="87">
        <v>100</v>
      </c>
      <c r="AH20" s="87">
        <v>100</v>
      </c>
      <c r="AI20" s="87">
        <v>100</v>
      </c>
      <c r="AJ20" s="87">
        <v>96</v>
      </c>
      <c r="AK20" s="87">
        <v>100</v>
      </c>
      <c r="AL20" s="87">
        <v>100</v>
      </c>
      <c r="AM20" s="87">
        <v>100</v>
      </c>
      <c r="AN20" s="87">
        <v>100</v>
      </c>
      <c r="AO20" s="87">
        <v>98</v>
      </c>
      <c r="AP20" s="87">
        <v>95</v>
      </c>
      <c r="AQ20" s="87">
        <v>91</v>
      </c>
      <c r="AR20" s="87">
        <v>88</v>
      </c>
      <c r="AS20" s="87">
        <v>84</v>
      </c>
      <c r="AT20" s="87">
        <v>97.47</v>
      </c>
    </row>
    <row r="21" spans="1:46" ht="16.5" customHeight="1" thickBot="1" x14ac:dyDescent="0.3">
      <c r="A21" s="89">
        <v>0.23</v>
      </c>
      <c r="B21" s="90">
        <v>7.01</v>
      </c>
      <c r="C21" s="90">
        <v>7.51</v>
      </c>
      <c r="D21" s="90">
        <v>7.91</v>
      </c>
      <c r="E21" s="90">
        <v>8.2100000000000009</v>
      </c>
      <c r="F21" s="136">
        <v>8.33</v>
      </c>
      <c r="G21" s="137">
        <v>8.33</v>
      </c>
      <c r="H21" s="90">
        <v>8.33</v>
      </c>
      <c r="I21" s="90">
        <v>8.2100000000000009</v>
      </c>
      <c r="J21" s="90">
        <v>8.06</v>
      </c>
      <c r="K21" s="90">
        <v>7.91</v>
      </c>
      <c r="L21" s="90">
        <v>7.76</v>
      </c>
      <c r="M21" s="91">
        <v>7.6099999999999994</v>
      </c>
      <c r="N21" s="91">
        <v>7.4600000000000009</v>
      </c>
      <c r="O21" s="91">
        <v>7.3100000000000005</v>
      </c>
      <c r="P21" s="91">
        <v>7.16</v>
      </c>
      <c r="Q21" s="90">
        <v>6.96</v>
      </c>
      <c r="R21" s="90">
        <v>6.76</v>
      </c>
      <c r="S21" s="90">
        <v>6.46</v>
      </c>
      <c r="T21" s="90">
        <v>6.11</v>
      </c>
      <c r="U21" s="90">
        <v>5.71</v>
      </c>
      <c r="V21" s="90">
        <v>5.26</v>
      </c>
      <c r="W21" s="90">
        <v>4.76</v>
      </c>
      <c r="X21" s="92"/>
      <c r="Y21" s="87">
        <v>7.4</v>
      </c>
      <c r="Z21" s="87">
        <f t="shared" si="0"/>
        <v>6.4</v>
      </c>
      <c r="AA21" s="87">
        <v>100</v>
      </c>
      <c r="AB21" s="87">
        <v>100</v>
      </c>
      <c r="AC21" s="87">
        <v>100</v>
      </c>
      <c r="AD21" s="87">
        <v>100</v>
      </c>
      <c r="AE21" s="87">
        <v>100</v>
      </c>
      <c r="AF21" s="87">
        <v>100</v>
      </c>
      <c r="AG21" s="87">
        <v>100</v>
      </c>
      <c r="AH21" s="87">
        <v>100</v>
      </c>
      <c r="AI21" s="87">
        <v>99</v>
      </c>
      <c r="AJ21" s="87">
        <v>96</v>
      </c>
      <c r="AK21" s="87">
        <v>100</v>
      </c>
      <c r="AL21" s="87">
        <v>100</v>
      </c>
      <c r="AM21" s="87">
        <v>100</v>
      </c>
      <c r="AN21" s="87">
        <v>100</v>
      </c>
      <c r="AO21" s="87">
        <v>97</v>
      </c>
      <c r="AP21" s="87">
        <v>94</v>
      </c>
      <c r="AQ21" s="87">
        <v>90</v>
      </c>
      <c r="AR21" s="87">
        <v>87</v>
      </c>
      <c r="AS21" s="87">
        <v>83</v>
      </c>
      <c r="AT21" s="87">
        <v>97.16</v>
      </c>
    </row>
    <row r="22" spans="1:46" ht="16.5" customHeight="1" thickBot="1" x14ac:dyDescent="0.3">
      <c r="A22" s="89">
        <v>0.24</v>
      </c>
      <c r="B22" s="90">
        <v>7.1099999999999994</v>
      </c>
      <c r="C22" s="90">
        <v>7.6099999999999994</v>
      </c>
      <c r="D22" s="90">
        <v>8.01</v>
      </c>
      <c r="E22" s="90">
        <v>8.31</v>
      </c>
      <c r="F22" s="136">
        <v>8.33</v>
      </c>
      <c r="G22" s="137">
        <v>8.33</v>
      </c>
      <c r="H22" s="90">
        <v>8.33</v>
      </c>
      <c r="I22" s="90">
        <v>8.31</v>
      </c>
      <c r="J22" s="90">
        <v>8.16</v>
      </c>
      <c r="K22" s="90">
        <v>8.01</v>
      </c>
      <c r="L22" s="90">
        <v>7.8599999999999994</v>
      </c>
      <c r="M22" s="91">
        <v>7.7100000000000009</v>
      </c>
      <c r="N22" s="91">
        <v>7.5600000000000005</v>
      </c>
      <c r="O22" s="91">
        <v>7.41</v>
      </c>
      <c r="P22" s="91">
        <v>7.26</v>
      </c>
      <c r="Q22" s="90">
        <v>7.0600000000000005</v>
      </c>
      <c r="R22" s="90">
        <v>6.86</v>
      </c>
      <c r="S22" s="90">
        <v>6.56</v>
      </c>
      <c r="T22" s="90">
        <v>6.21</v>
      </c>
      <c r="U22" s="90">
        <v>5.81</v>
      </c>
      <c r="V22" s="90">
        <v>5.36</v>
      </c>
      <c r="W22" s="90">
        <v>4.8600000000000003</v>
      </c>
      <c r="X22" s="92"/>
      <c r="Y22" s="87">
        <v>7.3</v>
      </c>
      <c r="Z22" s="87">
        <f t="shared" si="0"/>
        <v>6.3</v>
      </c>
      <c r="AA22" s="87">
        <v>100</v>
      </c>
      <c r="AB22" s="87">
        <v>100</v>
      </c>
      <c r="AC22" s="87">
        <v>100</v>
      </c>
      <c r="AD22" s="87">
        <v>100</v>
      </c>
      <c r="AE22" s="87">
        <v>100</v>
      </c>
      <c r="AF22" s="87">
        <v>100</v>
      </c>
      <c r="AG22" s="87">
        <v>100</v>
      </c>
      <c r="AH22" s="87">
        <v>100</v>
      </c>
      <c r="AI22" s="87">
        <v>98</v>
      </c>
      <c r="AJ22" s="87">
        <v>95</v>
      </c>
      <c r="AK22" s="87">
        <v>100</v>
      </c>
      <c r="AL22" s="87">
        <v>100</v>
      </c>
      <c r="AM22" s="87">
        <v>100</v>
      </c>
      <c r="AN22" s="87">
        <v>100</v>
      </c>
      <c r="AO22" s="87">
        <v>96</v>
      </c>
      <c r="AP22" s="87">
        <v>93</v>
      </c>
      <c r="AQ22" s="87">
        <v>89</v>
      </c>
      <c r="AR22" s="87">
        <v>86</v>
      </c>
      <c r="AS22" s="87">
        <v>82</v>
      </c>
      <c r="AT22" s="87">
        <v>96.79</v>
      </c>
    </row>
    <row r="23" spans="1:46" ht="19.5" thickBot="1" x14ac:dyDescent="0.35">
      <c r="A23" s="94">
        <v>0.25</v>
      </c>
      <c r="B23" s="96">
        <v>7.1999999999999993</v>
      </c>
      <c r="C23" s="96">
        <v>7.6999999999999993</v>
      </c>
      <c r="D23" s="96">
        <v>8.1</v>
      </c>
      <c r="E23" s="96">
        <v>8.33</v>
      </c>
      <c r="F23" s="96">
        <v>8.33</v>
      </c>
      <c r="G23" s="95">
        <v>8.33</v>
      </c>
      <c r="H23" s="96">
        <v>8.33</v>
      </c>
      <c r="I23" s="96">
        <v>8.33</v>
      </c>
      <c r="J23" s="96">
        <v>8.25</v>
      </c>
      <c r="K23" s="96">
        <v>8.1</v>
      </c>
      <c r="L23" s="96">
        <v>7.9499999999999993</v>
      </c>
      <c r="M23" s="96">
        <v>7.8000000000000007</v>
      </c>
      <c r="N23" s="96">
        <v>7.65</v>
      </c>
      <c r="O23" s="96">
        <v>7.5</v>
      </c>
      <c r="P23" s="96">
        <v>7.35</v>
      </c>
      <c r="Q23" s="96">
        <v>7.15</v>
      </c>
      <c r="R23" s="96">
        <v>6.95</v>
      </c>
      <c r="S23" s="96">
        <v>6.65</v>
      </c>
      <c r="T23" s="96">
        <v>6.3</v>
      </c>
      <c r="U23" s="96">
        <v>5.9</v>
      </c>
      <c r="V23" s="96">
        <v>5.45</v>
      </c>
      <c r="W23" s="96">
        <v>4.95</v>
      </c>
      <c r="X23" s="92"/>
      <c r="Y23" s="87">
        <v>7.2</v>
      </c>
      <c r="Z23" s="87">
        <f t="shared" si="0"/>
        <v>6.2</v>
      </c>
      <c r="AA23" s="87">
        <v>100</v>
      </c>
      <c r="AB23" s="87">
        <v>100</v>
      </c>
      <c r="AC23" s="87">
        <v>100</v>
      </c>
      <c r="AD23" s="87">
        <v>100</v>
      </c>
      <c r="AE23" s="87">
        <v>100</v>
      </c>
      <c r="AF23" s="87">
        <v>100</v>
      </c>
      <c r="AG23" s="87">
        <v>100</v>
      </c>
      <c r="AH23" s="87">
        <v>100</v>
      </c>
      <c r="AI23" s="87">
        <v>98</v>
      </c>
      <c r="AJ23" s="87">
        <v>94</v>
      </c>
      <c r="AK23" s="87">
        <v>100</v>
      </c>
      <c r="AL23" s="87">
        <v>100</v>
      </c>
      <c r="AM23" s="87">
        <v>100</v>
      </c>
      <c r="AN23" s="87">
        <v>99</v>
      </c>
      <c r="AO23" s="87">
        <v>95</v>
      </c>
      <c r="AP23" s="87">
        <v>92</v>
      </c>
      <c r="AQ23" s="87">
        <v>88</v>
      </c>
      <c r="AR23" s="87">
        <v>85</v>
      </c>
      <c r="AS23" s="87">
        <v>81</v>
      </c>
      <c r="AT23" s="87">
        <v>96.42</v>
      </c>
    </row>
    <row r="24" spans="1:46" ht="16.5" thickBot="1" x14ac:dyDescent="0.3">
      <c r="A24" s="89">
        <v>0.26</v>
      </c>
      <c r="B24" s="90">
        <v>7.2799999999999994</v>
      </c>
      <c r="C24" s="90">
        <v>7.7799999999999994</v>
      </c>
      <c r="D24" s="90">
        <v>8.18</v>
      </c>
      <c r="E24" s="90">
        <v>8.33</v>
      </c>
      <c r="F24" s="136">
        <v>8.33</v>
      </c>
      <c r="G24" s="137">
        <v>8.33</v>
      </c>
      <c r="H24" s="90">
        <v>8.33</v>
      </c>
      <c r="I24" s="90">
        <v>8.33</v>
      </c>
      <c r="J24" s="90">
        <v>8.33</v>
      </c>
      <c r="K24" s="90">
        <v>8.18</v>
      </c>
      <c r="L24" s="90">
        <v>8.0299999999999994</v>
      </c>
      <c r="M24" s="91">
        <v>7.8800000000000008</v>
      </c>
      <c r="N24" s="91">
        <v>7.73</v>
      </c>
      <c r="O24" s="91">
        <v>7.58</v>
      </c>
      <c r="P24" s="91">
        <v>7.43</v>
      </c>
      <c r="Q24" s="90">
        <v>7.23</v>
      </c>
      <c r="R24" s="90">
        <v>7.0299999999999994</v>
      </c>
      <c r="S24" s="90">
        <v>6.73</v>
      </c>
      <c r="T24" s="90">
        <v>6.38</v>
      </c>
      <c r="U24" s="90">
        <v>5.98</v>
      </c>
      <c r="V24" s="90">
        <v>5.53</v>
      </c>
      <c r="W24" s="90">
        <v>5.03</v>
      </c>
      <c r="X24" s="92"/>
      <c r="Y24" s="87">
        <v>7.1</v>
      </c>
      <c r="Z24" s="87">
        <f t="shared" si="0"/>
        <v>6.1</v>
      </c>
      <c r="AA24" s="87">
        <v>100</v>
      </c>
      <c r="AB24" s="87">
        <v>100</v>
      </c>
      <c r="AC24" s="87">
        <v>100</v>
      </c>
      <c r="AD24" s="87">
        <v>100</v>
      </c>
      <c r="AE24" s="87">
        <v>100</v>
      </c>
      <c r="AF24" s="87">
        <v>100</v>
      </c>
      <c r="AG24" s="87">
        <v>100</v>
      </c>
      <c r="AH24" s="87">
        <v>100</v>
      </c>
      <c r="AI24" s="87">
        <v>97</v>
      </c>
      <c r="AJ24" s="87">
        <v>94</v>
      </c>
      <c r="AK24" s="87">
        <v>100</v>
      </c>
      <c r="AL24" s="87">
        <v>100</v>
      </c>
      <c r="AM24" s="87">
        <v>100</v>
      </c>
      <c r="AN24" s="87">
        <v>98</v>
      </c>
      <c r="AO24" s="87">
        <v>95</v>
      </c>
      <c r="AP24" s="87">
        <v>91</v>
      </c>
      <c r="AQ24" s="87">
        <v>87</v>
      </c>
      <c r="AR24" s="87">
        <v>84</v>
      </c>
      <c r="AS24" s="87">
        <v>80</v>
      </c>
      <c r="AT24" s="87">
        <v>96.11</v>
      </c>
    </row>
    <row r="25" spans="1:46" ht="16.5" customHeight="1" thickBot="1" x14ac:dyDescent="0.3">
      <c r="A25" s="89">
        <v>0.27</v>
      </c>
      <c r="B25" s="90">
        <v>7.3599999999999994</v>
      </c>
      <c r="C25" s="90">
        <v>7.8599999999999994</v>
      </c>
      <c r="D25" s="90">
        <v>8.26</v>
      </c>
      <c r="E25" s="90">
        <v>8.33</v>
      </c>
      <c r="F25" s="136">
        <v>8.33</v>
      </c>
      <c r="G25" s="137">
        <v>8.33</v>
      </c>
      <c r="H25" s="90">
        <v>8.33</v>
      </c>
      <c r="I25" s="90">
        <v>8.33</v>
      </c>
      <c r="J25" s="90">
        <v>8.33</v>
      </c>
      <c r="K25" s="90">
        <v>8.26</v>
      </c>
      <c r="L25" s="90">
        <v>8.11</v>
      </c>
      <c r="M25" s="91">
        <v>7.9600000000000009</v>
      </c>
      <c r="N25" s="91">
        <v>7.8100000000000005</v>
      </c>
      <c r="O25" s="91">
        <v>7.66</v>
      </c>
      <c r="P25" s="91">
        <v>7.51</v>
      </c>
      <c r="Q25" s="90">
        <v>7.3100000000000005</v>
      </c>
      <c r="R25" s="90">
        <v>7.1099999999999994</v>
      </c>
      <c r="S25" s="90">
        <v>6.81</v>
      </c>
      <c r="T25" s="90">
        <v>6.46</v>
      </c>
      <c r="U25" s="90">
        <v>6.06</v>
      </c>
      <c r="V25" s="90">
        <v>5.61</v>
      </c>
      <c r="W25" s="90">
        <v>5.1100000000000003</v>
      </c>
      <c r="X25" s="92"/>
      <c r="Y25" s="87">
        <v>7</v>
      </c>
      <c r="Z25" s="87">
        <f t="shared" si="0"/>
        <v>6</v>
      </c>
      <c r="AA25" s="87">
        <v>100</v>
      </c>
      <c r="AB25" s="87">
        <v>100</v>
      </c>
      <c r="AC25" s="87">
        <v>100</v>
      </c>
      <c r="AD25" s="87">
        <v>100</v>
      </c>
      <c r="AE25" s="87">
        <v>100</v>
      </c>
      <c r="AF25" s="87">
        <v>100</v>
      </c>
      <c r="AG25" s="87">
        <v>100</v>
      </c>
      <c r="AH25" s="87">
        <v>100</v>
      </c>
      <c r="AI25" s="87">
        <v>96</v>
      </c>
      <c r="AJ25" s="87">
        <v>93</v>
      </c>
      <c r="AK25" s="87">
        <v>100</v>
      </c>
      <c r="AL25" s="87">
        <v>100</v>
      </c>
      <c r="AM25" s="87">
        <v>100</v>
      </c>
      <c r="AN25" s="87">
        <v>97</v>
      </c>
      <c r="AO25" s="87">
        <v>94</v>
      </c>
      <c r="AP25" s="87">
        <v>90</v>
      </c>
      <c r="AQ25" s="87">
        <v>86</v>
      </c>
      <c r="AR25" s="87">
        <v>82</v>
      </c>
      <c r="AS25" s="87">
        <v>79</v>
      </c>
      <c r="AT25" s="87">
        <v>95.79</v>
      </c>
    </row>
    <row r="26" spans="1:46" ht="16.5" customHeight="1" thickBot="1" x14ac:dyDescent="0.3">
      <c r="A26" s="89">
        <v>0.28000000000000003</v>
      </c>
      <c r="B26" s="90">
        <v>7.43</v>
      </c>
      <c r="C26" s="90">
        <v>7.93</v>
      </c>
      <c r="D26" s="90">
        <v>8.33</v>
      </c>
      <c r="E26" s="90">
        <v>8.33</v>
      </c>
      <c r="F26" s="136">
        <v>8.33</v>
      </c>
      <c r="G26" s="137">
        <v>8.33</v>
      </c>
      <c r="H26" s="90">
        <v>8.33</v>
      </c>
      <c r="I26" s="90">
        <v>8.33</v>
      </c>
      <c r="J26" s="90">
        <v>8.33</v>
      </c>
      <c r="K26" s="90">
        <v>8.33</v>
      </c>
      <c r="L26" s="90">
        <v>8.18</v>
      </c>
      <c r="M26" s="91">
        <v>8.0299999999999994</v>
      </c>
      <c r="N26" s="91">
        <v>7.8800000000000008</v>
      </c>
      <c r="O26" s="91">
        <v>7.73</v>
      </c>
      <c r="P26" s="91">
        <v>7.58</v>
      </c>
      <c r="Q26" s="90">
        <v>7.3800000000000008</v>
      </c>
      <c r="R26" s="90">
        <v>7.18</v>
      </c>
      <c r="S26" s="90">
        <v>6.88</v>
      </c>
      <c r="T26" s="90">
        <v>6.53</v>
      </c>
      <c r="U26" s="90">
        <v>6.13</v>
      </c>
      <c r="V26" s="90">
        <v>5.68</v>
      </c>
      <c r="W26" s="90">
        <v>5.18</v>
      </c>
      <c r="X26" s="92"/>
      <c r="Y26" s="87">
        <v>6.9</v>
      </c>
      <c r="Z26" s="87">
        <f t="shared" si="0"/>
        <v>5.9</v>
      </c>
      <c r="AA26" s="87">
        <v>100</v>
      </c>
      <c r="AB26" s="87">
        <v>100</v>
      </c>
      <c r="AC26" s="87">
        <v>100</v>
      </c>
      <c r="AD26" s="87">
        <v>100</v>
      </c>
      <c r="AE26" s="87">
        <v>100</v>
      </c>
      <c r="AF26" s="87">
        <v>100</v>
      </c>
      <c r="AG26" s="87">
        <v>100</v>
      </c>
      <c r="AH26" s="87">
        <v>100</v>
      </c>
      <c r="AI26" s="87">
        <v>96</v>
      </c>
      <c r="AJ26" s="87">
        <v>92</v>
      </c>
      <c r="AK26" s="87">
        <v>100</v>
      </c>
      <c r="AL26" s="87">
        <v>100</v>
      </c>
      <c r="AM26" s="87">
        <v>100</v>
      </c>
      <c r="AN26" s="87">
        <v>96</v>
      </c>
      <c r="AO26" s="87">
        <v>93</v>
      </c>
      <c r="AP26" s="87">
        <v>89</v>
      </c>
      <c r="AQ26" s="87">
        <v>85</v>
      </c>
      <c r="AR26" s="87">
        <v>82</v>
      </c>
      <c r="AS26" s="87">
        <v>78</v>
      </c>
      <c r="AT26" s="87">
        <v>95.32</v>
      </c>
    </row>
    <row r="27" spans="1:46" ht="16.5" thickBot="1" x14ac:dyDescent="0.3">
      <c r="A27" s="89">
        <v>0.28999999999999998</v>
      </c>
      <c r="B27" s="90">
        <v>7.5</v>
      </c>
      <c r="C27" s="90">
        <v>8</v>
      </c>
      <c r="D27" s="90">
        <v>8.33</v>
      </c>
      <c r="E27" s="90">
        <v>8.33</v>
      </c>
      <c r="F27" s="136">
        <v>8.33</v>
      </c>
      <c r="G27" s="137">
        <v>8.33</v>
      </c>
      <c r="H27" s="90">
        <v>8.33</v>
      </c>
      <c r="I27" s="90">
        <v>8.33</v>
      </c>
      <c r="J27" s="90">
        <v>8.33</v>
      </c>
      <c r="K27" s="90">
        <v>8.33</v>
      </c>
      <c r="L27" s="90">
        <v>8.25</v>
      </c>
      <c r="M27" s="91">
        <v>8.1</v>
      </c>
      <c r="N27" s="91">
        <v>7.9499999999999993</v>
      </c>
      <c r="O27" s="91">
        <v>7.8000000000000007</v>
      </c>
      <c r="P27" s="91">
        <v>7.65</v>
      </c>
      <c r="Q27" s="90">
        <v>7.4499999999999993</v>
      </c>
      <c r="R27" s="90">
        <v>7.25</v>
      </c>
      <c r="S27" s="90">
        <v>6.95</v>
      </c>
      <c r="T27" s="90">
        <v>6.6</v>
      </c>
      <c r="U27" s="90">
        <v>6.2</v>
      </c>
      <c r="V27" s="90">
        <v>5.75</v>
      </c>
      <c r="W27" s="90">
        <v>5.25</v>
      </c>
      <c r="X27" s="92"/>
      <c r="Y27" s="87">
        <v>6.8</v>
      </c>
      <c r="Z27" s="87">
        <f t="shared" si="0"/>
        <v>5.8</v>
      </c>
      <c r="AA27" s="87">
        <v>100</v>
      </c>
      <c r="AB27" s="87">
        <v>100</v>
      </c>
      <c r="AC27" s="87">
        <v>100</v>
      </c>
      <c r="AD27" s="87">
        <v>100</v>
      </c>
      <c r="AE27" s="87">
        <v>100</v>
      </c>
      <c r="AF27" s="87">
        <v>100</v>
      </c>
      <c r="AG27" s="87">
        <v>100</v>
      </c>
      <c r="AH27" s="87">
        <v>99</v>
      </c>
      <c r="AI27" s="87">
        <v>95</v>
      </c>
      <c r="AJ27" s="87">
        <v>91</v>
      </c>
      <c r="AK27" s="87">
        <v>100</v>
      </c>
      <c r="AL27" s="87">
        <v>100</v>
      </c>
      <c r="AM27" s="87">
        <v>99</v>
      </c>
      <c r="AN27" s="87">
        <v>95</v>
      </c>
      <c r="AO27" s="87">
        <v>91</v>
      </c>
      <c r="AP27" s="87">
        <v>88</v>
      </c>
      <c r="AQ27" s="87">
        <v>84</v>
      </c>
      <c r="AR27" s="87">
        <v>80</v>
      </c>
      <c r="AS27" s="87">
        <v>77</v>
      </c>
      <c r="AT27" s="87">
        <v>94.68</v>
      </c>
    </row>
    <row r="28" spans="1:46" ht="16.5" customHeight="1" thickBot="1" x14ac:dyDescent="0.3">
      <c r="A28" s="89">
        <v>0.3</v>
      </c>
      <c r="B28" s="90">
        <v>7.5600000000000005</v>
      </c>
      <c r="C28" s="90">
        <v>8.06</v>
      </c>
      <c r="D28" s="90">
        <v>8.33</v>
      </c>
      <c r="E28" s="90">
        <v>8.33</v>
      </c>
      <c r="F28" s="136">
        <v>8.33</v>
      </c>
      <c r="G28" s="137">
        <v>8.33</v>
      </c>
      <c r="H28" s="90">
        <v>8.33</v>
      </c>
      <c r="I28" s="90">
        <v>8.33</v>
      </c>
      <c r="J28" s="90">
        <v>8.33</v>
      </c>
      <c r="K28" s="90">
        <v>8.33</v>
      </c>
      <c r="L28" s="90">
        <v>8.31</v>
      </c>
      <c r="M28" s="91">
        <v>8.16</v>
      </c>
      <c r="N28" s="91">
        <v>8.01</v>
      </c>
      <c r="O28" s="91">
        <v>7.8599999999999994</v>
      </c>
      <c r="P28" s="91">
        <v>7.7100000000000009</v>
      </c>
      <c r="Q28" s="90">
        <v>7.51</v>
      </c>
      <c r="R28" s="90">
        <v>7.3100000000000005</v>
      </c>
      <c r="S28" s="90">
        <v>7.01</v>
      </c>
      <c r="T28" s="90">
        <v>6.66</v>
      </c>
      <c r="U28" s="90">
        <v>6.26</v>
      </c>
      <c r="V28" s="90">
        <v>5.81</v>
      </c>
      <c r="W28" s="90">
        <v>5.31</v>
      </c>
      <c r="X28" s="92"/>
      <c r="Y28" s="87">
        <v>6.7</v>
      </c>
      <c r="Z28" s="87">
        <f t="shared" si="0"/>
        <v>5.7</v>
      </c>
      <c r="AA28" s="87">
        <v>100</v>
      </c>
      <c r="AB28" s="87">
        <v>100</v>
      </c>
      <c r="AC28" s="87">
        <v>100</v>
      </c>
      <c r="AD28" s="87">
        <v>100</v>
      </c>
      <c r="AE28" s="87">
        <v>100</v>
      </c>
      <c r="AF28" s="87">
        <v>100</v>
      </c>
      <c r="AG28" s="87">
        <v>100</v>
      </c>
      <c r="AH28" s="87">
        <v>99</v>
      </c>
      <c r="AI28" s="87">
        <v>95</v>
      </c>
      <c r="AJ28" s="87">
        <v>91</v>
      </c>
      <c r="AK28" s="87">
        <v>100</v>
      </c>
      <c r="AL28" s="87">
        <v>100</v>
      </c>
      <c r="AM28" s="87">
        <v>99</v>
      </c>
      <c r="AN28" s="87">
        <v>95</v>
      </c>
      <c r="AO28" s="87">
        <v>91</v>
      </c>
      <c r="AP28" s="87">
        <v>87</v>
      </c>
      <c r="AQ28" s="87">
        <v>84</v>
      </c>
      <c r="AR28" s="87">
        <v>80</v>
      </c>
      <c r="AS28" s="87">
        <v>76</v>
      </c>
      <c r="AT28" s="87">
        <v>94.58</v>
      </c>
    </row>
    <row r="29" spans="1:46" ht="16.5" customHeight="1" thickBot="1" x14ac:dyDescent="0.3">
      <c r="A29" s="89">
        <v>0.31</v>
      </c>
      <c r="B29" s="90">
        <v>7.6199999999999992</v>
      </c>
      <c r="C29" s="90">
        <v>8.1199999999999992</v>
      </c>
      <c r="D29" s="90">
        <v>8.33</v>
      </c>
      <c r="E29" s="90">
        <v>8.33</v>
      </c>
      <c r="F29" s="136">
        <v>8.33</v>
      </c>
      <c r="G29" s="137">
        <v>8.33</v>
      </c>
      <c r="H29" s="90">
        <v>8.33</v>
      </c>
      <c r="I29" s="90">
        <v>8.33</v>
      </c>
      <c r="J29" s="90">
        <v>8.33</v>
      </c>
      <c r="K29" s="90">
        <v>8.33</v>
      </c>
      <c r="L29" s="90">
        <v>8.33</v>
      </c>
      <c r="M29" s="91">
        <v>8.2200000000000006</v>
      </c>
      <c r="N29" s="91">
        <v>8.07</v>
      </c>
      <c r="O29" s="91">
        <v>7.92</v>
      </c>
      <c r="P29" s="91">
        <v>7.77</v>
      </c>
      <c r="Q29" s="90">
        <v>7.57</v>
      </c>
      <c r="R29" s="90">
        <v>7.3699999999999992</v>
      </c>
      <c r="S29" s="90">
        <v>7.07</v>
      </c>
      <c r="T29" s="90">
        <v>6.72</v>
      </c>
      <c r="U29" s="90">
        <v>6.32</v>
      </c>
      <c r="V29" s="90">
        <v>5.87</v>
      </c>
      <c r="W29" s="90">
        <v>5.37</v>
      </c>
      <c r="X29" s="92"/>
      <c r="Y29" s="87">
        <v>6.6</v>
      </c>
      <c r="Z29" s="87">
        <f t="shared" si="0"/>
        <v>5.6</v>
      </c>
      <c r="AA29" s="87">
        <v>100</v>
      </c>
      <c r="AB29" s="87">
        <v>100</v>
      </c>
      <c r="AC29" s="87">
        <v>100</v>
      </c>
      <c r="AD29" s="87">
        <v>100</v>
      </c>
      <c r="AE29" s="87">
        <v>100</v>
      </c>
      <c r="AF29" s="87">
        <v>100</v>
      </c>
      <c r="AG29" s="87">
        <v>100</v>
      </c>
      <c r="AH29" s="87">
        <v>98</v>
      </c>
      <c r="AI29" s="87">
        <v>94</v>
      </c>
      <c r="AJ29" s="87">
        <v>90</v>
      </c>
      <c r="AK29" s="87">
        <v>100</v>
      </c>
      <c r="AL29" s="87">
        <v>100</v>
      </c>
      <c r="AM29" s="87">
        <v>97</v>
      </c>
      <c r="AN29" s="87">
        <v>94</v>
      </c>
      <c r="AO29" s="87">
        <v>90</v>
      </c>
      <c r="AP29" s="87">
        <v>86</v>
      </c>
      <c r="AQ29" s="87">
        <v>82</v>
      </c>
      <c r="AR29" s="87">
        <v>78</v>
      </c>
      <c r="AS29" s="87">
        <v>75</v>
      </c>
      <c r="AT29" s="87">
        <v>93.89</v>
      </c>
    </row>
    <row r="30" spans="1:46" ht="16.5" customHeight="1" thickBot="1" x14ac:dyDescent="0.3">
      <c r="A30" s="89">
        <v>0.32</v>
      </c>
      <c r="B30" s="90">
        <v>7.67</v>
      </c>
      <c r="C30" s="90">
        <v>8.17</v>
      </c>
      <c r="D30" s="90">
        <v>8.33</v>
      </c>
      <c r="E30" s="90">
        <v>8.33</v>
      </c>
      <c r="F30" s="136">
        <v>8.33</v>
      </c>
      <c r="G30" s="137">
        <v>8.33</v>
      </c>
      <c r="H30" s="90">
        <v>8.33</v>
      </c>
      <c r="I30" s="90">
        <v>8.33</v>
      </c>
      <c r="J30" s="90">
        <v>8.33</v>
      </c>
      <c r="K30" s="90">
        <v>8.33</v>
      </c>
      <c r="L30" s="90">
        <v>8.33</v>
      </c>
      <c r="M30" s="91">
        <v>8.27</v>
      </c>
      <c r="N30" s="91">
        <v>8.1199999999999992</v>
      </c>
      <c r="O30" s="91">
        <v>7.9700000000000006</v>
      </c>
      <c r="P30" s="91">
        <v>7.82</v>
      </c>
      <c r="Q30" s="90">
        <v>7.6199999999999992</v>
      </c>
      <c r="R30" s="90">
        <v>7.42</v>
      </c>
      <c r="S30" s="90">
        <v>7.1199999999999992</v>
      </c>
      <c r="T30" s="90">
        <v>6.77</v>
      </c>
      <c r="U30" s="90">
        <v>6.37</v>
      </c>
      <c r="V30" s="90">
        <v>5.92</v>
      </c>
      <c r="W30" s="90">
        <v>5.42</v>
      </c>
      <c r="X30" s="92"/>
      <c r="Y30" s="87">
        <v>6.5</v>
      </c>
      <c r="Z30" s="87">
        <f t="shared" si="0"/>
        <v>5.5</v>
      </c>
      <c r="AA30" s="87">
        <v>100</v>
      </c>
      <c r="AB30" s="87">
        <v>100</v>
      </c>
      <c r="AC30" s="87">
        <v>100</v>
      </c>
      <c r="AD30" s="87">
        <v>100</v>
      </c>
      <c r="AE30" s="87">
        <v>100</v>
      </c>
      <c r="AF30" s="87">
        <v>100</v>
      </c>
      <c r="AG30" s="87">
        <v>100</v>
      </c>
      <c r="AH30" s="87">
        <v>97</v>
      </c>
      <c r="AI30" s="87">
        <v>93</v>
      </c>
      <c r="AJ30" s="87">
        <v>90</v>
      </c>
      <c r="AK30" s="87">
        <v>100</v>
      </c>
      <c r="AL30" s="87">
        <v>100</v>
      </c>
      <c r="AM30" s="87">
        <v>97</v>
      </c>
      <c r="AN30" s="87">
        <v>93</v>
      </c>
      <c r="AO30" s="87">
        <v>89</v>
      </c>
      <c r="AP30" s="87">
        <v>85</v>
      </c>
      <c r="AQ30" s="87">
        <v>82</v>
      </c>
      <c r="AR30" s="87">
        <v>78</v>
      </c>
      <c r="AS30" s="87">
        <v>74</v>
      </c>
      <c r="AT30" s="87">
        <v>93.58</v>
      </c>
    </row>
    <row r="31" spans="1:46" ht="16.5" customHeight="1" thickBot="1" x14ac:dyDescent="0.3">
      <c r="A31" s="89">
        <v>0.33</v>
      </c>
      <c r="B31" s="90">
        <v>7.7200000000000006</v>
      </c>
      <c r="C31" s="90">
        <v>8.2200000000000006</v>
      </c>
      <c r="D31" s="90">
        <v>8.33</v>
      </c>
      <c r="E31" s="90">
        <v>8.33</v>
      </c>
      <c r="F31" s="136">
        <v>8.33</v>
      </c>
      <c r="G31" s="137">
        <v>8.33</v>
      </c>
      <c r="H31" s="90">
        <v>8.33</v>
      </c>
      <c r="I31" s="90">
        <v>8.33</v>
      </c>
      <c r="J31" s="90">
        <v>8.33</v>
      </c>
      <c r="K31" s="90">
        <v>8.33</v>
      </c>
      <c r="L31" s="90">
        <v>8.33</v>
      </c>
      <c r="M31" s="91">
        <v>8.32</v>
      </c>
      <c r="N31" s="91">
        <v>8.17</v>
      </c>
      <c r="O31" s="91">
        <v>8.02</v>
      </c>
      <c r="P31" s="91">
        <v>7.8699999999999992</v>
      </c>
      <c r="Q31" s="90">
        <v>7.67</v>
      </c>
      <c r="R31" s="90">
        <v>7.4700000000000006</v>
      </c>
      <c r="S31" s="90">
        <v>7.17</v>
      </c>
      <c r="T31" s="90">
        <v>6.82</v>
      </c>
      <c r="U31" s="90">
        <v>6.42</v>
      </c>
      <c r="V31" s="90">
        <v>5.97</v>
      </c>
      <c r="W31" s="90">
        <v>5.47</v>
      </c>
      <c r="X31" s="92"/>
      <c r="Y31" s="87">
        <v>6.4</v>
      </c>
      <c r="Z31" s="87">
        <f t="shared" si="0"/>
        <v>5.4</v>
      </c>
      <c r="AA31" s="87">
        <v>100</v>
      </c>
      <c r="AB31" s="87">
        <v>100</v>
      </c>
      <c r="AC31" s="87">
        <v>100</v>
      </c>
      <c r="AD31" s="87">
        <v>100</v>
      </c>
      <c r="AE31" s="87">
        <v>100</v>
      </c>
      <c r="AF31" s="87">
        <v>100</v>
      </c>
      <c r="AG31" s="87">
        <v>100</v>
      </c>
      <c r="AH31" s="87">
        <v>97</v>
      </c>
      <c r="AI31" s="87">
        <v>93</v>
      </c>
      <c r="AJ31" s="87">
        <v>89</v>
      </c>
      <c r="AK31" s="87">
        <v>100</v>
      </c>
      <c r="AL31" s="87">
        <v>100</v>
      </c>
      <c r="AM31" s="87">
        <v>96</v>
      </c>
      <c r="AN31" s="87">
        <v>93</v>
      </c>
      <c r="AO31" s="87">
        <v>89</v>
      </c>
      <c r="AP31" s="87">
        <v>85</v>
      </c>
      <c r="AQ31" s="87">
        <v>81</v>
      </c>
      <c r="AR31" s="87">
        <v>77</v>
      </c>
      <c r="AS31" s="87">
        <v>73</v>
      </c>
      <c r="AT31" s="87">
        <v>93.32</v>
      </c>
    </row>
    <row r="32" spans="1:46" ht="16.5" customHeight="1" thickBot="1" x14ac:dyDescent="0.3">
      <c r="A32" s="89">
        <v>0.34</v>
      </c>
      <c r="B32" s="90">
        <v>7.77</v>
      </c>
      <c r="C32" s="90">
        <v>8.27</v>
      </c>
      <c r="D32" s="90">
        <v>8.33</v>
      </c>
      <c r="E32" s="90">
        <v>8.33</v>
      </c>
      <c r="F32" s="136">
        <v>8.33</v>
      </c>
      <c r="G32" s="137">
        <v>8.33</v>
      </c>
      <c r="H32" s="90">
        <v>8.33</v>
      </c>
      <c r="I32" s="90">
        <v>8.33</v>
      </c>
      <c r="J32" s="90">
        <v>8.33</v>
      </c>
      <c r="K32" s="90">
        <v>8.33</v>
      </c>
      <c r="L32" s="90">
        <v>8.33</v>
      </c>
      <c r="M32" s="91">
        <v>8.33</v>
      </c>
      <c r="N32" s="91">
        <v>8.2200000000000006</v>
      </c>
      <c r="O32" s="91">
        <v>8.07</v>
      </c>
      <c r="P32" s="91">
        <v>7.92</v>
      </c>
      <c r="Q32" s="90">
        <v>7.7200000000000006</v>
      </c>
      <c r="R32" s="90">
        <v>7.52</v>
      </c>
      <c r="S32" s="90">
        <v>7.2200000000000006</v>
      </c>
      <c r="T32" s="90">
        <v>6.87</v>
      </c>
      <c r="U32" s="90">
        <v>6.47</v>
      </c>
      <c r="V32" s="90">
        <v>6.02</v>
      </c>
      <c r="W32" s="90">
        <v>5.52</v>
      </c>
      <c r="X32" s="92"/>
      <c r="Y32" s="87">
        <v>6.3</v>
      </c>
      <c r="Z32" s="87">
        <f t="shared" si="0"/>
        <v>5.3</v>
      </c>
      <c r="AA32" s="87">
        <v>100</v>
      </c>
      <c r="AB32" s="87">
        <v>100</v>
      </c>
      <c r="AC32" s="87">
        <v>100</v>
      </c>
      <c r="AD32" s="87">
        <v>100</v>
      </c>
      <c r="AE32" s="87">
        <v>100</v>
      </c>
      <c r="AF32" s="87">
        <v>100</v>
      </c>
      <c r="AG32" s="87">
        <v>100</v>
      </c>
      <c r="AH32" s="87">
        <v>96</v>
      </c>
      <c r="AI32" s="87">
        <v>92</v>
      </c>
      <c r="AJ32" s="87">
        <v>88</v>
      </c>
      <c r="AK32" s="87">
        <v>100</v>
      </c>
      <c r="AL32" s="87">
        <v>99</v>
      </c>
      <c r="AM32" s="87">
        <v>95</v>
      </c>
      <c r="AN32" s="87">
        <v>91</v>
      </c>
      <c r="AO32" s="87">
        <v>88</v>
      </c>
      <c r="AP32" s="87">
        <v>84</v>
      </c>
      <c r="AQ32" s="87">
        <v>80</v>
      </c>
      <c r="AR32" s="87">
        <v>76</v>
      </c>
      <c r="AS32" s="87">
        <v>72</v>
      </c>
      <c r="AT32" s="87">
        <v>92.68</v>
      </c>
    </row>
    <row r="33" spans="1:46" ht="16.5" customHeight="1" thickBot="1" x14ac:dyDescent="0.3">
      <c r="A33" s="89">
        <v>0.35</v>
      </c>
      <c r="B33" s="90">
        <v>7.8100000000000005</v>
      </c>
      <c r="C33" s="90">
        <v>8.31</v>
      </c>
      <c r="D33" s="90">
        <v>8.33</v>
      </c>
      <c r="E33" s="90">
        <v>8.33</v>
      </c>
      <c r="F33" s="136">
        <v>8.33</v>
      </c>
      <c r="G33" s="137">
        <v>8.33</v>
      </c>
      <c r="H33" s="90">
        <v>8.33</v>
      </c>
      <c r="I33" s="90">
        <v>8.33</v>
      </c>
      <c r="J33" s="90">
        <v>8.33</v>
      </c>
      <c r="K33" s="90">
        <v>8.33</v>
      </c>
      <c r="L33" s="90">
        <v>8.33</v>
      </c>
      <c r="M33" s="91">
        <v>8.33</v>
      </c>
      <c r="N33" s="91">
        <v>8.26</v>
      </c>
      <c r="O33" s="91">
        <v>8.11</v>
      </c>
      <c r="P33" s="91">
        <v>7.9600000000000009</v>
      </c>
      <c r="Q33" s="90">
        <v>7.76</v>
      </c>
      <c r="R33" s="90">
        <v>7.5600000000000005</v>
      </c>
      <c r="S33" s="90">
        <v>7.26</v>
      </c>
      <c r="T33" s="90">
        <v>6.91</v>
      </c>
      <c r="U33" s="90">
        <v>6.51</v>
      </c>
      <c r="V33" s="90">
        <v>6.06</v>
      </c>
      <c r="W33" s="90">
        <v>5.56</v>
      </c>
      <c r="X33" s="92"/>
      <c r="Y33" s="87">
        <v>6.2</v>
      </c>
      <c r="Z33" s="87">
        <f t="shared" si="0"/>
        <v>5.2</v>
      </c>
      <c r="AA33" s="87">
        <v>100</v>
      </c>
      <c r="AB33" s="87">
        <v>100</v>
      </c>
      <c r="AC33" s="87">
        <v>100</v>
      </c>
      <c r="AD33" s="87">
        <v>100</v>
      </c>
      <c r="AE33" s="87">
        <v>100</v>
      </c>
      <c r="AF33" s="87">
        <v>100</v>
      </c>
      <c r="AG33" s="87">
        <v>99</v>
      </c>
      <c r="AH33" s="87">
        <v>95</v>
      </c>
      <c r="AI33" s="87">
        <v>91</v>
      </c>
      <c r="AJ33" s="87">
        <v>87</v>
      </c>
      <c r="AK33" s="87">
        <v>100</v>
      </c>
      <c r="AL33" s="87">
        <v>98</v>
      </c>
      <c r="AM33" s="87">
        <v>94</v>
      </c>
      <c r="AN33" s="87">
        <v>90</v>
      </c>
      <c r="AO33" s="87">
        <v>86</v>
      </c>
      <c r="AP33" s="87">
        <v>82</v>
      </c>
      <c r="AQ33" s="87">
        <v>78</v>
      </c>
      <c r="AR33" s="87">
        <v>75</v>
      </c>
      <c r="AS33" s="87">
        <v>71</v>
      </c>
      <c r="AT33" s="87">
        <v>91.89</v>
      </c>
    </row>
    <row r="34" spans="1:46" ht="16.5" customHeight="1" thickBot="1" x14ac:dyDescent="0.3">
      <c r="A34" s="89">
        <v>0.36</v>
      </c>
      <c r="B34" s="90">
        <v>7.85</v>
      </c>
      <c r="C34" s="90">
        <v>8.33</v>
      </c>
      <c r="D34" s="90">
        <v>8.33</v>
      </c>
      <c r="E34" s="90">
        <v>8.33</v>
      </c>
      <c r="F34" s="136">
        <v>8.33</v>
      </c>
      <c r="G34" s="137">
        <v>8.33</v>
      </c>
      <c r="H34" s="90">
        <v>8.33</v>
      </c>
      <c r="I34" s="90">
        <v>8.33</v>
      </c>
      <c r="J34" s="90">
        <v>8.33</v>
      </c>
      <c r="K34" s="90">
        <v>8.33</v>
      </c>
      <c r="L34" s="90">
        <v>8.33</v>
      </c>
      <c r="M34" s="91">
        <v>8.33</v>
      </c>
      <c r="N34" s="91">
        <v>8.3000000000000007</v>
      </c>
      <c r="O34" s="91">
        <v>8.15</v>
      </c>
      <c r="P34" s="91">
        <v>8</v>
      </c>
      <c r="Q34" s="90">
        <v>7.8000000000000007</v>
      </c>
      <c r="R34" s="90">
        <v>7.6</v>
      </c>
      <c r="S34" s="90">
        <v>7.3000000000000007</v>
      </c>
      <c r="T34" s="90">
        <v>6.95</v>
      </c>
      <c r="U34" s="90">
        <v>6.55</v>
      </c>
      <c r="V34" s="90">
        <v>6.1</v>
      </c>
      <c r="W34" s="90">
        <v>5.6</v>
      </c>
      <c r="X34" s="92"/>
      <c r="Y34" s="87">
        <v>6.1</v>
      </c>
      <c r="Z34" s="87">
        <f t="shared" si="0"/>
        <v>5.0999999999999996</v>
      </c>
      <c r="AA34" s="87">
        <v>100</v>
      </c>
      <c r="AB34" s="87">
        <v>100</v>
      </c>
      <c r="AC34" s="87">
        <v>100</v>
      </c>
      <c r="AD34" s="87">
        <v>100</v>
      </c>
      <c r="AE34" s="87">
        <v>100</v>
      </c>
      <c r="AF34" s="87">
        <v>100</v>
      </c>
      <c r="AG34" s="87">
        <v>99</v>
      </c>
      <c r="AH34" s="87">
        <v>95</v>
      </c>
      <c r="AI34" s="87">
        <v>91</v>
      </c>
      <c r="AJ34" s="87">
        <v>86</v>
      </c>
      <c r="AK34" s="87">
        <v>100</v>
      </c>
      <c r="AL34" s="87">
        <v>98</v>
      </c>
      <c r="AM34" s="87">
        <v>93</v>
      </c>
      <c r="AN34" s="87">
        <v>89</v>
      </c>
      <c r="AO34" s="87">
        <v>86</v>
      </c>
      <c r="AP34" s="87">
        <v>81</v>
      </c>
      <c r="AQ34" s="87">
        <v>78</v>
      </c>
      <c r="AR34" s="87">
        <v>74</v>
      </c>
      <c r="AS34" s="87">
        <v>70</v>
      </c>
      <c r="AT34" s="87">
        <v>91.58</v>
      </c>
    </row>
    <row r="35" spans="1:46" ht="16.5" customHeight="1" thickBot="1" x14ac:dyDescent="0.3">
      <c r="A35" s="89">
        <v>0.37</v>
      </c>
      <c r="B35" s="90">
        <v>7.8800000000000008</v>
      </c>
      <c r="C35" s="90">
        <v>8.33</v>
      </c>
      <c r="D35" s="90">
        <v>8.33</v>
      </c>
      <c r="E35" s="90">
        <v>8.33</v>
      </c>
      <c r="F35" s="136">
        <v>8.33</v>
      </c>
      <c r="G35" s="137">
        <v>8.33</v>
      </c>
      <c r="H35" s="90">
        <v>8.33</v>
      </c>
      <c r="I35" s="90">
        <v>8.33</v>
      </c>
      <c r="J35" s="90">
        <v>8.33</v>
      </c>
      <c r="K35" s="90">
        <v>8.33</v>
      </c>
      <c r="L35" s="90">
        <v>8.33</v>
      </c>
      <c r="M35" s="91">
        <v>8.33</v>
      </c>
      <c r="N35" s="91">
        <v>8.33</v>
      </c>
      <c r="O35" s="91">
        <v>8.18</v>
      </c>
      <c r="P35" s="91">
        <v>8.0299999999999994</v>
      </c>
      <c r="Q35" s="90">
        <v>7.83</v>
      </c>
      <c r="R35" s="90">
        <v>7.6300000000000008</v>
      </c>
      <c r="S35" s="90">
        <v>7.33</v>
      </c>
      <c r="T35" s="90">
        <v>6.98</v>
      </c>
      <c r="U35" s="90">
        <v>6.58</v>
      </c>
      <c r="V35" s="90">
        <v>6.13</v>
      </c>
      <c r="W35" s="90">
        <v>5.63</v>
      </c>
      <c r="X35" s="92"/>
      <c r="Y35" s="87">
        <v>6</v>
      </c>
      <c r="Z35" s="87">
        <f t="shared" si="0"/>
        <v>5</v>
      </c>
      <c r="AA35" s="87">
        <v>100</v>
      </c>
      <c r="AB35" s="87">
        <v>100</v>
      </c>
      <c r="AC35" s="87">
        <v>100</v>
      </c>
      <c r="AD35" s="87">
        <v>100</v>
      </c>
      <c r="AE35" s="87">
        <v>100</v>
      </c>
      <c r="AF35" s="87">
        <v>100</v>
      </c>
      <c r="AG35" s="87">
        <v>98</v>
      </c>
      <c r="AH35" s="87">
        <v>94</v>
      </c>
      <c r="AI35" s="87">
        <v>90</v>
      </c>
      <c r="AJ35" s="87">
        <v>86</v>
      </c>
      <c r="AK35" s="87">
        <v>100</v>
      </c>
      <c r="AL35" s="87">
        <v>97</v>
      </c>
      <c r="AM35" s="87">
        <v>93</v>
      </c>
      <c r="AN35" s="87">
        <v>89</v>
      </c>
      <c r="AO35" s="87">
        <v>85</v>
      </c>
      <c r="AP35" s="87">
        <v>81</v>
      </c>
      <c r="AQ35" s="87">
        <v>77</v>
      </c>
      <c r="AR35" s="87">
        <v>73</v>
      </c>
      <c r="AS35" s="87">
        <v>69</v>
      </c>
      <c r="AT35" s="87">
        <v>91.16</v>
      </c>
    </row>
    <row r="36" spans="1:46" ht="16.5" customHeight="1" thickBot="1" x14ac:dyDescent="0.3">
      <c r="A36" s="89">
        <v>0.38</v>
      </c>
      <c r="B36" s="90">
        <v>7.92</v>
      </c>
      <c r="C36" s="90">
        <v>8.33</v>
      </c>
      <c r="D36" s="90">
        <v>8.33</v>
      </c>
      <c r="E36" s="90">
        <v>8.33</v>
      </c>
      <c r="F36" s="136">
        <v>8.33</v>
      </c>
      <c r="G36" s="137">
        <v>8.33</v>
      </c>
      <c r="H36" s="90">
        <v>8.33</v>
      </c>
      <c r="I36" s="90">
        <v>8.33</v>
      </c>
      <c r="J36" s="90">
        <v>8.33</v>
      </c>
      <c r="K36" s="90">
        <v>8.33</v>
      </c>
      <c r="L36" s="90">
        <v>8.33</v>
      </c>
      <c r="M36" s="91">
        <v>8.33</v>
      </c>
      <c r="N36" s="91">
        <v>8.33</v>
      </c>
      <c r="O36" s="91">
        <v>8.2200000000000006</v>
      </c>
      <c r="P36" s="91">
        <v>8.07</v>
      </c>
      <c r="Q36" s="90">
        <v>7.8699999999999992</v>
      </c>
      <c r="R36" s="90">
        <v>7.67</v>
      </c>
      <c r="S36" s="90">
        <v>7.3699999999999992</v>
      </c>
      <c r="T36" s="90">
        <v>7.02</v>
      </c>
      <c r="U36" s="90">
        <v>6.62</v>
      </c>
      <c r="V36" s="90">
        <v>6.17</v>
      </c>
      <c r="W36" s="90">
        <v>5.67</v>
      </c>
      <c r="X36" s="92"/>
      <c r="Y36" s="87">
        <v>5.9</v>
      </c>
      <c r="Z36" s="87">
        <f t="shared" si="0"/>
        <v>4.9000000000000004</v>
      </c>
      <c r="AA36" s="87">
        <v>100</v>
      </c>
      <c r="AB36" s="87">
        <v>100</v>
      </c>
      <c r="AC36" s="87">
        <v>100</v>
      </c>
      <c r="AD36" s="87">
        <v>100</v>
      </c>
      <c r="AE36" s="87">
        <v>100</v>
      </c>
      <c r="AF36" s="87">
        <v>100</v>
      </c>
      <c r="AG36" s="87">
        <v>98</v>
      </c>
      <c r="AH36" s="87">
        <v>94</v>
      </c>
      <c r="AI36" s="87">
        <v>90</v>
      </c>
      <c r="AJ36" s="87">
        <v>86</v>
      </c>
      <c r="AK36" s="87">
        <v>100</v>
      </c>
      <c r="AL36" s="87">
        <v>96</v>
      </c>
      <c r="AM36" s="87">
        <v>92</v>
      </c>
      <c r="AN36" s="87">
        <v>88</v>
      </c>
      <c r="AO36" s="87">
        <v>84</v>
      </c>
      <c r="AP36" s="87">
        <v>80</v>
      </c>
      <c r="AQ36" s="87">
        <v>76</v>
      </c>
      <c r="AR36" s="87">
        <v>72</v>
      </c>
      <c r="AS36" s="87">
        <v>68</v>
      </c>
      <c r="AT36" s="87">
        <v>90.74</v>
      </c>
    </row>
    <row r="37" spans="1:46" ht="16.5" customHeight="1" thickBot="1" x14ac:dyDescent="0.3">
      <c r="A37" s="89">
        <v>0.39</v>
      </c>
      <c r="B37" s="90">
        <v>7.9499999999999993</v>
      </c>
      <c r="C37" s="90">
        <v>8.33</v>
      </c>
      <c r="D37" s="90">
        <v>8.33</v>
      </c>
      <c r="E37" s="90">
        <v>8.33</v>
      </c>
      <c r="F37" s="136">
        <v>8.33</v>
      </c>
      <c r="G37" s="137">
        <v>8.33</v>
      </c>
      <c r="H37" s="90">
        <v>8.33</v>
      </c>
      <c r="I37" s="90">
        <v>8.33</v>
      </c>
      <c r="J37" s="90">
        <v>8.33</v>
      </c>
      <c r="K37" s="90">
        <v>8.33</v>
      </c>
      <c r="L37" s="90">
        <v>8.33</v>
      </c>
      <c r="M37" s="91">
        <v>8.33</v>
      </c>
      <c r="N37" s="91">
        <v>8.33</v>
      </c>
      <c r="O37" s="91">
        <v>8.25</v>
      </c>
      <c r="P37" s="91">
        <v>8.1</v>
      </c>
      <c r="Q37" s="90">
        <v>7.9</v>
      </c>
      <c r="R37" s="90">
        <v>7.6999999999999993</v>
      </c>
      <c r="S37" s="90">
        <v>7.4</v>
      </c>
      <c r="T37" s="90">
        <v>7.0500000000000007</v>
      </c>
      <c r="U37" s="90">
        <v>6.65</v>
      </c>
      <c r="V37" s="90">
        <v>6.2</v>
      </c>
      <c r="W37" s="90">
        <v>5.7</v>
      </c>
      <c r="X37" s="92"/>
      <c r="Y37" s="87">
        <v>5.8</v>
      </c>
      <c r="Z37" s="87">
        <f t="shared" si="0"/>
        <v>4.8</v>
      </c>
      <c r="AA37" s="87">
        <v>100</v>
      </c>
      <c r="AB37" s="87">
        <v>100</v>
      </c>
      <c r="AC37" s="87">
        <v>100</v>
      </c>
      <c r="AD37" s="87">
        <v>100</v>
      </c>
      <c r="AE37" s="87">
        <v>100</v>
      </c>
      <c r="AF37" s="87">
        <v>100</v>
      </c>
      <c r="AG37" s="87">
        <v>97</v>
      </c>
      <c r="AH37" s="87">
        <v>93</v>
      </c>
      <c r="AI37" s="87">
        <v>89</v>
      </c>
      <c r="AJ37" s="87">
        <v>85</v>
      </c>
      <c r="AK37" s="87">
        <v>100</v>
      </c>
      <c r="AL37" s="87">
        <v>96</v>
      </c>
      <c r="AM37" s="87">
        <v>91</v>
      </c>
      <c r="AN37" s="87">
        <v>88</v>
      </c>
      <c r="AO37" s="87">
        <v>84</v>
      </c>
      <c r="AP37" s="87">
        <v>79</v>
      </c>
      <c r="AQ37" s="87">
        <v>76</v>
      </c>
      <c r="AR37" s="87">
        <v>71</v>
      </c>
      <c r="AS37" s="87">
        <v>67</v>
      </c>
      <c r="AT37" s="87">
        <v>90.32</v>
      </c>
    </row>
    <row r="38" spans="1:46" ht="16.5" customHeight="1" thickBot="1" x14ac:dyDescent="0.3">
      <c r="A38" s="89">
        <v>0.4</v>
      </c>
      <c r="B38" s="90">
        <v>7.98</v>
      </c>
      <c r="C38" s="90">
        <v>8.33</v>
      </c>
      <c r="D38" s="90">
        <v>8.33</v>
      </c>
      <c r="E38" s="90">
        <v>8.33</v>
      </c>
      <c r="F38" s="136">
        <v>8.33</v>
      </c>
      <c r="G38" s="137">
        <v>8.33</v>
      </c>
      <c r="H38" s="90">
        <v>8.33</v>
      </c>
      <c r="I38" s="90">
        <v>8.33</v>
      </c>
      <c r="J38" s="90">
        <v>8.33</v>
      </c>
      <c r="K38" s="90">
        <v>8.33</v>
      </c>
      <c r="L38" s="90">
        <v>8.33</v>
      </c>
      <c r="M38" s="91">
        <v>8.33</v>
      </c>
      <c r="N38" s="91">
        <v>8.33</v>
      </c>
      <c r="O38" s="91">
        <v>8.2799999999999994</v>
      </c>
      <c r="P38" s="91">
        <v>8.1300000000000008</v>
      </c>
      <c r="Q38" s="90">
        <v>7.93</v>
      </c>
      <c r="R38" s="90">
        <v>7.73</v>
      </c>
      <c r="S38" s="90">
        <v>7.43</v>
      </c>
      <c r="T38" s="90">
        <v>7.08</v>
      </c>
      <c r="U38" s="90">
        <v>6.68</v>
      </c>
      <c r="V38" s="90">
        <v>6.23</v>
      </c>
      <c r="W38" s="90">
        <v>5.73</v>
      </c>
      <c r="X38" s="92"/>
      <c r="Y38" s="87">
        <v>5.7</v>
      </c>
      <c r="Z38" s="87">
        <f t="shared" si="0"/>
        <v>4.7</v>
      </c>
      <c r="AA38" s="87">
        <v>100</v>
      </c>
      <c r="AB38" s="87">
        <v>100</v>
      </c>
      <c r="AC38" s="87">
        <v>100</v>
      </c>
      <c r="AD38" s="87">
        <v>100</v>
      </c>
      <c r="AE38" s="87">
        <v>100</v>
      </c>
      <c r="AF38" s="87">
        <v>100</v>
      </c>
      <c r="AG38" s="87">
        <v>97</v>
      </c>
      <c r="AH38" s="87">
        <v>93</v>
      </c>
      <c r="AI38" s="87">
        <v>88</v>
      </c>
      <c r="AJ38" s="87">
        <v>85</v>
      </c>
      <c r="AK38" s="87">
        <v>99</v>
      </c>
      <c r="AL38" s="87">
        <v>95</v>
      </c>
      <c r="AM38" s="87">
        <v>90</v>
      </c>
      <c r="AN38" s="87">
        <v>87</v>
      </c>
      <c r="AO38" s="87">
        <v>83</v>
      </c>
      <c r="AP38" s="87">
        <v>78</v>
      </c>
      <c r="AQ38" s="87">
        <v>75</v>
      </c>
      <c r="AR38" s="87">
        <v>70</v>
      </c>
      <c r="AS38" s="87">
        <v>66</v>
      </c>
      <c r="AT38" s="87">
        <v>89.79</v>
      </c>
    </row>
    <row r="39" spans="1:46" ht="16.5" thickBot="1" x14ac:dyDescent="0.3">
      <c r="A39" s="97">
        <v>0.41</v>
      </c>
      <c r="B39" s="90">
        <v>8.01</v>
      </c>
      <c r="C39" s="90">
        <v>8.33</v>
      </c>
      <c r="D39" s="90">
        <v>8.33</v>
      </c>
      <c r="E39" s="90">
        <v>8.33</v>
      </c>
      <c r="F39" s="136">
        <v>8.33</v>
      </c>
      <c r="G39" s="137">
        <v>8.33</v>
      </c>
      <c r="H39" s="90">
        <v>8.33</v>
      </c>
      <c r="I39" s="90">
        <v>8.33</v>
      </c>
      <c r="J39" s="90">
        <v>8.33</v>
      </c>
      <c r="K39" s="90">
        <v>8.33</v>
      </c>
      <c r="L39" s="90">
        <v>8.33</v>
      </c>
      <c r="M39" s="91">
        <v>8.33</v>
      </c>
      <c r="N39" s="91">
        <v>8.33</v>
      </c>
      <c r="O39" s="91">
        <v>8.31</v>
      </c>
      <c r="P39" s="91">
        <v>8.16</v>
      </c>
      <c r="Q39" s="90">
        <v>7.9600000000000009</v>
      </c>
      <c r="R39" s="90">
        <v>7.76</v>
      </c>
      <c r="S39" s="90">
        <v>7.4600000000000009</v>
      </c>
      <c r="T39" s="90">
        <v>7.1099999999999994</v>
      </c>
      <c r="U39" s="90">
        <v>6.71</v>
      </c>
      <c r="V39" s="90">
        <v>6.26</v>
      </c>
      <c r="W39" s="90">
        <v>5.76</v>
      </c>
      <c r="X39" s="92"/>
      <c r="Y39" s="87">
        <v>5.6</v>
      </c>
      <c r="Z39" s="87">
        <f t="shared" si="0"/>
        <v>4.5999999999999996</v>
      </c>
      <c r="AA39" s="87">
        <v>100</v>
      </c>
      <c r="AB39" s="87">
        <v>100</v>
      </c>
      <c r="AC39" s="87">
        <v>100</v>
      </c>
      <c r="AD39" s="87">
        <v>100</v>
      </c>
      <c r="AE39" s="87">
        <v>100</v>
      </c>
      <c r="AF39" s="87">
        <v>100</v>
      </c>
      <c r="AG39" s="87">
        <v>97</v>
      </c>
      <c r="AH39" s="87">
        <v>93</v>
      </c>
      <c r="AI39" s="87">
        <v>88</v>
      </c>
      <c r="AJ39" s="87">
        <v>84</v>
      </c>
      <c r="AK39" s="87">
        <v>99</v>
      </c>
      <c r="AL39" s="87">
        <v>95</v>
      </c>
      <c r="AM39" s="87">
        <v>90</v>
      </c>
      <c r="AN39" s="87">
        <v>86</v>
      </c>
      <c r="AO39" s="87">
        <v>82</v>
      </c>
      <c r="AP39" s="87">
        <v>78</v>
      </c>
      <c r="AQ39" s="87">
        <v>74</v>
      </c>
      <c r="AR39" s="87">
        <v>69</v>
      </c>
      <c r="AS39" s="87">
        <v>65</v>
      </c>
      <c r="AT39" s="87">
        <v>89.47</v>
      </c>
    </row>
    <row r="40" spans="1:46" ht="16.5" thickBot="1" x14ac:dyDescent="0.3">
      <c r="A40" s="97">
        <v>0.42</v>
      </c>
      <c r="B40" s="90">
        <v>8.0299999999999994</v>
      </c>
      <c r="C40" s="90">
        <v>8.33</v>
      </c>
      <c r="D40" s="90">
        <v>8.33</v>
      </c>
      <c r="E40" s="90">
        <v>8.33</v>
      </c>
      <c r="F40" s="136">
        <v>8.33</v>
      </c>
      <c r="G40" s="137">
        <v>8.33</v>
      </c>
      <c r="H40" s="90">
        <v>8.33</v>
      </c>
      <c r="I40" s="90">
        <v>8.33</v>
      </c>
      <c r="J40" s="90">
        <v>8.33</v>
      </c>
      <c r="K40" s="90">
        <v>8.33</v>
      </c>
      <c r="L40" s="90">
        <v>8.33</v>
      </c>
      <c r="M40" s="91">
        <v>8.33</v>
      </c>
      <c r="N40" s="91">
        <v>8.33</v>
      </c>
      <c r="O40" s="91">
        <v>8.33</v>
      </c>
      <c r="P40" s="91">
        <v>8.18</v>
      </c>
      <c r="Q40" s="90">
        <v>7.98</v>
      </c>
      <c r="R40" s="90">
        <v>7.7799999999999994</v>
      </c>
      <c r="S40" s="90">
        <v>7.48</v>
      </c>
      <c r="T40" s="90">
        <v>7.1300000000000008</v>
      </c>
      <c r="U40" s="90">
        <v>6.73</v>
      </c>
      <c r="V40" s="90">
        <v>6.28</v>
      </c>
      <c r="W40" s="90">
        <v>5.78</v>
      </c>
      <c r="X40" s="92"/>
      <c r="Y40" s="87">
        <v>5.5</v>
      </c>
      <c r="Z40" s="87">
        <f t="shared" si="0"/>
        <v>4.5</v>
      </c>
      <c r="AA40" s="87">
        <v>100</v>
      </c>
      <c r="AB40" s="87">
        <v>100</v>
      </c>
      <c r="AC40" s="87">
        <v>100</v>
      </c>
      <c r="AD40" s="87">
        <v>100</v>
      </c>
      <c r="AE40" s="87">
        <v>100</v>
      </c>
      <c r="AF40" s="87">
        <v>100</v>
      </c>
      <c r="AG40" s="87">
        <v>96</v>
      </c>
      <c r="AH40" s="87">
        <v>92</v>
      </c>
      <c r="AI40" s="87">
        <v>87</v>
      </c>
      <c r="AJ40" s="87">
        <v>83</v>
      </c>
      <c r="AK40" s="87">
        <v>98</v>
      </c>
      <c r="AL40" s="87">
        <v>94</v>
      </c>
      <c r="AM40" s="87">
        <v>89</v>
      </c>
      <c r="AN40" s="87">
        <v>85</v>
      </c>
      <c r="AO40" s="87">
        <v>81</v>
      </c>
      <c r="AP40" s="87">
        <v>77</v>
      </c>
      <c r="AQ40" s="87">
        <v>73</v>
      </c>
      <c r="AR40" s="87">
        <v>68</v>
      </c>
      <c r="AS40" s="87">
        <v>64</v>
      </c>
      <c r="AT40" s="87">
        <v>88.79</v>
      </c>
    </row>
    <row r="41" spans="1:46" ht="16.5" thickBot="1" x14ac:dyDescent="0.3">
      <c r="A41" s="97">
        <v>0.43</v>
      </c>
      <c r="B41" s="90">
        <v>8.0500000000000007</v>
      </c>
      <c r="C41" s="90">
        <v>8.33</v>
      </c>
      <c r="D41" s="90">
        <v>8.33</v>
      </c>
      <c r="E41" s="90">
        <v>8.33</v>
      </c>
      <c r="F41" s="136">
        <v>8.33</v>
      </c>
      <c r="G41" s="137">
        <v>8.33</v>
      </c>
      <c r="H41" s="90">
        <v>8.33</v>
      </c>
      <c r="I41" s="90">
        <v>8.33</v>
      </c>
      <c r="J41" s="90">
        <v>8.33</v>
      </c>
      <c r="K41" s="90">
        <v>8.33</v>
      </c>
      <c r="L41" s="90">
        <v>8.33</v>
      </c>
      <c r="M41" s="91">
        <v>8.33</v>
      </c>
      <c r="N41" s="91">
        <v>8.33</v>
      </c>
      <c r="O41" s="91">
        <v>8.33</v>
      </c>
      <c r="P41" s="91">
        <v>8.1999999999999993</v>
      </c>
      <c r="Q41" s="90">
        <v>8</v>
      </c>
      <c r="R41" s="90">
        <v>7.8000000000000007</v>
      </c>
      <c r="S41" s="90">
        <v>7.5</v>
      </c>
      <c r="T41" s="90">
        <v>7.15</v>
      </c>
      <c r="U41" s="90">
        <v>6.75</v>
      </c>
      <c r="V41" s="90">
        <v>6.3</v>
      </c>
      <c r="W41" s="90">
        <v>5.8</v>
      </c>
      <c r="X41" s="92"/>
      <c r="Y41" s="87">
        <v>5.4</v>
      </c>
      <c r="Z41" s="87">
        <f t="shared" si="0"/>
        <v>4.4000000000000004</v>
      </c>
      <c r="AA41" s="87">
        <v>100</v>
      </c>
      <c r="AB41" s="87">
        <v>100</v>
      </c>
      <c r="AC41" s="87">
        <v>100</v>
      </c>
      <c r="AD41" s="87">
        <v>100</v>
      </c>
      <c r="AE41" s="87">
        <v>100</v>
      </c>
      <c r="AF41" s="87">
        <v>99</v>
      </c>
      <c r="AG41" s="87">
        <v>95</v>
      </c>
      <c r="AH41" s="87">
        <v>91</v>
      </c>
      <c r="AI41" s="87">
        <v>87</v>
      </c>
      <c r="AJ41" s="87">
        <v>82</v>
      </c>
      <c r="AK41" s="87">
        <v>97</v>
      </c>
      <c r="AL41" s="87">
        <v>93</v>
      </c>
      <c r="AM41" s="87">
        <v>88</v>
      </c>
      <c r="AN41" s="87">
        <v>84</v>
      </c>
      <c r="AO41" s="87">
        <v>80</v>
      </c>
      <c r="AP41" s="87">
        <v>76</v>
      </c>
      <c r="AQ41" s="87">
        <v>72</v>
      </c>
      <c r="AR41" s="87">
        <v>67</v>
      </c>
      <c r="AS41" s="87">
        <v>63</v>
      </c>
      <c r="AT41" s="87">
        <v>88.11</v>
      </c>
    </row>
    <row r="42" spans="1:46" ht="16.5" thickBot="1" x14ac:dyDescent="0.3">
      <c r="A42" s="97">
        <v>0.44</v>
      </c>
      <c r="B42" s="90">
        <v>8.08</v>
      </c>
      <c r="C42" s="90">
        <v>8.33</v>
      </c>
      <c r="D42" s="90">
        <v>8.33</v>
      </c>
      <c r="E42" s="90">
        <v>8.33</v>
      </c>
      <c r="F42" s="136">
        <v>8.33</v>
      </c>
      <c r="G42" s="137">
        <v>8.33</v>
      </c>
      <c r="H42" s="90">
        <v>8.33</v>
      </c>
      <c r="I42" s="90">
        <v>8.33</v>
      </c>
      <c r="J42" s="90">
        <v>8.33</v>
      </c>
      <c r="K42" s="90">
        <v>8.33</v>
      </c>
      <c r="L42" s="90">
        <v>8.33</v>
      </c>
      <c r="M42" s="91">
        <v>8.33</v>
      </c>
      <c r="N42" s="91">
        <v>8.33</v>
      </c>
      <c r="O42" s="91">
        <v>8.33</v>
      </c>
      <c r="P42" s="91">
        <v>8.23</v>
      </c>
      <c r="Q42" s="90">
        <v>8.0299999999999994</v>
      </c>
      <c r="R42" s="90">
        <v>7.83</v>
      </c>
      <c r="S42" s="90">
        <v>7.5299999999999994</v>
      </c>
      <c r="T42" s="90">
        <v>7.18</v>
      </c>
      <c r="U42" s="90">
        <v>6.78</v>
      </c>
      <c r="V42" s="90">
        <v>6.33</v>
      </c>
      <c r="W42" s="90">
        <v>5.83</v>
      </c>
      <c r="X42" s="92"/>
      <c r="Y42" s="87">
        <v>5.3</v>
      </c>
      <c r="Z42" s="87">
        <f t="shared" si="0"/>
        <v>4.3</v>
      </c>
      <c r="AA42" s="87">
        <v>100</v>
      </c>
      <c r="AB42" s="87">
        <v>100</v>
      </c>
      <c r="AC42" s="87">
        <v>100</v>
      </c>
      <c r="AD42" s="87">
        <v>100</v>
      </c>
      <c r="AE42" s="87">
        <v>100</v>
      </c>
      <c r="AF42" s="87">
        <v>99</v>
      </c>
      <c r="AG42" s="87">
        <v>95</v>
      </c>
      <c r="AH42" s="87">
        <v>91</v>
      </c>
      <c r="AI42" s="87">
        <v>86</v>
      </c>
      <c r="AJ42" s="87">
        <v>82</v>
      </c>
      <c r="AK42" s="87">
        <v>97</v>
      </c>
      <c r="AL42" s="87">
        <v>92</v>
      </c>
      <c r="AM42" s="87">
        <v>88</v>
      </c>
      <c r="AN42" s="87">
        <v>84</v>
      </c>
      <c r="AO42" s="87">
        <v>80</v>
      </c>
      <c r="AP42" s="87">
        <v>75</v>
      </c>
      <c r="AQ42" s="87">
        <v>71</v>
      </c>
      <c r="AR42" s="87">
        <v>67</v>
      </c>
      <c r="AS42" s="87">
        <v>62</v>
      </c>
      <c r="AT42" s="87">
        <v>87.84</v>
      </c>
    </row>
    <row r="43" spans="1:46" ht="16.5" thickBot="1" x14ac:dyDescent="0.3">
      <c r="A43" s="97">
        <v>0.45</v>
      </c>
      <c r="B43" s="90">
        <v>8.1</v>
      </c>
      <c r="C43" s="90">
        <v>8.33</v>
      </c>
      <c r="D43" s="90">
        <v>8.33</v>
      </c>
      <c r="E43" s="90">
        <v>8.33</v>
      </c>
      <c r="F43" s="136">
        <v>8.33</v>
      </c>
      <c r="G43" s="137">
        <v>8.33</v>
      </c>
      <c r="H43" s="90">
        <v>8.33</v>
      </c>
      <c r="I43" s="90">
        <v>8.33</v>
      </c>
      <c r="J43" s="90">
        <v>8.33</v>
      </c>
      <c r="K43" s="90">
        <v>8.33</v>
      </c>
      <c r="L43" s="90">
        <v>8.33</v>
      </c>
      <c r="M43" s="91">
        <v>8.33</v>
      </c>
      <c r="N43" s="91">
        <v>8.33</v>
      </c>
      <c r="O43" s="91">
        <v>8.33</v>
      </c>
      <c r="P43" s="91">
        <v>8.25</v>
      </c>
      <c r="Q43" s="90">
        <v>8.0500000000000007</v>
      </c>
      <c r="R43" s="90">
        <v>7.85</v>
      </c>
      <c r="S43" s="90">
        <v>7.5500000000000007</v>
      </c>
      <c r="T43" s="90">
        <v>7.1999999999999993</v>
      </c>
      <c r="U43" s="90">
        <v>6.8</v>
      </c>
      <c r="V43" s="90">
        <v>6.35</v>
      </c>
      <c r="W43" s="90">
        <v>5.85</v>
      </c>
      <c r="X43" s="92"/>
      <c r="Y43" s="87">
        <v>5.2</v>
      </c>
      <c r="Z43" s="87">
        <f t="shared" si="0"/>
        <v>4.2</v>
      </c>
      <c r="AA43" s="87">
        <v>100</v>
      </c>
      <c r="AB43" s="87">
        <v>100</v>
      </c>
      <c r="AC43" s="87">
        <v>100</v>
      </c>
      <c r="AD43" s="87">
        <v>100</v>
      </c>
      <c r="AE43" s="87">
        <v>100</v>
      </c>
      <c r="AF43" s="87">
        <v>99</v>
      </c>
      <c r="AG43" s="87">
        <v>94</v>
      </c>
      <c r="AH43" s="87">
        <v>90</v>
      </c>
      <c r="AI43" s="87">
        <v>86</v>
      </c>
      <c r="AJ43" s="87">
        <v>81</v>
      </c>
      <c r="AK43" s="87">
        <v>96</v>
      </c>
      <c r="AL43" s="87">
        <v>91</v>
      </c>
      <c r="AM43" s="87">
        <v>87</v>
      </c>
      <c r="AN43" s="87">
        <v>83</v>
      </c>
      <c r="AO43" s="87">
        <v>78</v>
      </c>
      <c r="AP43" s="87">
        <v>74</v>
      </c>
      <c r="AQ43" s="87">
        <v>70</v>
      </c>
      <c r="AR43" s="87">
        <v>66</v>
      </c>
      <c r="AS43" s="87">
        <v>61</v>
      </c>
      <c r="AT43" s="87">
        <v>87.16</v>
      </c>
    </row>
    <row r="44" spans="1:46" ht="16.5" thickBot="1" x14ac:dyDescent="0.3">
      <c r="A44" s="97">
        <v>0.46</v>
      </c>
      <c r="B44" s="90">
        <v>8.11</v>
      </c>
      <c r="C44" s="90">
        <v>8.33</v>
      </c>
      <c r="D44" s="90">
        <v>8.33</v>
      </c>
      <c r="E44" s="90">
        <v>8.33</v>
      </c>
      <c r="F44" s="136">
        <v>8.33</v>
      </c>
      <c r="G44" s="137">
        <v>8.33</v>
      </c>
      <c r="H44" s="90">
        <v>8.33</v>
      </c>
      <c r="I44" s="90">
        <v>8.33</v>
      </c>
      <c r="J44" s="90">
        <v>8.33</v>
      </c>
      <c r="K44" s="90">
        <v>8.33</v>
      </c>
      <c r="L44" s="90">
        <v>8.33</v>
      </c>
      <c r="M44" s="91">
        <v>8.33</v>
      </c>
      <c r="N44" s="91">
        <v>8.33</v>
      </c>
      <c r="O44" s="91">
        <v>8.33</v>
      </c>
      <c r="P44" s="91">
        <v>8.26</v>
      </c>
      <c r="Q44" s="90">
        <v>8.06</v>
      </c>
      <c r="R44" s="90">
        <v>7.8599999999999994</v>
      </c>
      <c r="S44" s="90">
        <v>7.5600000000000005</v>
      </c>
      <c r="T44" s="90">
        <v>7.2100000000000009</v>
      </c>
      <c r="U44" s="90">
        <v>6.81</v>
      </c>
      <c r="V44" s="90">
        <v>6.36</v>
      </c>
      <c r="W44" s="90">
        <v>5.86</v>
      </c>
      <c r="X44" s="92"/>
      <c r="Y44" s="87">
        <v>5.0999999999999996</v>
      </c>
      <c r="Z44" s="87">
        <f t="shared" si="0"/>
        <v>4.0999999999999996</v>
      </c>
      <c r="AA44" s="87">
        <v>100</v>
      </c>
      <c r="AB44" s="87">
        <v>100</v>
      </c>
      <c r="AC44" s="87">
        <v>100</v>
      </c>
      <c r="AD44" s="87">
        <v>100</v>
      </c>
      <c r="AE44" s="87">
        <v>100</v>
      </c>
      <c r="AF44" s="87">
        <v>98</v>
      </c>
      <c r="AG44" s="87">
        <v>94</v>
      </c>
      <c r="AH44" s="87">
        <v>89</v>
      </c>
      <c r="AI44" s="87">
        <v>85</v>
      </c>
      <c r="AJ44" s="87">
        <v>81</v>
      </c>
      <c r="AK44" s="87">
        <v>95</v>
      </c>
      <c r="AL44" s="87">
        <v>91</v>
      </c>
      <c r="AM44" s="87">
        <v>86</v>
      </c>
      <c r="AN44" s="87">
        <v>82</v>
      </c>
      <c r="AO44" s="87">
        <v>78</v>
      </c>
      <c r="AP44" s="87">
        <v>73</v>
      </c>
      <c r="AQ44" s="87">
        <v>69</v>
      </c>
      <c r="AR44" s="87">
        <v>64</v>
      </c>
      <c r="AS44" s="87">
        <v>60</v>
      </c>
      <c r="AT44" s="87">
        <v>86.58</v>
      </c>
    </row>
    <row r="45" spans="1:46" ht="16.5" thickBot="1" x14ac:dyDescent="0.3">
      <c r="A45" s="97">
        <v>0.47</v>
      </c>
      <c r="B45" s="90">
        <v>8.1300000000000008</v>
      </c>
      <c r="C45" s="90">
        <v>8.33</v>
      </c>
      <c r="D45" s="90">
        <v>8.33</v>
      </c>
      <c r="E45" s="90">
        <v>8.33</v>
      </c>
      <c r="F45" s="136">
        <v>8.33</v>
      </c>
      <c r="G45" s="137">
        <v>8.33</v>
      </c>
      <c r="H45" s="90">
        <v>8.33</v>
      </c>
      <c r="I45" s="90">
        <v>8.33</v>
      </c>
      <c r="J45" s="90">
        <v>8.33</v>
      </c>
      <c r="K45" s="90">
        <v>8.33</v>
      </c>
      <c r="L45" s="90">
        <v>8.33</v>
      </c>
      <c r="M45" s="91">
        <v>8.33</v>
      </c>
      <c r="N45" s="91">
        <v>8.33</v>
      </c>
      <c r="O45" s="91">
        <v>8.33</v>
      </c>
      <c r="P45" s="91">
        <v>8.2799999999999994</v>
      </c>
      <c r="Q45" s="90">
        <v>8.08</v>
      </c>
      <c r="R45" s="90">
        <v>7.8800000000000008</v>
      </c>
      <c r="S45" s="90">
        <v>7.58</v>
      </c>
      <c r="T45" s="90">
        <v>7.23</v>
      </c>
      <c r="U45" s="90">
        <v>6.83</v>
      </c>
      <c r="V45" s="90">
        <v>6.38</v>
      </c>
      <c r="W45" s="90">
        <v>5.88</v>
      </c>
      <c r="X45" s="92"/>
      <c r="Y45" s="87">
        <v>5</v>
      </c>
      <c r="Z45" s="87">
        <f t="shared" si="0"/>
        <v>4</v>
      </c>
      <c r="AA45" s="87">
        <v>100</v>
      </c>
      <c r="AB45" s="87">
        <v>100</v>
      </c>
      <c r="AC45" s="87">
        <v>100</v>
      </c>
      <c r="AD45" s="87">
        <v>100</v>
      </c>
      <c r="AE45" s="87">
        <v>100</v>
      </c>
      <c r="AF45" s="87">
        <v>97</v>
      </c>
      <c r="AG45" s="87">
        <v>93</v>
      </c>
      <c r="AH45" s="87">
        <v>89</v>
      </c>
      <c r="AI45" s="87">
        <v>84</v>
      </c>
      <c r="AJ45" s="87">
        <v>80</v>
      </c>
      <c r="AK45" s="87">
        <v>95</v>
      </c>
      <c r="AL45" s="87">
        <v>90</v>
      </c>
      <c r="AM45" s="87">
        <v>85</v>
      </c>
      <c r="AN45" s="87">
        <v>81</v>
      </c>
      <c r="AO45" s="87">
        <v>77</v>
      </c>
      <c r="AP45" s="87">
        <v>72</v>
      </c>
      <c r="AQ45" s="87">
        <v>68</v>
      </c>
      <c r="AR45" s="87">
        <v>63</v>
      </c>
      <c r="AS45" s="87">
        <v>59</v>
      </c>
      <c r="AT45" s="87">
        <v>85.95</v>
      </c>
    </row>
    <row r="46" spans="1:46" ht="15.75" x14ac:dyDescent="0.25">
      <c r="A46" s="97">
        <v>0.48</v>
      </c>
      <c r="B46" s="90">
        <v>8.15</v>
      </c>
      <c r="C46" s="90">
        <v>8.33</v>
      </c>
      <c r="D46" s="90">
        <v>8.33</v>
      </c>
      <c r="E46" s="90">
        <v>8.33</v>
      </c>
      <c r="F46" s="136">
        <v>8.33</v>
      </c>
      <c r="G46" s="137">
        <v>8.33</v>
      </c>
      <c r="H46" s="90">
        <v>8.33</v>
      </c>
      <c r="I46" s="90">
        <v>8.33</v>
      </c>
      <c r="J46" s="90">
        <v>8.33</v>
      </c>
      <c r="K46" s="90">
        <v>8.33</v>
      </c>
      <c r="L46" s="90">
        <v>8.33</v>
      </c>
      <c r="M46" s="91">
        <v>8.33</v>
      </c>
      <c r="N46" s="91">
        <v>8.33</v>
      </c>
      <c r="O46" s="91">
        <v>8.33</v>
      </c>
      <c r="P46" s="91">
        <v>8.3000000000000007</v>
      </c>
      <c r="Q46" s="90">
        <v>8.1</v>
      </c>
      <c r="R46" s="90">
        <v>7.9</v>
      </c>
      <c r="S46" s="90">
        <v>7.6</v>
      </c>
      <c r="T46" s="90">
        <v>7.25</v>
      </c>
      <c r="U46" s="90">
        <v>6.85</v>
      </c>
      <c r="V46" s="90">
        <v>6.4</v>
      </c>
      <c r="W46" s="90">
        <v>5.9</v>
      </c>
      <c r="X46" s="92"/>
    </row>
    <row r="47" spans="1:46" ht="15.75" x14ac:dyDescent="0.25">
      <c r="A47" s="97">
        <v>0.49</v>
      </c>
      <c r="B47" s="90">
        <v>8.16</v>
      </c>
      <c r="C47" s="90">
        <v>8.33</v>
      </c>
      <c r="D47" s="90">
        <v>8.33</v>
      </c>
      <c r="E47" s="90">
        <v>8.33</v>
      </c>
      <c r="F47" s="136">
        <v>8.33</v>
      </c>
      <c r="G47" s="137">
        <v>8.33</v>
      </c>
      <c r="H47" s="90">
        <v>8.33</v>
      </c>
      <c r="I47" s="90">
        <v>8.33</v>
      </c>
      <c r="J47" s="90">
        <v>8.33</v>
      </c>
      <c r="K47" s="90">
        <v>8.33</v>
      </c>
      <c r="L47" s="90">
        <v>8.33</v>
      </c>
      <c r="M47" s="91">
        <v>8.33</v>
      </c>
      <c r="N47" s="91">
        <v>8.33</v>
      </c>
      <c r="O47" s="91">
        <v>8.33</v>
      </c>
      <c r="P47" s="91">
        <v>8.31</v>
      </c>
      <c r="Q47" s="90">
        <v>8.11</v>
      </c>
      <c r="R47" s="90">
        <v>7.91</v>
      </c>
      <c r="S47" s="90">
        <v>7.6099999999999994</v>
      </c>
      <c r="T47" s="90">
        <v>7.26</v>
      </c>
      <c r="U47" s="90">
        <v>6.86</v>
      </c>
      <c r="V47" s="90">
        <v>6.41</v>
      </c>
      <c r="W47" s="90">
        <v>5.91</v>
      </c>
      <c r="X47" s="92"/>
    </row>
    <row r="48" spans="1:46" ht="15.75" x14ac:dyDescent="0.25">
      <c r="A48" s="97">
        <v>0.5</v>
      </c>
      <c r="B48" s="90">
        <v>8.18</v>
      </c>
      <c r="C48" s="90">
        <v>8.33</v>
      </c>
      <c r="D48" s="90">
        <v>8.33</v>
      </c>
      <c r="E48" s="90">
        <v>8.33</v>
      </c>
      <c r="F48" s="136">
        <v>8.33</v>
      </c>
      <c r="G48" s="137">
        <v>8.33</v>
      </c>
      <c r="H48" s="90">
        <v>8.33</v>
      </c>
      <c r="I48" s="90">
        <v>8.33</v>
      </c>
      <c r="J48" s="90">
        <v>8.33</v>
      </c>
      <c r="K48" s="90">
        <v>8.33</v>
      </c>
      <c r="L48" s="90">
        <v>8.33</v>
      </c>
      <c r="M48" s="91">
        <v>8.33</v>
      </c>
      <c r="N48" s="91">
        <v>8.33</v>
      </c>
      <c r="O48" s="91">
        <v>8.33</v>
      </c>
      <c r="P48" s="91">
        <v>8.33</v>
      </c>
      <c r="Q48" s="90">
        <v>8.1300000000000008</v>
      </c>
      <c r="R48" s="90">
        <v>7.93</v>
      </c>
      <c r="S48" s="90">
        <v>7.63</v>
      </c>
      <c r="T48" s="90">
        <v>7.2799999999999994</v>
      </c>
      <c r="U48" s="90">
        <v>6.88</v>
      </c>
      <c r="V48" s="90">
        <v>6.43</v>
      </c>
      <c r="W48" s="90">
        <v>5.93</v>
      </c>
      <c r="X48" s="92"/>
    </row>
    <row r="49" spans="1:24" ht="15.75" x14ac:dyDescent="0.25">
      <c r="A49" s="100"/>
      <c r="B49" s="100"/>
      <c r="C49" s="100"/>
      <c r="D49" s="100"/>
      <c r="E49" s="100"/>
      <c r="F49" s="100"/>
      <c r="H49" s="101"/>
      <c r="X49" s="98"/>
    </row>
    <row r="50" spans="1:24" ht="15.75" x14ac:dyDescent="0.25">
      <c r="A50" s="80" t="s">
        <v>135</v>
      </c>
      <c r="B50" s="100"/>
      <c r="C50" s="100"/>
      <c r="D50" s="100"/>
      <c r="E50" s="100"/>
      <c r="F50" s="100"/>
      <c r="G50" s="100"/>
      <c r="H50" s="101"/>
      <c r="I50" s="100"/>
      <c r="J50" s="100"/>
      <c r="K50" s="100"/>
      <c r="L50" s="100"/>
      <c r="M50" s="100"/>
      <c r="N50" s="100"/>
      <c r="O50" s="100"/>
      <c r="P50" s="100"/>
      <c r="Q50" s="100"/>
      <c r="R50" s="100"/>
      <c r="S50" s="100"/>
      <c r="T50" s="100"/>
      <c r="U50" s="100"/>
      <c r="V50" s="100"/>
      <c r="W50" s="100"/>
      <c r="X50" s="99"/>
    </row>
    <row r="51" spans="1:24" ht="15.75" x14ac:dyDescent="0.25">
      <c r="A51" s="80" t="s">
        <v>136</v>
      </c>
      <c r="B51" s="100"/>
      <c r="C51" s="100"/>
      <c r="D51" s="100"/>
      <c r="E51" s="100"/>
      <c r="F51" s="100"/>
      <c r="G51" s="100"/>
      <c r="H51" s="101"/>
      <c r="I51" s="100"/>
      <c r="J51" s="100"/>
      <c r="K51" s="100"/>
      <c r="L51" s="100"/>
      <c r="M51" s="100"/>
      <c r="N51" s="100"/>
      <c r="O51" s="100"/>
      <c r="P51" s="100"/>
      <c r="Q51" s="100"/>
      <c r="R51" s="100"/>
      <c r="S51" s="100"/>
      <c r="T51" s="100"/>
      <c r="U51" s="100"/>
      <c r="V51" s="100"/>
      <c r="W51" s="100"/>
      <c r="X51" s="99"/>
    </row>
    <row r="52" spans="1:24" ht="15.75" x14ac:dyDescent="0.25">
      <c r="A52" s="80" t="s">
        <v>137</v>
      </c>
      <c r="B52" s="100"/>
      <c r="C52" s="100"/>
      <c r="D52" s="100"/>
      <c r="E52" s="100"/>
      <c r="F52" s="100"/>
      <c r="G52" s="100"/>
      <c r="H52" s="101"/>
      <c r="I52" s="100"/>
      <c r="J52" s="100"/>
      <c r="K52" s="100"/>
      <c r="L52" s="100"/>
      <c r="M52" s="100"/>
      <c r="N52" s="100"/>
      <c r="O52" s="100"/>
      <c r="P52" s="100"/>
      <c r="Q52" s="100"/>
      <c r="R52" s="100"/>
      <c r="S52" s="100"/>
      <c r="T52" s="100"/>
      <c r="U52" s="100"/>
      <c r="V52" s="100"/>
      <c r="W52" s="100"/>
      <c r="X52" s="99"/>
    </row>
    <row r="53" spans="1:24" ht="15.75" x14ac:dyDescent="0.25">
      <c r="A53" s="100"/>
      <c r="B53" s="100"/>
      <c r="C53" s="100"/>
      <c r="D53" s="100"/>
      <c r="E53" s="100"/>
      <c r="F53" s="100"/>
      <c r="G53" s="100"/>
      <c r="H53" s="101"/>
      <c r="I53" s="100"/>
      <c r="J53" s="100"/>
      <c r="K53" s="100"/>
      <c r="L53" s="100"/>
      <c r="M53" s="100"/>
      <c r="N53" s="100"/>
      <c r="O53" s="100"/>
      <c r="P53" s="100"/>
      <c r="Q53" s="100"/>
      <c r="R53" s="100"/>
      <c r="S53" s="100"/>
      <c r="T53" s="100"/>
      <c r="U53" s="100"/>
      <c r="V53" s="100"/>
      <c r="W53" s="100"/>
      <c r="X53" s="99"/>
    </row>
    <row r="54" spans="1:24" ht="15.75" x14ac:dyDescent="0.25">
      <c r="A54" s="100"/>
      <c r="B54" s="100"/>
      <c r="C54" s="100"/>
      <c r="D54" s="100"/>
      <c r="E54" s="100"/>
      <c r="F54" s="100"/>
      <c r="G54" s="100"/>
      <c r="H54" s="101"/>
      <c r="I54" s="100"/>
      <c r="J54" s="100"/>
      <c r="K54" s="100"/>
      <c r="L54" s="100"/>
      <c r="M54" s="100"/>
      <c r="N54" s="100"/>
      <c r="O54" s="100"/>
      <c r="P54" s="100"/>
      <c r="Q54" s="100"/>
      <c r="R54" s="100"/>
      <c r="S54" s="100"/>
      <c r="T54" s="100"/>
      <c r="U54" s="100"/>
      <c r="V54" s="100"/>
      <c r="W54" s="100"/>
      <c r="X54" s="99"/>
    </row>
    <row r="55" spans="1:24" ht="15.75" x14ac:dyDescent="0.25">
      <c r="A55" s="100"/>
      <c r="B55" s="100"/>
      <c r="C55" s="100"/>
      <c r="D55" s="100"/>
      <c r="E55" s="100"/>
      <c r="F55" s="100"/>
      <c r="G55" s="100"/>
      <c r="H55" s="101"/>
      <c r="I55" s="100"/>
      <c r="J55" s="100"/>
      <c r="K55" s="100"/>
      <c r="L55" s="100"/>
      <c r="M55" s="100"/>
      <c r="N55" s="100"/>
      <c r="O55" s="100"/>
      <c r="P55" s="100"/>
      <c r="Q55" s="100"/>
      <c r="R55" s="100"/>
      <c r="S55" s="100"/>
      <c r="T55" s="100"/>
      <c r="U55" s="100"/>
      <c r="V55" s="100"/>
      <c r="W55" s="100"/>
      <c r="X55" s="99"/>
    </row>
    <row r="56" spans="1:24" ht="15.75" x14ac:dyDescent="0.25">
      <c r="A56" s="102" t="s">
        <v>138</v>
      </c>
      <c r="B56" s="100"/>
      <c r="C56" s="100"/>
      <c r="D56" s="100"/>
      <c r="E56" s="100"/>
      <c r="F56" s="100"/>
      <c r="H56" s="101"/>
      <c r="X56" s="98"/>
    </row>
    <row r="57" spans="1:24" ht="15.75" x14ac:dyDescent="0.25">
      <c r="A57" s="100"/>
      <c r="B57" s="100"/>
      <c r="C57" s="100"/>
      <c r="D57" s="100"/>
      <c r="E57" s="100"/>
      <c r="F57" s="100"/>
      <c r="H57" s="101"/>
      <c r="X57" s="98"/>
    </row>
    <row r="58" spans="1:24" ht="15.75" x14ac:dyDescent="0.25">
      <c r="A58" s="103" t="s">
        <v>139</v>
      </c>
      <c r="B58" s="103" t="s">
        <v>140</v>
      </c>
      <c r="C58" s="103" t="s">
        <v>141</v>
      </c>
      <c r="D58" s="103" t="s">
        <v>142</v>
      </c>
      <c r="E58" s="103" t="s">
        <v>143</v>
      </c>
      <c r="F58" s="103" t="s">
        <v>144</v>
      </c>
      <c r="H58" s="101" t="s">
        <v>145</v>
      </c>
      <c r="X58" s="98"/>
    </row>
    <row r="59" spans="1:24" ht="15.75" x14ac:dyDescent="0.25">
      <c r="A59" s="104">
        <v>17</v>
      </c>
      <c r="B59" s="265" t="s">
        <v>108</v>
      </c>
      <c r="C59" s="105" t="s">
        <v>107</v>
      </c>
      <c r="D59" s="269" t="s">
        <v>146</v>
      </c>
      <c r="E59" s="269" t="s">
        <v>146</v>
      </c>
      <c r="F59" s="106" t="s">
        <v>105</v>
      </c>
      <c r="H59" s="107" t="s">
        <v>147</v>
      </c>
      <c r="X59" s="98"/>
    </row>
    <row r="60" spans="1:24" ht="15.75" x14ac:dyDescent="0.25">
      <c r="A60" s="108">
        <v>18</v>
      </c>
      <c r="B60" s="265"/>
      <c r="C60" s="105" t="s">
        <v>148</v>
      </c>
      <c r="D60" s="269"/>
      <c r="E60" s="269"/>
      <c r="F60" s="106" t="s">
        <v>149</v>
      </c>
      <c r="H60" s="101" t="s">
        <v>150</v>
      </c>
      <c r="X60" s="98"/>
    </row>
    <row r="61" spans="1:24" ht="15.75" x14ac:dyDescent="0.25">
      <c r="A61" s="104">
        <v>19</v>
      </c>
      <c r="B61" s="265"/>
      <c r="C61" s="109"/>
      <c r="D61" s="269"/>
      <c r="E61" s="269"/>
      <c r="F61" s="110"/>
      <c r="H61" s="101" t="s">
        <v>151</v>
      </c>
      <c r="I61" s="100"/>
      <c r="X61" s="98"/>
    </row>
    <row r="62" spans="1:24" ht="15.75" x14ac:dyDescent="0.25">
      <c r="A62" s="108">
        <v>20</v>
      </c>
      <c r="B62" s="265"/>
      <c r="C62" s="106" t="s">
        <v>146</v>
      </c>
      <c r="D62" s="270" t="s">
        <v>105</v>
      </c>
      <c r="E62" s="106" t="s">
        <v>105</v>
      </c>
      <c r="F62" s="110"/>
      <c r="H62" s="101" t="s">
        <v>152</v>
      </c>
      <c r="X62" s="98"/>
    </row>
    <row r="63" spans="1:24" ht="15.75" x14ac:dyDescent="0.25">
      <c r="A63" s="104">
        <v>21</v>
      </c>
      <c r="B63" s="267" t="s">
        <v>107</v>
      </c>
      <c r="C63" s="106" t="s">
        <v>153</v>
      </c>
      <c r="D63" s="270"/>
      <c r="E63" s="106" t="s">
        <v>149</v>
      </c>
      <c r="F63" s="110"/>
      <c r="H63" s="101" t="s">
        <v>154</v>
      </c>
      <c r="X63" s="98"/>
    </row>
    <row r="64" spans="1:24" ht="15.75" x14ac:dyDescent="0.25">
      <c r="A64" s="108">
        <v>22</v>
      </c>
      <c r="B64" s="267"/>
      <c r="C64" s="110"/>
      <c r="D64" s="270"/>
      <c r="E64" s="110"/>
      <c r="F64" s="110"/>
      <c r="H64" s="101" t="s">
        <v>155</v>
      </c>
      <c r="X64" s="98"/>
    </row>
    <row r="65" spans="1:24" ht="15.75" x14ac:dyDescent="0.25">
      <c r="A65" s="104">
        <v>23</v>
      </c>
      <c r="B65" s="267"/>
      <c r="C65" s="110"/>
      <c r="D65" s="270"/>
      <c r="E65" s="110"/>
      <c r="F65" s="110"/>
      <c r="H65" s="101"/>
      <c r="X65" s="98"/>
    </row>
    <row r="66" spans="1:24" ht="15.75" x14ac:dyDescent="0.25">
      <c r="A66" s="108">
        <v>24</v>
      </c>
      <c r="B66" s="267"/>
      <c r="C66" s="110"/>
      <c r="D66" s="270"/>
      <c r="E66" s="110"/>
      <c r="F66" s="110"/>
      <c r="H66" s="101" t="s">
        <v>156</v>
      </c>
      <c r="X66" s="98"/>
    </row>
    <row r="67" spans="1:24" ht="15.75" x14ac:dyDescent="0.25">
      <c r="A67" s="104">
        <v>25</v>
      </c>
      <c r="B67" s="267"/>
      <c r="C67" s="110"/>
      <c r="D67" s="269" t="s">
        <v>146</v>
      </c>
      <c r="E67" s="110"/>
      <c r="F67" s="110"/>
      <c r="H67" s="101" t="s">
        <v>157</v>
      </c>
      <c r="X67" s="98"/>
    </row>
    <row r="68" spans="1:24" ht="15.75" x14ac:dyDescent="0.25">
      <c r="A68" s="108">
        <v>26</v>
      </c>
      <c r="B68" s="267"/>
      <c r="C68" s="269" t="s">
        <v>146</v>
      </c>
      <c r="D68" s="269"/>
      <c r="E68" s="110"/>
      <c r="F68" s="110"/>
      <c r="H68" s="101"/>
      <c r="X68" s="98"/>
    </row>
    <row r="69" spans="1:24" ht="15.75" x14ac:dyDescent="0.25">
      <c r="A69" s="104">
        <v>27</v>
      </c>
      <c r="B69" s="265" t="s">
        <v>108</v>
      </c>
      <c r="C69" s="269"/>
      <c r="D69" s="269"/>
      <c r="E69" s="110"/>
      <c r="F69" s="110"/>
      <c r="H69" s="101"/>
      <c r="X69" s="98"/>
    </row>
    <row r="70" spans="1:24" ht="15.75" x14ac:dyDescent="0.25">
      <c r="A70" s="108">
        <v>28</v>
      </c>
      <c r="B70" s="265"/>
      <c r="C70" s="267" t="s">
        <v>107</v>
      </c>
      <c r="D70" s="269"/>
      <c r="E70" s="110"/>
      <c r="F70" s="110"/>
      <c r="H70" s="101" t="s">
        <v>158</v>
      </c>
      <c r="X70" s="98"/>
    </row>
    <row r="71" spans="1:24" ht="15.75" x14ac:dyDescent="0.25">
      <c r="A71" s="104">
        <v>29</v>
      </c>
      <c r="B71" s="265"/>
      <c r="C71" s="267"/>
      <c r="D71" s="269"/>
      <c r="E71" s="110"/>
      <c r="F71" s="110"/>
      <c r="H71" s="101"/>
      <c r="X71" s="98"/>
    </row>
    <row r="72" spans="1:24" ht="15.75" x14ac:dyDescent="0.25">
      <c r="A72" s="108">
        <v>30</v>
      </c>
      <c r="B72" s="265"/>
      <c r="C72" s="267"/>
      <c r="D72" s="267" t="s">
        <v>107</v>
      </c>
      <c r="E72" s="110"/>
      <c r="F72" s="110"/>
      <c r="H72" s="101" t="s">
        <v>159</v>
      </c>
      <c r="X72" s="98"/>
    </row>
    <row r="73" spans="1:24" ht="15.75" x14ac:dyDescent="0.25">
      <c r="A73" s="104">
        <v>31</v>
      </c>
      <c r="B73" s="265"/>
      <c r="C73" s="267"/>
      <c r="D73" s="267"/>
      <c r="E73" s="106" t="s">
        <v>146</v>
      </c>
      <c r="F73" s="110"/>
      <c r="H73" s="101"/>
      <c r="X73" s="98"/>
    </row>
    <row r="74" spans="1:24" ht="15.75" x14ac:dyDescent="0.25">
      <c r="A74" s="108">
        <v>32</v>
      </c>
      <c r="B74" s="265"/>
      <c r="C74" s="267"/>
      <c r="D74" s="267"/>
      <c r="E74" s="106" t="s">
        <v>153</v>
      </c>
      <c r="F74" s="110"/>
      <c r="H74" s="101" t="s">
        <v>160</v>
      </c>
      <c r="X74" s="98"/>
    </row>
    <row r="75" spans="1:24" ht="15.75" x14ac:dyDescent="0.25">
      <c r="A75" s="104">
        <v>33</v>
      </c>
      <c r="B75" s="265"/>
      <c r="C75" s="265" t="s">
        <v>108</v>
      </c>
      <c r="D75" s="267"/>
      <c r="E75" s="105" t="s">
        <v>107</v>
      </c>
      <c r="F75" s="105" t="s">
        <v>107</v>
      </c>
      <c r="H75" s="101"/>
      <c r="X75" s="98"/>
    </row>
    <row r="76" spans="1:24" ht="15.75" x14ac:dyDescent="0.25">
      <c r="A76" s="108">
        <v>34</v>
      </c>
      <c r="B76" s="268" t="s">
        <v>161</v>
      </c>
      <c r="C76" s="265"/>
      <c r="D76" s="267"/>
      <c r="E76" s="105" t="s">
        <v>148</v>
      </c>
      <c r="F76" s="105" t="s">
        <v>148</v>
      </c>
      <c r="H76" s="101" t="s">
        <v>162</v>
      </c>
      <c r="X76" s="98"/>
    </row>
    <row r="77" spans="1:24" ht="15.75" x14ac:dyDescent="0.25">
      <c r="A77" s="104">
        <v>35</v>
      </c>
      <c r="B77" s="268"/>
      <c r="C77" s="268" t="s">
        <v>161</v>
      </c>
      <c r="D77" s="265" t="s">
        <v>108</v>
      </c>
      <c r="E77" s="265" t="s">
        <v>108</v>
      </c>
      <c r="F77" s="109"/>
      <c r="H77" s="101"/>
      <c r="X77" s="98"/>
    </row>
    <row r="78" spans="1:24" ht="15.75" x14ac:dyDescent="0.25">
      <c r="A78" s="108">
        <v>36</v>
      </c>
      <c r="B78" s="268"/>
      <c r="C78" s="268"/>
      <c r="D78" s="265"/>
      <c r="E78" s="265"/>
      <c r="F78" s="111" t="s">
        <v>108</v>
      </c>
      <c r="H78" s="101" t="s">
        <v>163</v>
      </c>
      <c r="X78" s="98"/>
    </row>
    <row r="79" spans="1:24" ht="15.75" x14ac:dyDescent="0.25">
      <c r="A79" s="266" t="s">
        <v>164</v>
      </c>
      <c r="B79" s="266"/>
      <c r="C79" s="266"/>
      <c r="D79" s="266"/>
      <c r="E79" s="266"/>
      <c r="F79" s="266"/>
      <c r="H79" s="101"/>
      <c r="X79" s="98"/>
    </row>
    <row r="80" spans="1:24" ht="15.75" x14ac:dyDescent="0.25">
      <c r="A80" s="100"/>
      <c r="B80" s="100"/>
      <c r="C80" s="100"/>
      <c r="D80" s="100"/>
      <c r="E80" s="100"/>
      <c r="F80" s="100"/>
      <c r="H80" s="101" t="s">
        <v>165</v>
      </c>
      <c r="X80" s="98"/>
    </row>
    <row r="81" spans="1:24" ht="15.75" x14ac:dyDescent="0.25">
      <c r="A81" s="100"/>
      <c r="B81" s="100"/>
      <c r="C81" s="100"/>
      <c r="D81" s="100"/>
      <c r="E81" s="100"/>
      <c r="F81" s="100"/>
      <c r="H81" s="101"/>
      <c r="X81" s="98"/>
    </row>
    <row r="82" spans="1:24" ht="15.75" x14ac:dyDescent="0.25">
      <c r="A82" s="100"/>
      <c r="B82" s="100"/>
      <c r="C82" s="100"/>
      <c r="D82" s="100"/>
      <c r="E82" s="100"/>
      <c r="F82" s="100"/>
      <c r="H82" s="101" t="s">
        <v>166</v>
      </c>
      <c r="X82" s="98"/>
    </row>
    <row r="83" spans="1:24" ht="15.75" x14ac:dyDescent="0.25">
      <c r="A83" s="100"/>
      <c r="B83" s="100"/>
      <c r="C83" s="100"/>
      <c r="D83" s="100"/>
      <c r="E83" s="100"/>
      <c r="F83" s="100"/>
      <c r="H83" s="101"/>
      <c r="X83" s="98"/>
    </row>
    <row r="84" spans="1:24" ht="15.75" x14ac:dyDescent="0.25">
      <c r="A84" t="s">
        <v>167</v>
      </c>
      <c r="B84" s="100"/>
      <c r="C84" s="100"/>
      <c r="D84" s="100"/>
      <c r="E84" s="100"/>
      <c r="F84" s="100"/>
      <c r="H84" s="101"/>
      <c r="X84" s="98"/>
    </row>
    <row r="85" spans="1:24" ht="15.75" x14ac:dyDescent="0.25">
      <c r="A85" t="s">
        <v>168</v>
      </c>
      <c r="B85" s="100"/>
      <c r="C85" s="100"/>
      <c r="D85" s="100"/>
      <c r="E85" s="100"/>
      <c r="F85" s="100"/>
      <c r="H85" s="101"/>
      <c r="X85" s="98"/>
    </row>
    <row r="86" spans="1:24" ht="15.75" x14ac:dyDescent="0.25">
      <c r="A86" s="100" t="s">
        <v>169</v>
      </c>
      <c r="B86" s="100"/>
      <c r="C86" s="100"/>
      <c r="D86" s="100"/>
      <c r="E86" s="100"/>
      <c r="F86" s="100"/>
      <c r="H86" s="101"/>
      <c r="X86" s="98"/>
    </row>
    <row r="87" spans="1:24" ht="15.75" x14ac:dyDescent="0.25">
      <c r="A87" s="100"/>
      <c r="B87" s="100"/>
      <c r="C87" s="100"/>
      <c r="D87" s="100"/>
      <c r="E87" s="100"/>
      <c r="F87" s="100"/>
      <c r="G87" s="100"/>
      <c r="H87" s="101"/>
      <c r="I87" s="100"/>
      <c r="J87" s="100"/>
      <c r="K87" s="100"/>
      <c r="L87" s="100"/>
      <c r="M87" s="100"/>
      <c r="N87" s="100"/>
      <c r="O87" s="100"/>
      <c r="P87" s="100"/>
      <c r="Q87" s="100"/>
      <c r="R87" s="100"/>
      <c r="S87" s="100"/>
      <c r="T87" s="100"/>
      <c r="U87" s="100"/>
      <c r="V87" s="100"/>
      <c r="W87" s="100"/>
      <c r="X87" s="99"/>
    </row>
    <row r="88" spans="1:24" ht="15.75" x14ac:dyDescent="0.25">
      <c r="A88" s="100"/>
      <c r="B88" s="100"/>
      <c r="C88" s="100"/>
      <c r="D88" s="100"/>
      <c r="E88" s="100"/>
      <c r="F88" s="100"/>
      <c r="G88" s="100"/>
      <c r="H88" s="101"/>
      <c r="I88" s="100"/>
      <c r="J88" s="100"/>
      <c r="K88" s="100"/>
      <c r="L88" s="100"/>
      <c r="M88" s="100"/>
      <c r="N88" s="100"/>
      <c r="O88" s="100"/>
      <c r="P88" s="100"/>
      <c r="Q88" s="100"/>
      <c r="R88" s="100"/>
      <c r="S88" s="100"/>
      <c r="T88" s="100"/>
      <c r="U88" s="100"/>
      <c r="V88" s="100"/>
      <c r="W88" s="100"/>
      <c r="X88" s="99"/>
    </row>
    <row r="89" spans="1:24" ht="15.75" x14ac:dyDescent="0.25">
      <c r="A89" s="100"/>
      <c r="B89" s="100"/>
      <c r="C89" s="100"/>
      <c r="D89" s="100"/>
      <c r="E89" s="100"/>
      <c r="F89" s="100"/>
      <c r="G89" s="100"/>
      <c r="H89" s="101"/>
      <c r="I89" s="100"/>
      <c r="J89" s="100"/>
      <c r="K89" s="100"/>
      <c r="L89" s="100"/>
      <c r="M89" s="100"/>
      <c r="N89" s="100"/>
      <c r="O89" s="100"/>
      <c r="P89" s="100"/>
      <c r="Q89" s="100"/>
      <c r="R89" s="100"/>
      <c r="S89" s="100"/>
      <c r="T89" s="100"/>
      <c r="U89" s="100"/>
      <c r="V89" s="100"/>
      <c r="W89" s="100"/>
      <c r="X89" s="99"/>
    </row>
    <row r="90" spans="1:24" ht="15.75" x14ac:dyDescent="0.25">
      <c r="A90" s="100"/>
      <c r="B90" s="100"/>
      <c r="C90" s="100"/>
      <c r="D90" s="100"/>
      <c r="E90" s="100"/>
      <c r="F90" s="100"/>
      <c r="G90" s="100"/>
      <c r="H90" s="101"/>
      <c r="I90" s="100"/>
      <c r="J90" s="100"/>
      <c r="K90" s="100"/>
      <c r="L90" s="100"/>
      <c r="M90" s="100"/>
      <c r="N90" s="100"/>
      <c r="O90" s="100"/>
      <c r="P90" s="100"/>
      <c r="Q90" s="100"/>
      <c r="R90" s="100"/>
      <c r="S90" s="100"/>
      <c r="T90" s="100"/>
      <c r="U90" s="100"/>
      <c r="V90" s="100"/>
      <c r="W90" s="100"/>
      <c r="X90" s="99"/>
    </row>
    <row r="91" spans="1:24" ht="15.75" x14ac:dyDescent="0.25">
      <c r="A91" s="100"/>
      <c r="B91" s="100"/>
      <c r="C91" s="100"/>
      <c r="D91" s="100"/>
      <c r="E91" s="100"/>
      <c r="F91" s="100"/>
      <c r="G91" s="100"/>
      <c r="H91" s="101"/>
      <c r="I91" s="100"/>
      <c r="J91" s="100"/>
      <c r="K91" s="100"/>
      <c r="L91" s="100"/>
      <c r="M91" s="100"/>
      <c r="N91" s="100"/>
      <c r="O91" s="100"/>
      <c r="P91" s="100"/>
      <c r="Q91" s="100"/>
      <c r="R91" s="100"/>
      <c r="S91" s="100"/>
      <c r="T91" s="100"/>
      <c r="U91" s="100"/>
      <c r="V91" s="100"/>
      <c r="W91" s="100"/>
      <c r="X91" s="99"/>
    </row>
    <row r="92" spans="1:24" ht="15.75" x14ac:dyDescent="0.25">
      <c r="A92" s="100"/>
      <c r="B92" s="100"/>
      <c r="C92" s="100"/>
      <c r="D92" s="100"/>
      <c r="E92" s="100"/>
      <c r="F92" s="100"/>
      <c r="G92" s="100"/>
      <c r="H92" s="101"/>
      <c r="I92" s="100"/>
      <c r="J92" s="100"/>
      <c r="K92" s="100"/>
      <c r="L92" s="100"/>
      <c r="M92" s="100"/>
      <c r="N92" s="100"/>
      <c r="O92" s="100"/>
      <c r="P92" s="100"/>
      <c r="Q92" s="100"/>
      <c r="R92" s="100"/>
      <c r="S92" s="100"/>
      <c r="T92" s="100"/>
      <c r="U92" s="100"/>
      <c r="V92" s="100"/>
      <c r="W92" s="100"/>
      <c r="X92" s="99"/>
    </row>
    <row r="93" spans="1:24" ht="15.75" x14ac:dyDescent="0.25">
      <c r="A93" s="100"/>
      <c r="B93" s="100"/>
      <c r="C93" s="100"/>
      <c r="D93" s="100"/>
      <c r="E93" s="100"/>
      <c r="F93" s="100"/>
      <c r="G93" s="100"/>
      <c r="H93" s="101"/>
      <c r="I93" s="100"/>
      <c r="J93" s="100"/>
      <c r="K93" s="100"/>
      <c r="L93" s="100"/>
      <c r="M93" s="100"/>
      <c r="N93" s="100"/>
      <c r="O93" s="100"/>
      <c r="P93" s="100"/>
      <c r="Q93" s="100"/>
      <c r="R93" s="100"/>
      <c r="S93" s="100"/>
      <c r="T93" s="100"/>
      <c r="U93" s="100"/>
      <c r="V93" s="100"/>
      <c r="W93" s="100"/>
      <c r="X93" s="99"/>
    </row>
    <row r="94" spans="1:24" ht="15.75" x14ac:dyDescent="0.25">
      <c r="A94" s="100"/>
      <c r="B94" s="100"/>
      <c r="C94" s="100"/>
      <c r="D94" s="100"/>
      <c r="E94" s="100"/>
      <c r="F94" s="100"/>
      <c r="G94" s="100"/>
      <c r="H94" s="101"/>
      <c r="I94" s="100"/>
      <c r="J94" s="100"/>
      <c r="K94" s="100"/>
      <c r="L94" s="100"/>
      <c r="M94" s="100"/>
      <c r="N94" s="100"/>
      <c r="O94" s="100"/>
      <c r="P94" s="100"/>
      <c r="Q94" s="100"/>
      <c r="R94" s="100"/>
      <c r="S94" s="100"/>
      <c r="T94" s="100"/>
      <c r="U94" s="100"/>
      <c r="V94" s="100"/>
      <c r="W94" s="100"/>
      <c r="X94" s="99"/>
    </row>
    <row r="95" spans="1:24" ht="15.75" x14ac:dyDescent="0.25">
      <c r="A95" s="100"/>
      <c r="B95" s="100"/>
      <c r="C95" s="100"/>
      <c r="D95" s="100"/>
      <c r="E95" s="100"/>
      <c r="F95" s="100"/>
      <c r="G95" s="100"/>
      <c r="H95" s="101"/>
      <c r="I95" s="100"/>
      <c r="J95" s="100"/>
      <c r="K95" s="100"/>
      <c r="L95" s="100"/>
      <c r="M95" s="100"/>
      <c r="N95" s="100"/>
      <c r="O95" s="100"/>
      <c r="P95" s="100"/>
      <c r="Q95" s="100"/>
      <c r="R95" s="100"/>
      <c r="S95" s="100"/>
      <c r="T95" s="100"/>
      <c r="U95" s="100"/>
      <c r="V95" s="100"/>
      <c r="W95" s="100"/>
      <c r="X95" s="99"/>
    </row>
    <row r="96" spans="1:24" ht="15.75" x14ac:dyDescent="0.25">
      <c r="A96" s="100"/>
      <c r="B96" s="100"/>
      <c r="C96" s="100"/>
      <c r="D96" s="100"/>
      <c r="E96" s="100"/>
      <c r="F96" s="100"/>
      <c r="G96" s="100"/>
      <c r="H96" s="101"/>
      <c r="I96" s="100"/>
      <c r="J96" s="100"/>
      <c r="K96" s="100"/>
      <c r="L96" s="100"/>
      <c r="M96" s="100"/>
      <c r="N96" s="100"/>
      <c r="O96" s="100"/>
      <c r="P96" s="100"/>
      <c r="Q96" s="100"/>
      <c r="R96" s="100"/>
      <c r="S96" s="100"/>
      <c r="T96" s="100"/>
      <c r="U96" s="100"/>
      <c r="V96" s="100"/>
      <c r="W96" s="100"/>
      <c r="X96" s="99"/>
    </row>
    <row r="97" spans="1:24" ht="15.75" x14ac:dyDescent="0.25">
      <c r="A97" s="100"/>
      <c r="B97" s="100"/>
      <c r="C97" s="100"/>
      <c r="D97" s="100"/>
      <c r="E97" s="100"/>
      <c r="F97" s="100"/>
      <c r="G97" s="100"/>
      <c r="H97" s="101"/>
      <c r="I97" s="100"/>
      <c r="J97" s="100"/>
      <c r="K97" s="100"/>
      <c r="L97" s="100"/>
      <c r="M97" s="100"/>
      <c r="N97" s="100"/>
      <c r="O97" s="100"/>
      <c r="P97" s="100"/>
      <c r="Q97" s="100"/>
      <c r="R97" s="100"/>
      <c r="S97" s="100"/>
      <c r="T97" s="100"/>
      <c r="U97" s="100"/>
      <c r="V97" s="100"/>
      <c r="W97" s="100"/>
      <c r="X97" s="99"/>
    </row>
    <row r="98" spans="1:24" ht="15.75" x14ac:dyDescent="0.25">
      <c r="A98" s="100"/>
      <c r="B98" s="100"/>
      <c r="C98" s="100"/>
      <c r="D98" s="100"/>
      <c r="E98" s="100"/>
      <c r="F98" s="100"/>
      <c r="G98" s="100"/>
      <c r="H98" s="101"/>
      <c r="I98" s="100"/>
      <c r="J98" s="100"/>
      <c r="K98" s="100"/>
      <c r="L98" s="100"/>
      <c r="M98" s="100"/>
      <c r="N98" s="100"/>
      <c r="O98" s="100"/>
      <c r="P98" s="100"/>
      <c r="Q98" s="100"/>
      <c r="R98" s="100"/>
      <c r="S98" s="100"/>
      <c r="T98" s="100"/>
      <c r="U98" s="100"/>
      <c r="V98" s="100"/>
      <c r="W98" s="100"/>
      <c r="X98" s="99"/>
    </row>
    <row r="99" spans="1:24" ht="15.75" x14ac:dyDescent="0.25">
      <c r="A99" s="100"/>
      <c r="B99" s="100"/>
      <c r="C99" s="100"/>
      <c r="D99" s="100"/>
      <c r="E99" s="100"/>
      <c r="F99" s="100"/>
      <c r="G99" s="100"/>
      <c r="H99" s="101"/>
      <c r="I99" s="100"/>
      <c r="J99" s="100"/>
      <c r="K99" s="100"/>
      <c r="L99" s="100"/>
      <c r="M99" s="100"/>
      <c r="N99" s="100"/>
      <c r="O99" s="100"/>
      <c r="P99" s="100"/>
      <c r="Q99" s="100"/>
      <c r="R99" s="100"/>
      <c r="S99" s="100"/>
      <c r="T99" s="100"/>
      <c r="U99" s="100"/>
      <c r="V99" s="100"/>
      <c r="W99" s="100"/>
      <c r="X99" s="99"/>
    </row>
    <row r="100" spans="1:24" ht="15.75" x14ac:dyDescent="0.25">
      <c r="A100" s="100"/>
      <c r="B100" s="100"/>
      <c r="C100" s="100"/>
      <c r="D100" s="100"/>
      <c r="E100" s="100"/>
      <c r="F100" s="100"/>
      <c r="G100" s="100"/>
      <c r="H100" s="101"/>
      <c r="I100" s="100"/>
      <c r="J100" s="100"/>
      <c r="K100" s="100"/>
      <c r="L100" s="100"/>
      <c r="M100" s="100"/>
      <c r="N100" s="100"/>
      <c r="O100" s="100"/>
      <c r="P100" s="100"/>
      <c r="Q100" s="100"/>
      <c r="R100" s="100"/>
      <c r="S100" s="100"/>
      <c r="T100" s="100"/>
      <c r="U100" s="100"/>
      <c r="V100" s="100"/>
      <c r="W100" s="100"/>
      <c r="X100" s="99"/>
    </row>
    <row r="101" spans="1:24" ht="15.75" x14ac:dyDescent="0.25">
      <c r="A101" s="100"/>
      <c r="B101" s="100"/>
      <c r="C101" s="100"/>
      <c r="D101" s="100"/>
      <c r="E101" s="100"/>
      <c r="F101" s="100"/>
      <c r="G101" s="100"/>
      <c r="H101" s="101"/>
      <c r="I101" s="100"/>
      <c r="J101" s="100"/>
      <c r="K101" s="100"/>
      <c r="L101" s="100"/>
      <c r="M101" s="100"/>
      <c r="N101" s="100"/>
      <c r="O101" s="100"/>
      <c r="P101" s="100"/>
      <c r="Q101" s="100"/>
      <c r="R101" s="100"/>
      <c r="S101" s="100"/>
      <c r="T101" s="100"/>
      <c r="U101" s="100"/>
      <c r="V101" s="100"/>
      <c r="W101" s="100"/>
      <c r="X101" s="99"/>
    </row>
    <row r="102" spans="1:24" ht="15.75" x14ac:dyDescent="0.25">
      <c r="A102" s="100"/>
      <c r="B102" s="100"/>
      <c r="C102" s="100"/>
      <c r="D102" s="100"/>
      <c r="E102" s="100"/>
      <c r="F102" s="100"/>
      <c r="G102" s="100"/>
      <c r="H102" s="101"/>
      <c r="I102" s="100"/>
      <c r="J102" s="100"/>
      <c r="K102" s="100"/>
      <c r="L102" s="100"/>
      <c r="M102" s="100"/>
      <c r="N102" s="100"/>
      <c r="O102" s="100"/>
      <c r="P102" s="100"/>
      <c r="Q102" s="100"/>
      <c r="R102" s="100"/>
      <c r="S102" s="100"/>
      <c r="T102" s="100"/>
      <c r="U102" s="100"/>
      <c r="V102" s="100"/>
      <c r="W102" s="100"/>
      <c r="X102" s="99"/>
    </row>
    <row r="103" spans="1:24" ht="15.75" x14ac:dyDescent="0.25">
      <c r="A103" s="100"/>
      <c r="B103" s="100"/>
      <c r="C103" s="100"/>
      <c r="D103" s="100"/>
      <c r="E103" s="100"/>
      <c r="F103" s="100"/>
      <c r="G103" s="100"/>
      <c r="H103" s="101"/>
      <c r="I103" s="100"/>
      <c r="J103" s="100"/>
      <c r="K103" s="100"/>
      <c r="L103" s="100"/>
      <c r="M103" s="100"/>
      <c r="N103" s="100"/>
      <c r="O103" s="100"/>
      <c r="P103" s="100"/>
      <c r="Q103" s="100"/>
      <c r="R103" s="100"/>
      <c r="S103" s="100"/>
      <c r="T103" s="100"/>
      <c r="U103" s="100"/>
      <c r="V103" s="100"/>
      <c r="W103" s="100"/>
      <c r="X103" s="99"/>
    </row>
    <row r="104" spans="1:24" ht="15.75" x14ac:dyDescent="0.25">
      <c r="A104" s="100"/>
      <c r="B104" s="100"/>
      <c r="C104" s="100"/>
      <c r="D104" s="100"/>
      <c r="E104" s="100"/>
      <c r="F104" s="100"/>
      <c r="G104" s="100"/>
      <c r="H104" s="101"/>
      <c r="I104" s="100"/>
      <c r="J104" s="100"/>
      <c r="K104" s="100"/>
      <c r="L104" s="100"/>
      <c r="M104" s="100"/>
      <c r="N104" s="100"/>
      <c r="O104" s="100"/>
      <c r="P104" s="100"/>
      <c r="Q104" s="100"/>
      <c r="R104" s="100"/>
      <c r="S104" s="100"/>
      <c r="T104" s="100"/>
      <c r="U104" s="100"/>
      <c r="V104" s="100"/>
      <c r="W104" s="100"/>
      <c r="X104" s="99"/>
    </row>
    <row r="105" spans="1:24" ht="15.75" x14ac:dyDescent="0.25">
      <c r="A105" s="100"/>
      <c r="B105" s="100"/>
      <c r="C105" s="100"/>
      <c r="D105" s="100"/>
      <c r="E105" s="100"/>
      <c r="F105" s="100"/>
      <c r="G105" s="100"/>
      <c r="H105" s="101"/>
      <c r="I105" s="100"/>
      <c r="J105" s="100"/>
      <c r="K105" s="100"/>
      <c r="L105" s="100"/>
      <c r="M105" s="100"/>
      <c r="N105" s="100"/>
      <c r="O105" s="100"/>
      <c r="P105" s="100"/>
      <c r="Q105" s="100"/>
      <c r="R105" s="100"/>
      <c r="S105" s="100"/>
      <c r="T105" s="100"/>
      <c r="U105" s="100"/>
      <c r="V105" s="100"/>
      <c r="W105" s="100"/>
      <c r="X105" s="99"/>
    </row>
    <row r="106" spans="1:24" ht="15.75" x14ac:dyDescent="0.25">
      <c r="A106" s="100"/>
      <c r="B106" s="100"/>
      <c r="C106" s="100"/>
      <c r="D106" s="100"/>
      <c r="E106" s="100"/>
      <c r="F106" s="100"/>
      <c r="G106" s="100"/>
      <c r="H106" s="101"/>
      <c r="I106" s="100"/>
      <c r="J106" s="100"/>
      <c r="K106" s="100"/>
      <c r="L106" s="100"/>
      <c r="M106" s="100"/>
      <c r="N106" s="100"/>
      <c r="O106" s="100"/>
      <c r="P106" s="100"/>
      <c r="Q106" s="100"/>
      <c r="R106" s="100"/>
      <c r="S106" s="100"/>
      <c r="T106" s="100"/>
      <c r="U106" s="100"/>
      <c r="V106" s="100"/>
      <c r="W106" s="100"/>
      <c r="X106" s="99"/>
    </row>
    <row r="107" spans="1:24" ht="15.75" x14ac:dyDescent="0.25">
      <c r="A107" s="100"/>
      <c r="B107" s="100"/>
      <c r="C107" s="100"/>
      <c r="D107" s="100"/>
      <c r="E107" s="100"/>
      <c r="F107" s="100"/>
      <c r="G107" s="100"/>
      <c r="H107" s="101"/>
      <c r="I107" s="100"/>
      <c r="J107" s="100"/>
      <c r="K107" s="100"/>
      <c r="L107" s="100"/>
      <c r="M107" s="100"/>
      <c r="N107" s="100"/>
      <c r="O107" s="100"/>
      <c r="P107" s="100"/>
      <c r="Q107" s="100"/>
      <c r="R107" s="100"/>
      <c r="S107" s="100"/>
      <c r="T107" s="100"/>
      <c r="U107" s="100"/>
      <c r="V107" s="100"/>
      <c r="W107" s="100"/>
      <c r="X107" s="99"/>
    </row>
    <row r="108" spans="1:24" ht="15.75" x14ac:dyDescent="0.25">
      <c r="A108" s="100"/>
      <c r="B108" s="100"/>
      <c r="C108" s="100"/>
      <c r="D108" s="100"/>
      <c r="E108" s="100"/>
      <c r="F108" s="100"/>
      <c r="G108" s="100"/>
      <c r="H108" s="101"/>
      <c r="I108" s="100"/>
      <c r="J108" s="100"/>
      <c r="K108" s="100"/>
      <c r="L108" s="100"/>
      <c r="M108" s="100"/>
      <c r="N108" s="100"/>
      <c r="O108" s="100"/>
      <c r="P108" s="100"/>
      <c r="Q108" s="100"/>
      <c r="R108" s="100"/>
      <c r="S108" s="100"/>
      <c r="T108" s="100"/>
      <c r="U108" s="100"/>
      <c r="V108" s="100"/>
      <c r="W108" s="100"/>
      <c r="X108" s="99"/>
    </row>
    <row r="109" spans="1:24" ht="15.75" x14ac:dyDescent="0.25">
      <c r="A109" s="100"/>
      <c r="B109" s="100"/>
      <c r="C109" s="100"/>
      <c r="D109" s="100"/>
      <c r="E109" s="100"/>
      <c r="F109" s="100"/>
      <c r="G109" s="100"/>
      <c r="H109" s="101"/>
      <c r="I109" s="100"/>
      <c r="J109" s="100"/>
      <c r="K109" s="100"/>
      <c r="L109" s="100"/>
      <c r="M109" s="100"/>
      <c r="N109" s="100"/>
      <c r="O109" s="100"/>
      <c r="P109" s="100"/>
      <c r="Q109" s="100"/>
      <c r="R109" s="100"/>
      <c r="S109" s="100"/>
      <c r="T109" s="100"/>
      <c r="U109" s="100"/>
      <c r="V109" s="100"/>
      <c r="W109" s="100"/>
      <c r="X109" s="99"/>
    </row>
    <row r="110" spans="1:24" ht="15.75" x14ac:dyDescent="0.25">
      <c r="A110" s="100"/>
      <c r="B110" s="100"/>
      <c r="C110" s="100"/>
      <c r="D110" s="100"/>
      <c r="E110" s="100"/>
      <c r="F110" s="100"/>
      <c r="G110" s="100"/>
      <c r="H110" s="101"/>
      <c r="I110" s="100"/>
      <c r="J110" s="100"/>
      <c r="K110" s="100"/>
      <c r="L110" s="100"/>
      <c r="M110" s="100"/>
      <c r="N110" s="100"/>
      <c r="O110" s="100"/>
      <c r="P110" s="100"/>
      <c r="Q110" s="100"/>
      <c r="R110" s="100"/>
      <c r="S110" s="100"/>
      <c r="T110" s="100"/>
      <c r="U110" s="100"/>
      <c r="V110" s="100"/>
      <c r="W110" s="100"/>
      <c r="X110" s="99"/>
    </row>
    <row r="111" spans="1:24" ht="15.75" x14ac:dyDescent="0.25">
      <c r="A111" s="100"/>
      <c r="B111" s="100"/>
      <c r="C111" s="100"/>
      <c r="D111" s="100"/>
      <c r="E111" s="100"/>
      <c r="F111" s="100"/>
      <c r="G111" s="100"/>
      <c r="H111" s="101"/>
      <c r="I111" s="100"/>
      <c r="J111" s="100"/>
      <c r="K111" s="100"/>
      <c r="L111" s="100"/>
      <c r="M111" s="100"/>
      <c r="N111" s="100"/>
      <c r="O111" s="100"/>
      <c r="P111" s="100"/>
      <c r="Q111" s="100"/>
      <c r="R111" s="100"/>
      <c r="S111" s="100"/>
      <c r="T111" s="100"/>
      <c r="U111" s="100"/>
      <c r="V111" s="100"/>
      <c r="W111" s="100"/>
      <c r="X111" s="99"/>
    </row>
    <row r="112" spans="1:24" ht="15.75" x14ac:dyDescent="0.25">
      <c r="A112" s="100"/>
      <c r="B112" s="100"/>
      <c r="C112" s="100"/>
      <c r="D112" s="100"/>
      <c r="E112" s="100"/>
      <c r="F112" s="100"/>
      <c r="G112" s="100"/>
      <c r="H112" s="101"/>
      <c r="I112" s="100"/>
      <c r="J112" s="100"/>
      <c r="K112" s="100"/>
      <c r="L112" s="100"/>
      <c r="M112" s="100"/>
      <c r="N112" s="100"/>
      <c r="O112" s="100"/>
      <c r="P112" s="100"/>
      <c r="Q112" s="100"/>
      <c r="R112" s="100"/>
      <c r="S112" s="100"/>
      <c r="T112" s="100"/>
      <c r="U112" s="100"/>
      <c r="V112" s="100"/>
      <c r="W112" s="100"/>
      <c r="X112" s="99"/>
    </row>
    <row r="113" spans="1:24" ht="15.75" x14ac:dyDescent="0.25">
      <c r="A113" s="100"/>
      <c r="B113" s="100"/>
      <c r="C113" s="100"/>
      <c r="D113" s="100"/>
      <c r="E113" s="100"/>
      <c r="F113" s="100"/>
      <c r="G113" s="100"/>
      <c r="H113" s="101"/>
      <c r="I113" s="100"/>
      <c r="J113" s="100"/>
      <c r="K113" s="100"/>
      <c r="L113" s="100"/>
      <c r="M113" s="100"/>
      <c r="N113" s="100"/>
      <c r="O113" s="100"/>
      <c r="P113" s="100"/>
      <c r="Q113" s="100"/>
      <c r="R113" s="100"/>
      <c r="S113" s="100"/>
      <c r="T113" s="100"/>
      <c r="U113" s="100"/>
      <c r="V113" s="100"/>
      <c r="W113" s="100"/>
      <c r="X113" s="99"/>
    </row>
    <row r="114" spans="1:24" ht="15.75" x14ac:dyDescent="0.25">
      <c r="A114" s="100"/>
      <c r="B114" s="100"/>
      <c r="C114" s="100"/>
      <c r="D114" s="100"/>
      <c r="E114" s="100"/>
      <c r="F114" s="100"/>
      <c r="G114" s="100"/>
      <c r="H114" s="101"/>
      <c r="I114" s="100"/>
      <c r="J114" s="100"/>
      <c r="K114" s="100"/>
      <c r="L114" s="100"/>
      <c r="M114" s="100"/>
      <c r="N114" s="100"/>
      <c r="O114" s="100"/>
      <c r="P114" s="100"/>
      <c r="Q114" s="100"/>
      <c r="R114" s="100"/>
      <c r="S114" s="100"/>
      <c r="T114" s="100"/>
      <c r="U114" s="100"/>
      <c r="V114" s="100"/>
      <c r="W114" s="100"/>
      <c r="X114" s="99"/>
    </row>
    <row r="115" spans="1:24" ht="15.75" x14ac:dyDescent="0.25">
      <c r="A115" s="100"/>
      <c r="B115" s="100"/>
      <c r="C115" s="100"/>
      <c r="D115" s="100"/>
      <c r="E115" s="100"/>
      <c r="F115" s="100"/>
      <c r="G115" s="100"/>
      <c r="H115" s="101"/>
      <c r="I115" s="100"/>
      <c r="J115" s="100"/>
      <c r="K115" s="100"/>
      <c r="L115" s="100"/>
      <c r="M115" s="100"/>
      <c r="N115" s="100"/>
      <c r="O115" s="100"/>
      <c r="P115" s="100"/>
      <c r="Q115" s="100"/>
      <c r="R115" s="100"/>
      <c r="S115" s="100"/>
      <c r="T115" s="100"/>
      <c r="U115" s="100"/>
      <c r="V115" s="100"/>
      <c r="W115" s="100"/>
      <c r="X115" s="99"/>
    </row>
    <row r="116" spans="1:24" ht="15.75" x14ac:dyDescent="0.25">
      <c r="A116" s="100"/>
      <c r="B116" s="100"/>
      <c r="C116" s="100"/>
      <c r="D116" s="100"/>
      <c r="E116" s="100"/>
      <c r="F116" s="100"/>
      <c r="G116" s="100"/>
      <c r="H116" s="101"/>
      <c r="I116" s="100"/>
      <c r="J116" s="100"/>
      <c r="K116" s="100"/>
      <c r="L116" s="100"/>
      <c r="M116" s="100"/>
      <c r="N116" s="100"/>
      <c r="O116" s="100"/>
      <c r="P116" s="100"/>
      <c r="Q116" s="100"/>
      <c r="R116" s="100"/>
      <c r="S116" s="100"/>
      <c r="T116" s="100"/>
      <c r="U116" s="100"/>
      <c r="V116" s="100"/>
      <c r="W116" s="100"/>
      <c r="X116" s="99"/>
    </row>
    <row r="117" spans="1:24" ht="15.75" x14ac:dyDescent="0.25">
      <c r="A117" s="100"/>
      <c r="B117" s="100"/>
      <c r="C117" s="100"/>
      <c r="D117" s="100"/>
      <c r="E117" s="100"/>
      <c r="F117" s="100"/>
      <c r="G117" s="100"/>
      <c r="H117" s="101"/>
      <c r="I117" s="100"/>
      <c r="J117" s="100"/>
      <c r="K117" s="100"/>
      <c r="L117" s="100"/>
      <c r="M117" s="100"/>
      <c r="N117" s="100"/>
      <c r="O117" s="100"/>
      <c r="P117" s="100"/>
      <c r="Q117" s="100"/>
      <c r="R117" s="100"/>
      <c r="S117" s="100"/>
      <c r="T117" s="100"/>
      <c r="U117" s="100"/>
      <c r="V117" s="100"/>
      <c r="W117" s="100"/>
      <c r="X117" s="99"/>
    </row>
    <row r="118" spans="1:24" ht="15.75" x14ac:dyDescent="0.25">
      <c r="A118" s="100"/>
      <c r="B118" s="100"/>
      <c r="C118" s="100"/>
      <c r="D118" s="100"/>
      <c r="E118" s="100"/>
      <c r="F118" s="100"/>
      <c r="G118" s="100"/>
      <c r="H118" s="101"/>
      <c r="I118" s="100"/>
      <c r="J118" s="100"/>
      <c r="K118" s="100"/>
      <c r="L118" s="100"/>
      <c r="M118" s="100"/>
      <c r="N118" s="100"/>
      <c r="O118" s="100"/>
      <c r="P118" s="100"/>
      <c r="Q118" s="100"/>
      <c r="R118" s="100"/>
      <c r="S118" s="100"/>
      <c r="T118" s="100"/>
      <c r="U118" s="100"/>
      <c r="V118" s="100"/>
      <c r="W118" s="100"/>
      <c r="X118" s="99"/>
    </row>
    <row r="119" spans="1:24" ht="15.75" x14ac:dyDescent="0.25">
      <c r="A119" s="100"/>
      <c r="B119" s="100"/>
      <c r="C119" s="100"/>
      <c r="D119" s="100"/>
      <c r="E119" s="100"/>
      <c r="F119" s="100"/>
      <c r="G119" s="100"/>
      <c r="H119" s="101"/>
      <c r="I119" s="100"/>
      <c r="J119" s="100"/>
      <c r="K119" s="100"/>
      <c r="L119" s="100"/>
      <c r="M119" s="100"/>
      <c r="N119" s="100"/>
      <c r="O119" s="100"/>
      <c r="P119" s="100"/>
      <c r="Q119" s="100"/>
      <c r="R119" s="100"/>
      <c r="S119" s="100"/>
      <c r="T119" s="100"/>
      <c r="U119" s="100"/>
      <c r="V119" s="100"/>
      <c r="W119" s="100"/>
      <c r="X119" s="99"/>
    </row>
    <row r="120" spans="1:24" ht="15.75" x14ac:dyDescent="0.25">
      <c r="A120" s="100"/>
      <c r="B120" s="100"/>
      <c r="C120" s="100"/>
      <c r="D120" s="100"/>
      <c r="E120" s="100"/>
      <c r="F120" s="100"/>
      <c r="G120" s="100"/>
      <c r="H120" s="101"/>
      <c r="I120" s="100"/>
      <c r="J120" s="100"/>
      <c r="K120" s="100"/>
      <c r="L120" s="100"/>
      <c r="M120" s="100"/>
      <c r="N120" s="100"/>
      <c r="O120" s="100"/>
      <c r="P120" s="100"/>
      <c r="Q120" s="100"/>
      <c r="R120" s="100"/>
      <c r="S120" s="100"/>
      <c r="T120" s="100"/>
      <c r="U120" s="100"/>
      <c r="V120" s="100"/>
      <c r="W120" s="100"/>
      <c r="X120" s="99"/>
    </row>
    <row r="121" spans="1:24" ht="15.75" x14ac:dyDescent="0.25">
      <c r="A121" s="100"/>
      <c r="B121" s="100"/>
      <c r="C121" s="100"/>
      <c r="D121" s="100"/>
      <c r="E121" s="100"/>
      <c r="F121" s="100"/>
      <c r="G121" s="100"/>
      <c r="H121" s="101"/>
      <c r="I121" s="100"/>
      <c r="J121" s="100"/>
      <c r="K121" s="100"/>
      <c r="L121" s="100"/>
      <c r="M121" s="100"/>
      <c r="N121" s="100"/>
      <c r="O121" s="100"/>
      <c r="P121" s="100"/>
      <c r="Q121" s="100"/>
      <c r="R121" s="100"/>
      <c r="S121" s="100"/>
      <c r="T121" s="100"/>
      <c r="U121" s="100"/>
      <c r="V121" s="100"/>
      <c r="W121" s="100"/>
      <c r="X121" s="99"/>
    </row>
    <row r="122" spans="1:24" ht="15.75" x14ac:dyDescent="0.25">
      <c r="A122" s="100"/>
      <c r="B122" s="100"/>
      <c r="C122" s="100"/>
      <c r="D122" s="100"/>
      <c r="E122" s="100"/>
      <c r="F122" s="100"/>
      <c r="G122" s="100"/>
      <c r="H122" s="101"/>
      <c r="I122" s="100"/>
      <c r="J122" s="100"/>
      <c r="K122" s="100"/>
      <c r="L122" s="100"/>
      <c r="M122" s="100"/>
      <c r="N122" s="100"/>
      <c r="O122" s="100"/>
      <c r="P122" s="100"/>
      <c r="Q122" s="100"/>
      <c r="R122" s="100"/>
      <c r="S122" s="100"/>
      <c r="T122" s="100"/>
      <c r="U122" s="100"/>
      <c r="V122" s="100"/>
      <c r="W122" s="100"/>
      <c r="X122" s="99"/>
    </row>
    <row r="123" spans="1:24" ht="15.75" x14ac:dyDescent="0.25">
      <c r="A123" s="100"/>
      <c r="B123" s="100"/>
      <c r="C123" s="100"/>
      <c r="D123" s="100"/>
      <c r="E123" s="100"/>
      <c r="F123" s="100"/>
      <c r="G123" s="100"/>
      <c r="H123" s="101"/>
      <c r="I123" s="100"/>
      <c r="J123" s="100"/>
      <c r="K123" s="100"/>
      <c r="L123" s="100"/>
      <c r="M123" s="100"/>
      <c r="N123" s="100"/>
      <c r="O123" s="100"/>
      <c r="P123" s="100"/>
      <c r="Q123" s="100"/>
      <c r="R123" s="100"/>
      <c r="S123" s="100"/>
      <c r="T123" s="100"/>
      <c r="U123" s="100"/>
      <c r="V123" s="100"/>
      <c r="W123" s="100"/>
      <c r="X123" s="99"/>
    </row>
    <row r="124" spans="1:24" ht="15.75" x14ac:dyDescent="0.25">
      <c r="A124" s="100"/>
      <c r="B124" s="100"/>
      <c r="C124" s="100"/>
      <c r="D124" s="100"/>
      <c r="E124" s="100"/>
      <c r="F124" s="100"/>
      <c r="G124" s="100"/>
      <c r="H124" s="101"/>
      <c r="I124" s="100"/>
      <c r="J124" s="100"/>
      <c r="K124" s="100"/>
      <c r="L124" s="100"/>
      <c r="M124" s="100"/>
      <c r="N124" s="100"/>
      <c r="O124" s="100"/>
      <c r="P124" s="100"/>
      <c r="Q124" s="100"/>
      <c r="R124" s="100"/>
      <c r="S124" s="100"/>
      <c r="T124" s="100"/>
      <c r="U124" s="100"/>
      <c r="V124" s="100"/>
      <c r="W124" s="100"/>
      <c r="X124" s="99"/>
    </row>
    <row r="125" spans="1:24" ht="15.75" x14ac:dyDescent="0.25">
      <c r="A125" s="100"/>
      <c r="B125" s="100"/>
      <c r="C125" s="100"/>
      <c r="D125" s="100"/>
      <c r="E125" s="100"/>
      <c r="F125" s="100"/>
      <c r="H125" s="101"/>
      <c r="X125" s="98"/>
    </row>
    <row r="126" spans="1:24" ht="15.75" x14ac:dyDescent="0.25">
      <c r="A126" s="100"/>
      <c r="B126" s="100"/>
      <c r="C126" s="100"/>
      <c r="D126" s="100"/>
      <c r="E126" s="100"/>
      <c r="F126" s="100"/>
      <c r="H126" s="101"/>
      <c r="X126" s="98"/>
    </row>
    <row r="127" spans="1:24" ht="15.75" x14ac:dyDescent="0.25">
      <c r="A127" s="100"/>
      <c r="B127" s="100"/>
      <c r="C127" s="100"/>
      <c r="D127" s="100"/>
      <c r="E127" s="100"/>
      <c r="F127" s="100"/>
      <c r="H127" s="101"/>
      <c r="X127" s="98"/>
    </row>
    <row r="128" spans="1:24" ht="15.75" x14ac:dyDescent="0.25">
      <c r="H128" s="101"/>
      <c r="X128" s="98"/>
    </row>
    <row r="129" spans="8:24" ht="15.75" x14ac:dyDescent="0.25">
      <c r="H129" s="101"/>
      <c r="X129" s="98"/>
    </row>
    <row r="130" spans="8:24" ht="15.75" x14ac:dyDescent="0.25">
      <c r="H130" s="101"/>
      <c r="X130" s="98"/>
    </row>
    <row r="131" spans="8:24" ht="15.75" x14ac:dyDescent="0.25">
      <c r="H131" s="101"/>
      <c r="X131" s="98"/>
    </row>
    <row r="132" spans="8:24" ht="15.75" x14ac:dyDescent="0.25">
      <c r="H132" s="101"/>
      <c r="X132" s="98"/>
    </row>
    <row r="133" spans="8:24" ht="15.75" x14ac:dyDescent="0.25">
      <c r="H133" s="101"/>
      <c r="X133" s="98"/>
    </row>
    <row r="134" spans="8:24" ht="15.75" x14ac:dyDescent="0.25">
      <c r="H134" s="101"/>
      <c r="X134" s="98"/>
    </row>
    <row r="135" spans="8:24" ht="15.75" x14ac:dyDescent="0.25">
      <c r="H135" s="101"/>
      <c r="X135" s="98"/>
    </row>
    <row r="136" spans="8:24" ht="15.75" x14ac:dyDescent="0.25">
      <c r="H136" s="101"/>
      <c r="X136" s="98"/>
    </row>
    <row r="137" spans="8:24" ht="15.75" x14ac:dyDescent="0.25">
      <c r="H137" s="101"/>
      <c r="X137" s="98"/>
    </row>
    <row r="138" spans="8:24" ht="15.75" x14ac:dyDescent="0.25">
      <c r="H138" s="101"/>
      <c r="X138" s="98"/>
    </row>
    <row r="139" spans="8:24" ht="15.75" x14ac:dyDescent="0.25">
      <c r="H139" s="101"/>
      <c r="X139" s="98"/>
    </row>
    <row r="140" spans="8:24" ht="15.75" x14ac:dyDescent="0.25">
      <c r="H140" s="101"/>
      <c r="X140" s="98"/>
    </row>
    <row r="141" spans="8:24" ht="15.75" x14ac:dyDescent="0.25">
      <c r="H141" s="101"/>
      <c r="X141" s="98"/>
    </row>
    <row r="142" spans="8:24" ht="15.75" x14ac:dyDescent="0.25">
      <c r="H142" s="101"/>
      <c r="X142" s="98"/>
    </row>
    <row r="143" spans="8:24" ht="15.75" x14ac:dyDescent="0.25">
      <c r="H143" s="101"/>
      <c r="X143" s="98"/>
    </row>
    <row r="144" spans="8:24" ht="15.75" x14ac:dyDescent="0.25">
      <c r="H144" s="101"/>
      <c r="X144" s="98"/>
    </row>
    <row r="145" spans="8:24" ht="15.75" x14ac:dyDescent="0.25">
      <c r="H145" s="101"/>
      <c r="X145" s="98"/>
    </row>
  </sheetData>
  <mergeCells count="16">
    <mergeCell ref="B59:B62"/>
    <mergeCell ref="D59:D61"/>
    <mergeCell ref="E59:E61"/>
    <mergeCell ref="D62:D66"/>
    <mergeCell ref="B63:B68"/>
    <mergeCell ref="D67:D71"/>
    <mergeCell ref="C68:C69"/>
    <mergeCell ref="B69:B75"/>
    <mergeCell ref="E77:E78"/>
    <mergeCell ref="A79:F79"/>
    <mergeCell ref="C70:C74"/>
    <mergeCell ref="D72:D76"/>
    <mergeCell ref="C75:C76"/>
    <mergeCell ref="B76:B78"/>
    <mergeCell ref="C77:C78"/>
    <mergeCell ref="D77:D78"/>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63" priority="4" operator="lessThan">
      <formula>6</formula>
    </cfRule>
    <cfRule type="cellIs" dxfId="62" priority="5" operator="greaterThan">
      <formula>7</formula>
    </cfRule>
  </conditionalFormatting>
  <conditionalFormatting sqref="B23:W23">
    <cfRule type="cellIs" dxfId="61" priority="1" operator="lessThan">
      <formula>6</formula>
    </cfRule>
    <cfRule type="cellIs" dxfId="60"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71"/>
  <sheetViews>
    <sheetView zoomScale="90" zoomScaleNormal="90" workbookViewId="0">
      <selection activeCell="I16" sqref="I16"/>
    </sheetView>
  </sheetViews>
  <sheetFormatPr baseColWidth="10" defaultColWidth="11.42578125" defaultRowHeight="15" x14ac:dyDescent="0.25"/>
  <cols>
    <col min="1" max="1" width="5.28515625" bestFit="1" customWidth="1"/>
    <col min="2" max="2" width="5.7109375" bestFit="1" customWidth="1"/>
    <col min="3" max="3" width="6.5703125" bestFit="1" customWidth="1"/>
    <col min="4" max="4" width="21.42578125" bestFit="1" customWidth="1"/>
    <col min="5" max="5" width="6"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7" width="6.140625" bestFit="1" customWidth="1"/>
    <col min="18" max="18" width="5.28515625" bestFit="1" customWidth="1"/>
    <col min="19" max="19" width="6.140625" bestFit="1" customWidth="1"/>
    <col min="20" max="27" width="6" bestFit="1" customWidth="1"/>
    <col min="28" max="28" width="5.7109375" bestFit="1" customWidth="1"/>
    <col min="29" max="29" width="4.85546875" bestFit="1" customWidth="1"/>
    <col min="30" max="34" width="5.5703125" bestFit="1" customWidth="1"/>
    <col min="35" max="35" width="4.5703125" bestFit="1" customWidth="1"/>
    <col min="36" max="36" width="5.5703125" bestFit="1" customWidth="1"/>
    <col min="37" max="43" width="5" bestFit="1" customWidth="1"/>
    <col min="45" max="45" width="5.140625" bestFit="1" customWidth="1"/>
    <col min="46" max="46" width="18.42578125" bestFit="1" customWidth="1"/>
    <col min="47" max="48" width="8.5703125" bestFit="1" customWidth="1"/>
    <col min="49" max="49" width="8" bestFit="1" customWidth="1"/>
    <col min="50" max="50" width="7.42578125" bestFit="1" customWidth="1"/>
    <col min="51" max="52" width="7" bestFit="1" customWidth="1"/>
    <col min="53" max="53" width="6.42578125" bestFit="1" customWidth="1"/>
    <col min="54" max="55" width="6.7109375" bestFit="1" customWidth="1"/>
    <col min="56" max="57" width="6.5703125" bestFit="1" customWidth="1"/>
    <col min="59" max="59" width="12.140625" bestFit="1" customWidth="1"/>
    <col min="60" max="60" width="6" bestFit="1" customWidth="1"/>
    <col min="61" max="61" width="12.42578125" bestFit="1" customWidth="1"/>
    <col min="62" max="62" width="15.140625" bestFit="1" customWidth="1"/>
    <col min="63" max="64" width="10.5703125" bestFit="1" customWidth="1"/>
  </cols>
  <sheetData>
    <row r="1" spans="1:64" ht="18.75" x14ac:dyDescent="0.3">
      <c r="C1" s="157"/>
      <c r="D1" s="119"/>
      <c r="G1" s="69"/>
      <c r="H1" s="56"/>
      <c r="J1" s="69"/>
      <c r="K1" s="69"/>
      <c r="M1" s="158"/>
      <c r="T1" s="276"/>
      <c r="U1" s="276"/>
      <c r="V1" s="276"/>
      <c r="W1" s="159"/>
      <c r="X1" s="276" t="s">
        <v>178</v>
      </c>
      <c r="Y1" s="276"/>
      <c r="Z1" s="125">
        <f>T2+U2+V2+W2+X2+Y2+Z2</f>
        <v>1</v>
      </c>
      <c r="AC1" s="69"/>
      <c r="AD1" s="69"/>
      <c r="AE1" s="69"/>
      <c r="AF1" s="69"/>
      <c r="AG1" s="69"/>
      <c r="AH1" s="69"/>
      <c r="AI1" s="69"/>
      <c r="AJ1" s="69"/>
      <c r="AS1" s="276" t="s">
        <v>204</v>
      </c>
      <c r="AT1" s="276"/>
      <c r="AU1" s="276"/>
      <c r="AV1" s="276"/>
      <c r="AW1" s="276"/>
      <c r="AX1" s="276"/>
      <c r="AY1" s="276"/>
      <c r="AZ1" s="276"/>
      <c r="BA1" s="276"/>
      <c r="BB1" s="276"/>
      <c r="BC1" s="276"/>
      <c r="BD1" s="276"/>
      <c r="BE1" s="276"/>
      <c r="BG1" s="112" t="s">
        <v>171</v>
      </c>
      <c r="BH1" s="112" t="s">
        <v>172</v>
      </c>
      <c r="BI1" s="112" t="s">
        <v>205</v>
      </c>
      <c r="BJ1" s="113" t="s">
        <v>206</v>
      </c>
      <c r="BK1" s="69" t="s">
        <v>207</v>
      </c>
      <c r="BL1" s="69" t="s">
        <v>208</v>
      </c>
    </row>
    <row r="2" spans="1:64" ht="18.75" x14ac:dyDescent="0.3">
      <c r="A2" s="160"/>
      <c r="B2" s="160"/>
      <c r="C2" s="161"/>
      <c r="D2" s="162">
        <f ca="1">TODAY()</f>
        <v>43082</v>
      </c>
      <c r="G2" s="69"/>
      <c r="H2" s="163"/>
      <c r="I2" s="163"/>
      <c r="J2" s="164"/>
      <c r="K2" s="164"/>
      <c r="L2" s="163"/>
      <c r="M2" s="165"/>
      <c r="N2" s="163"/>
      <c r="O2" s="163"/>
      <c r="P2" s="163"/>
      <c r="Q2" s="163"/>
      <c r="R2" s="163"/>
      <c r="S2" s="163"/>
      <c r="T2" s="168">
        <v>0</v>
      </c>
      <c r="U2" s="169">
        <v>0</v>
      </c>
      <c r="V2" s="169">
        <v>0</v>
      </c>
      <c r="W2" s="168">
        <v>0</v>
      </c>
      <c r="X2" s="170">
        <v>1</v>
      </c>
      <c r="Y2" s="170">
        <v>0</v>
      </c>
      <c r="Z2" s="170">
        <v>0</v>
      </c>
      <c r="AA2" s="166"/>
      <c r="AB2" s="167"/>
      <c r="AC2" s="167"/>
      <c r="AD2" s="167"/>
      <c r="AE2" s="167"/>
      <c r="AF2" s="167"/>
      <c r="AG2" s="167"/>
      <c r="AH2" s="167"/>
      <c r="AI2" s="167"/>
      <c r="AJ2" s="167"/>
      <c r="AK2" s="160"/>
      <c r="AL2" s="160"/>
      <c r="AM2" s="160"/>
      <c r="AN2" s="160"/>
      <c r="AO2" s="160"/>
      <c r="AP2" s="160"/>
      <c r="AQ2" s="160"/>
      <c r="AR2" s="160"/>
      <c r="AS2" s="160"/>
      <c r="AT2" s="160"/>
      <c r="AU2" s="171" t="e">
        <f>SUM(AU4:AU14)*$BJ$3</f>
        <v>#REF!</v>
      </c>
      <c r="AV2" s="171" t="e">
        <f>SUM(AV4:AV14)*$BJ$3</f>
        <v>#REF!</v>
      </c>
      <c r="AW2" s="171" t="e">
        <f>SUM(AW4:AW14)*$BJ$2</f>
        <v>#REF!</v>
      </c>
      <c r="AX2" s="171" t="e">
        <f>SUM(AX4:AX14)*$BJ$4</f>
        <v>#REF!</v>
      </c>
      <c r="AY2" s="171" t="e">
        <f>SUM(AY4:AY14)*$BJ$5</f>
        <v>#REF!</v>
      </c>
      <c r="AZ2" s="171" t="e">
        <f>SUM(AZ4:AZ14)*$BJ$5</f>
        <v>#REF!</v>
      </c>
      <c r="BA2" s="171" t="e">
        <f>SUM(BA4:BA14)*$BJ$6</f>
        <v>#REF!</v>
      </c>
      <c r="BB2" s="172" t="e">
        <f>SUM(BB4:BB14)</f>
        <v>#REF!</v>
      </c>
      <c r="BC2" s="172" t="e">
        <f>SUM(BC4:BC14)</f>
        <v>#REF!</v>
      </c>
      <c r="BD2" s="172" t="e">
        <f t="shared" ref="BD2:BE2" si="0">SUM(BD4:BD14)</f>
        <v>#REF!</v>
      </c>
      <c r="BE2" s="172" t="e">
        <f t="shared" si="0"/>
        <v>#REF!</v>
      </c>
      <c r="BF2" s="160"/>
      <c r="BG2" s="114" t="s">
        <v>173</v>
      </c>
      <c r="BH2" s="115">
        <v>1</v>
      </c>
      <c r="BI2" s="173">
        <v>0.624</v>
      </c>
      <c r="BJ2" s="174">
        <v>0.245</v>
      </c>
      <c r="BK2" s="72">
        <f>BJ2*10</f>
        <v>2.4500000000000002</v>
      </c>
      <c r="BL2" s="72">
        <f>BJ2*15</f>
        <v>3.6749999999999998</v>
      </c>
    </row>
    <row r="3" spans="1:64" ht="18.75" x14ac:dyDescent="0.3">
      <c r="A3" s="11" t="s">
        <v>1</v>
      </c>
      <c r="B3" s="11" t="s">
        <v>2</v>
      </c>
      <c r="C3" s="12" t="s">
        <v>195</v>
      </c>
      <c r="D3" s="13" t="s">
        <v>3</v>
      </c>
      <c r="E3" s="11" t="s">
        <v>4</v>
      </c>
      <c r="F3" s="11" t="s">
        <v>5</v>
      </c>
      <c r="G3" s="11" t="s">
        <v>6</v>
      </c>
      <c r="H3" s="11" t="s">
        <v>7</v>
      </c>
      <c r="I3" s="11" t="s">
        <v>8</v>
      </c>
      <c r="J3" s="11" t="s">
        <v>9</v>
      </c>
      <c r="K3" s="14" t="s">
        <v>209</v>
      </c>
      <c r="L3" s="14" t="s">
        <v>210</v>
      </c>
      <c r="M3" s="11" t="s">
        <v>15</v>
      </c>
      <c r="N3" s="11" t="s">
        <v>16</v>
      </c>
      <c r="O3" s="11" t="s">
        <v>17</v>
      </c>
      <c r="P3" s="11" t="s">
        <v>18</v>
      </c>
      <c r="Q3" s="11" t="s">
        <v>19</v>
      </c>
      <c r="R3" s="11" t="s">
        <v>20</v>
      </c>
      <c r="S3" s="11" t="s">
        <v>6</v>
      </c>
      <c r="T3" s="176" t="s">
        <v>15</v>
      </c>
      <c r="U3" s="176" t="s">
        <v>16</v>
      </c>
      <c r="V3" s="176" t="s">
        <v>17</v>
      </c>
      <c r="W3" s="176" t="s">
        <v>18</v>
      </c>
      <c r="X3" s="176" t="s">
        <v>19</v>
      </c>
      <c r="Y3" s="176" t="s">
        <v>20</v>
      </c>
      <c r="Z3" s="176" t="s">
        <v>6</v>
      </c>
      <c r="AA3" s="175" t="s">
        <v>4</v>
      </c>
      <c r="AB3" s="175" t="s">
        <v>5</v>
      </c>
      <c r="AC3" s="176" t="s">
        <v>8</v>
      </c>
      <c r="AD3" s="176" t="s">
        <v>15</v>
      </c>
      <c r="AE3" s="176" t="s">
        <v>16</v>
      </c>
      <c r="AF3" s="176" t="s">
        <v>17</v>
      </c>
      <c r="AG3" s="176" t="s">
        <v>18</v>
      </c>
      <c r="AH3" s="176" t="s">
        <v>19</v>
      </c>
      <c r="AI3" s="176" t="s">
        <v>20</v>
      </c>
      <c r="AJ3" s="176" t="s">
        <v>6</v>
      </c>
      <c r="AK3" s="176" t="s">
        <v>15</v>
      </c>
      <c r="AL3" s="176" t="s">
        <v>16</v>
      </c>
      <c r="AM3" s="176" t="s">
        <v>17</v>
      </c>
      <c r="AN3" s="176" t="s">
        <v>18</v>
      </c>
      <c r="AO3" s="176" t="s">
        <v>19</v>
      </c>
      <c r="AP3" s="176" t="s">
        <v>20</v>
      </c>
      <c r="AQ3" s="176" t="s">
        <v>6</v>
      </c>
      <c r="AS3" s="274" t="s">
        <v>226</v>
      </c>
      <c r="AT3" s="275"/>
      <c r="AU3" s="177" t="s">
        <v>211</v>
      </c>
      <c r="AV3" s="177" t="s">
        <v>212</v>
      </c>
      <c r="AW3" s="177" t="s">
        <v>213</v>
      </c>
      <c r="AX3" s="177" t="s">
        <v>214</v>
      </c>
      <c r="AY3" s="177" t="s">
        <v>215</v>
      </c>
      <c r="AZ3" s="177" t="s">
        <v>216</v>
      </c>
      <c r="BA3" s="177" t="s">
        <v>217</v>
      </c>
      <c r="BB3" s="177" t="s">
        <v>218</v>
      </c>
      <c r="BC3" s="177" t="s">
        <v>219</v>
      </c>
      <c r="BD3" s="177" t="s">
        <v>22</v>
      </c>
      <c r="BE3" s="177" t="s">
        <v>220</v>
      </c>
      <c r="BG3" s="114" t="s">
        <v>174</v>
      </c>
      <c r="BH3" s="115">
        <v>1</v>
      </c>
      <c r="BI3" s="173">
        <v>1.002</v>
      </c>
      <c r="BJ3" s="174">
        <v>0.34</v>
      </c>
      <c r="BK3" s="72">
        <f t="shared" ref="BK3:BK6" si="1">BJ3*10</f>
        <v>3.4000000000000004</v>
      </c>
      <c r="BL3" s="72">
        <f t="shared" ref="BL3:BL6" si="2">BJ3*15</f>
        <v>5.1000000000000005</v>
      </c>
    </row>
    <row r="4" spans="1:64" ht="18.75" x14ac:dyDescent="0.3">
      <c r="A4" s="16" t="e">
        <f>PLANTILLA!#REF!</f>
        <v>#REF!</v>
      </c>
      <c r="B4" s="16" t="e">
        <f>PLANTILLA!#REF!</f>
        <v>#REF!</v>
      </c>
      <c r="C4" s="132" t="e">
        <f>PLANTILLA!#REF!</f>
        <v>#REF!</v>
      </c>
      <c r="D4" s="17" t="e">
        <f>PLANTILLA!#REF!</f>
        <v>#REF!</v>
      </c>
      <c r="E4" s="18" t="e">
        <f>PLANTILLA!#REF!</f>
        <v>#REF!</v>
      </c>
      <c r="F4" s="19" t="e">
        <f>PLANTILLA!#REF!</f>
        <v>#REF!</v>
      </c>
      <c r="G4" s="20" t="e">
        <f>PLANTILLA!#REF!</f>
        <v>#REF!</v>
      </c>
      <c r="H4" s="5" t="e">
        <f>PLANTILLA!#REF!</f>
        <v>#REF!</v>
      </c>
      <c r="I4" s="30" t="e">
        <f>PLANTILLA!#REF!</f>
        <v>#REF!</v>
      </c>
      <c r="J4" s="21" t="e">
        <f>PLANTILLA!#REF!</f>
        <v>#REF!</v>
      </c>
      <c r="K4" s="7" t="e">
        <f>(H4)*(H4)*(I4)</f>
        <v>#REF!</v>
      </c>
      <c r="L4" s="7" t="e">
        <f>(H4+1)*(H4+1)*I4</f>
        <v>#REF!</v>
      </c>
      <c r="M4" s="23" t="e">
        <f>PLANTILLA!#REF!</f>
        <v>#REF!</v>
      </c>
      <c r="N4" s="23" t="e">
        <f>PLANTILLA!#REF!</f>
        <v>#REF!</v>
      </c>
      <c r="O4" s="23" t="e">
        <f>PLANTILLA!#REF!</f>
        <v>#REF!</v>
      </c>
      <c r="P4" s="23" t="e">
        <f>PLANTILLA!#REF!</f>
        <v>#REF!</v>
      </c>
      <c r="Q4" s="23" t="e">
        <f>PLANTILLA!#REF!</f>
        <v>#REF!</v>
      </c>
      <c r="R4" s="23" t="e">
        <f>PLANTILLA!#REF!</f>
        <v>#REF!</v>
      </c>
      <c r="S4" s="23" t="e">
        <f>PLANTILLA!#REF!</f>
        <v>#REF!</v>
      </c>
      <c r="T4" s="180">
        <v>1</v>
      </c>
      <c r="U4" s="180">
        <v>1</v>
      </c>
      <c r="V4" s="180">
        <v>0.13</v>
      </c>
      <c r="W4" s="180">
        <v>0.13</v>
      </c>
      <c r="X4" s="180">
        <f>0.17</f>
        <v>0.17</v>
      </c>
      <c r="Y4" s="180">
        <f t="shared" ref="Y4:Y14" si="3">0.17</f>
        <v>0.17</v>
      </c>
      <c r="Z4" s="180">
        <v>1.25</v>
      </c>
      <c r="AA4" s="178" t="e">
        <f t="shared" ref="AA4:AA18" si="4">E4</f>
        <v>#REF!</v>
      </c>
      <c r="AB4" s="179" t="e">
        <f t="shared" ref="AB4:AB18" si="5">F4+7</f>
        <v>#REF!</v>
      </c>
      <c r="AC4" s="27" t="e">
        <f t="shared" ref="AC4:AC18" si="6">I4+$AC$2</f>
        <v>#REF!</v>
      </c>
      <c r="AD4" s="181" t="e">
        <f>M4+(T4*T$2/12)</f>
        <v>#REF!</v>
      </c>
      <c r="AE4" s="181" t="e">
        <f>N4+(U$2/14)</f>
        <v>#REF!</v>
      </c>
      <c r="AF4" s="181" t="e">
        <f t="shared" ref="AF4:AH4" si="7">O4</f>
        <v>#REF!</v>
      </c>
      <c r="AG4" s="181" t="e">
        <f t="shared" si="7"/>
        <v>#REF!</v>
      </c>
      <c r="AH4" s="181" t="e">
        <f t="shared" si="7"/>
        <v>#REF!</v>
      </c>
      <c r="AI4" s="181" t="e">
        <f>R4</f>
        <v>#REF!</v>
      </c>
      <c r="AJ4" s="181" t="e">
        <f>S4+(Z$2/4)</f>
        <v>#REF!</v>
      </c>
      <c r="AK4" s="182" t="e">
        <f t="shared" ref="AK4:AQ6" si="8">AD4-M4</f>
        <v>#REF!</v>
      </c>
      <c r="AL4" s="182" t="e">
        <f t="shared" si="8"/>
        <v>#REF!</v>
      </c>
      <c r="AM4" s="182" t="e">
        <f t="shared" si="8"/>
        <v>#REF!</v>
      </c>
      <c r="AN4" s="182" t="e">
        <f t="shared" si="8"/>
        <v>#REF!</v>
      </c>
      <c r="AO4" s="182" t="e">
        <f t="shared" si="8"/>
        <v>#REF!</v>
      </c>
      <c r="AP4" s="182" t="e">
        <f t="shared" si="8"/>
        <v>#REF!</v>
      </c>
      <c r="AQ4" s="182" t="e">
        <f t="shared" si="8"/>
        <v>#REF!</v>
      </c>
      <c r="AR4" s="183"/>
      <c r="AS4" s="201" t="s">
        <v>28</v>
      </c>
      <c r="AT4" s="185" t="e">
        <f>D4</f>
        <v>#REF!</v>
      </c>
      <c r="AU4" s="186" t="e">
        <f>(AK4*0.597)+(AL4*0.276)</f>
        <v>#REF!</v>
      </c>
      <c r="AV4" s="186" t="e">
        <f>AU4</f>
        <v>#REF!</v>
      </c>
      <c r="AW4" s="186" t="e">
        <f>(AK4*0.866)+(AL4*0.425)</f>
        <v>#REF!</v>
      </c>
      <c r="AX4" s="186">
        <v>0</v>
      </c>
      <c r="AY4" s="186">
        <v>0</v>
      </c>
      <c r="AZ4" s="186">
        <v>0</v>
      </c>
      <c r="BA4" s="186">
        <v>0</v>
      </c>
      <c r="BB4" s="199">
        <v>0</v>
      </c>
      <c r="BC4" s="199" t="e">
        <f>0.08*AK4+0.1*AQ4</f>
        <v>#REF!</v>
      </c>
      <c r="BD4" s="199">
        <v>0</v>
      </c>
      <c r="BE4" s="199">
        <v>0</v>
      </c>
      <c r="BF4" s="183"/>
      <c r="BG4" s="114" t="s">
        <v>175</v>
      </c>
      <c r="BH4" s="115">
        <v>1</v>
      </c>
      <c r="BI4" s="173">
        <v>0.46800000000000003</v>
      </c>
      <c r="BJ4" s="174">
        <v>0.125</v>
      </c>
      <c r="BK4" s="72">
        <f t="shared" si="1"/>
        <v>1.25</v>
      </c>
      <c r="BL4" s="72">
        <f t="shared" si="2"/>
        <v>1.875</v>
      </c>
    </row>
    <row r="5" spans="1:64" ht="18.75" x14ac:dyDescent="0.3">
      <c r="A5" s="16" t="str">
        <f>PLANTILLA!A18</f>
        <v>#91</v>
      </c>
      <c r="B5" s="16" t="str">
        <f>PLANTILLA!B18</f>
        <v>DEF</v>
      </c>
      <c r="C5" s="132">
        <f ca="1">PLANTILLA!C18</f>
        <v>0.8482142857142857</v>
      </c>
      <c r="D5" s="31" t="str">
        <f>PLANTILLA!D18</f>
        <v>Mario Omarini</v>
      </c>
      <c r="E5" s="18">
        <f>PLANTILLA!E18</f>
        <v>32</v>
      </c>
      <c r="F5" s="19">
        <f ca="1">PLANTILLA!F18</f>
        <v>17</v>
      </c>
      <c r="G5" s="20" t="str">
        <f>PLANTILLA!G18</f>
        <v>TEC</v>
      </c>
      <c r="H5" s="5">
        <f>PLANTILLA!H18</f>
        <v>3</v>
      </c>
      <c r="I5" s="30">
        <f>PLANTILLA!I18</f>
        <v>9.6999999999999993</v>
      </c>
      <c r="J5" s="21">
        <f>PLANTILLA!O18</f>
        <v>7.1</v>
      </c>
      <c r="K5" s="7">
        <f t="shared" ref="K5:K18" si="9">(H5)*(H5)*(I5)</f>
        <v>87.3</v>
      </c>
      <c r="L5" s="7">
        <f t="shared" ref="L5:L18" si="10">(H5+1)*(H5+1)*I5</f>
        <v>155.19999999999999</v>
      </c>
      <c r="M5" s="23">
        <f>PLANTILLA!X18</f>
        <v>0</v>
      </c>
      <c r="N5" s="23">
        <f>PLANTILLA!Y18</f>
        <v>14</v>
      </c>
      <c r="O5" s="23">
        <f>PLANTILLA!Z18</f>
        <v>7.1099999999999994</v>
      </c>
      <c r="P5" s="23">
        <f>PLANTILLA!AA18</f>
        <v>11.035714285714286</v>
      </c>
      <c r="Q5" s="23">
        <f>PLANTILLA!AB18</f>
        <v>7.0499999999999989</v>
      </c>
      <c r="R5" s="23">
        <f>PLANTILLA!AC18</f>
        <v>2.0099999999999998</v>
      </c>
      <c r="S5" s="23">
        <f>PLANTILLA!AD18</f>
        <v>15.83333333333333</v>
      </c>
      <c r="T5" s="180">
        <v>0</v>
      </c>
      <c r="U5" s="180">
        <v>1</v>
      </c>
      <c r="V5" s="180">
        <v>0.13</v>
      </c>
      <c r="W5" s="180">
        <v>0.5</v>
      </c>
      <c r="X5" s="180">
        <v>1</v>
      </c>
      <c r="Y5" s="180">
        <f t="shared" si="3"/>
        <v>0.17</v>
      </c>
      <c r="Z5" s="180">
        <v>1.25</v>
      </c>
      <c r="AA5" s="178">
        <f t="shared" si="4"/>
        <v>32</v>
      </c>
      <c r="AB5" s="179">
        <f t="shared" ca="1" si="5"/>
        <v>24</v>
      </c>
      <c r="AC5" s="27">
        <f t="shared" si="6"/>
        <v>9.6999999999999993</v>
      </c>
      <c r="AD5" s="181">
        <f>M5</f>
        <v>0</v>
      </c>
      <c r="AE5" s="181">
        <f>N5+(U$2/11)</f>
        <v>14</v>
      </c>
      <c r="AF5" s="181">
        <f>O5+(V$2/34)</f>
        <v>7.1099999999999994</v>
      </c>
      <c r="AG5" s="181">
        <f>P5+(W$2/14)</f>
        <v>11.035714285714286</v>
      </c>
      <c r="AH5" s="181">
        <f>Q5+(X$2/10)</f>
        <v>7.1499999999999986</v>
      </c>
      <c r="AI5" s="181">
        <f>R5+(Y$2/40)</f>
        <v>2.0099999999999998</v>
      </c>
      <c r="AJ5" s="181">
        <f>S5+(Z$2/7)</f>
        <v>15.83333333333333</v>
      </c>
      <c r="AK5" s="182">
        <f t="shared" si="8"/>
        <v>0</v>
      </c>
      <c r="AL5" s="182">
        <f t="shared" si="8"/>
        <v>0</v>
      </c>
      <c r="AM5" s="182">
        <f t="shared" si="8"/>
        <v>0</v>
      </c>
      <c r="AN5" s="182">
        <f t="shared" si="8"/>
        <v>0</v>
      </c>
      <c r="AO5" s="182">
        <f t="shared" si="8"/>
        <v>9.9999999999999645E-2</v>
      </c>
      <c r="AP5" s="182">
        <f t="shared" si="8"/>
        <v>0</v>
      </c>
      <c r="AQ5" s="182">
        <f t="shared" si="8"/>
        <v>0</v>
      </c>
      <c r="AR5" s="187"/>
      <c r="AS5" s="188" t="s">
        <v>221</v>
      </c>
      <c r="AT5" s="189" t="str">
        <f>D5</f>
        <v>Mario Omarini</v>
      </c>
      <c r="AU5" s="190">
        <f>(AL5*0.919)</f>
        <v>0</v>
      </c>
      <c r="AV5" s="190">
        <v>0</v>
      </c>
      <c r="AW5" s="190">
        <f>AL5*0.414</f>
        <v>0</v>
      </c>
      <c r="AX5" s="190">
        <f>AM5*0.167</f>
        <v>0</v>
      </c>
      <c r="AY5" s="190">
        <f>AN5*0.588</f>
        <v>0</v>
      </c>
      <c r="AZ5" s="190">
        <v>0</v>
      </c>
      <c r="BA5" s="190">
        <v>0</v>
      </c>
      <c r="BB5" s="191">
        <f>(0.5*AP5+0.3*AQ5)/10</f>
        <v>0</v>
      </c>
      <c r="BC5" s="191">
        <f>(0.4*AL5+0.3*AQ5)/10</f>
        <v>0</v>
      </c>
      <c r="BD5" s="191">
        <f>((AE5+1)+(AH5+1)*2)/8</f>
        <v>3.9124999999999996</v>
      </c>
      <c r="BE5" s="191">
        <f>((AL5)+(AO5)*2)/8</f>
        <v>2.4999999999999911E-2</v>
      </c>
      <c r="BF5" s="187"/>
      <c r="BG5" s="114" t="s">
        <v>176</v>
      </c>
      <c r="BH5" s="115">
        <v>1</v>
      </c>
      <c r="BI5" s="173">
        <v>0.877</v>
      </c>
      <c r="BJ5" s="174">
        <v>0.25</v>
      </c>
      <c r="BK5" s="72">
        <f t="shared" si="1"/>
        <v>2.5</v>
      </c>
      <c r="BL5" s="72">
        <f t="shared" si="2"/>
        <v>3.75</v>
      </c>
    </row>
    <row r="6" spans="1:64" ht="18.75" x14ac:dyDescent="0.3">
      <c r="A6" s="16" t="e">
        <f>PLANTILLA!#REF!</f>
        <v>#REF!</v>
      </c>
      <c r="B6" s="26" t="e">
        <f>PLANTILLA!#REF!</f>
        <v>#REF!</v>
      </c>
      <c r="C6" s="132" t="e">
        <f>PLANTILLA!#REF!</f>
        <v>#REF!</v>
      </c>
      <c r="D6" s="1" t="e">
        <f>PLANTILLA!#REF!</f>
        <v>#REF!</v>
      </c>
      <c r="E6" s="2" t="e">
        <f>PLANTILLA!#REF!</f>
        <v>#REF!</v>
      </c>
      <c r="F6" s="3" t="e">
        <f>PLANTILLA!#REF!</f>
        <v>#REF!</v>
      </c>
      <c r="G6" s="4" t="e">
        <f>PLANTILLA!#REF!</f>
        <v>#REF!</v>
      </c>
      <c r="H6" s="5" t="e">
        <f>PLANTILLA!#REF!</f>
        <v>#REF!</v>
      </c>
      <c r="I6" s="6" t="e">
        <f>PLANTILLA!#REF!</f>
        <v>#REF!</v>
      </c>
      <c r="J6" s="21" t="e">
        <f>PLANTILLA!#REF!</f>
        <v>#REF!</v>
      </c>
      <c r="K6" s="7" t="e">
        <f t="shared" si="9"/>
        <v>#REF!</v>
      </c>
      <c r="L6" s="7" t="e">
        <f t="shared" si="10"/>
        <v>#REF!</v>
      </c>
      <c r="M6" s="23" t="e">
        <f>PLANTILLA!#REF!</f>
        <v>#REF!</v>
      </c>
      <c r="N6" s="23" t="e">
        <f>PLANTILLA!#REF!</f>
        <v>#REF!</v>
      </c>
      <c r="O6" s="23" t="e">
        <f>PLANTILLA!#REF!</f>
        <v>#REF!</v>
      </c>
      <c r="P6" s="23" t="e">
        <f>PLANTILLA!#REF!</f>
        <v>#REF!</v>
      </c>
      <c r="Q6" s="23" t="e">
        <f>PLANTILLA!#REF!</f>
        <v>#REF!</v>
      </c>
      <c r="R6" s="23" t="e">
        <f>PLANTILLA!#REF!</f>
        <v>#REF!</v>
      </c>
      <c r="S6" s="23" t="e">
        <f>PLANTILLA!#REF!</f>
        <v>#REF!</v>
      </c>
      <c r="T6" s="180">
        <v>0</v>
      </c>
      <c r="U6" s="180">
        <v>1</v>
      </c>
      <c r="V6" s="180">
        <v>0.13</v>
      </c>
      <c r="W6" s="180">
        <v>0.5</v>
      </c>
      <c r="X6" s="180">
        <v>1</v>
      </c>
      <c r="Y6" s="180">
        <f t="shared" si="3"/>
        <v>0.17</v>
      </c>
      <c r="Z6" s="180">
        <v>1</v>
      </c>
      <c r="AA6" s="178" t="e">
        <f t="shared" si="4"/>
        <v>#REF!</v>
      </c>
      <c r="AB6" s="179" t="e">
        <f t="shared" si="5"/>
        <v>#REF!</v>
      </c>
      <c r="AC6" s="27" t="e">
        <f t="shared" si="6"/>
        <v>#REF!</v>
      </c>
      <c r="AD6" s="181" t="e">
        <f t="shared" ref="AD6:AD18" si="11">M6</f>
        <v>#REF!</v>
      </c>
      <c r="AE6" s="181" t="e">
        <f>N6+(U$2/15)</f>
        <v>#REF!</v>
      </c>
      <c r="AF6" s="181" t="e">
        <f>O6+(V$2/60)</f>
        <v>#REF!</v>
      </c>
      <c r="AG6" s="181" t="e">
        <f>P6+(W$2/16)</f>
        <v>#REF!</v>
      </c>
      <c r="AH6" s="181" t="e">
        <f>Q6+(X$2/16)</f>
        <v>#REF!</v>
      </c>
      <c r="AI6" s="181" t="e">
        <f>R6+(Y$2/40)</f>
        <v>#REF!</v>
      </c>
      <c r="AJ6" s="181" t="e">
        <f>S6+(Z$2/4)</f>
        <v>#REF!</v>
      </c>
      <c r="AK6" s="182" t="e">
        <f t="shared" si="8"/>
        <v>#REF!</v>
      </c>
      <c r="AL6" s="182" t="e">
        <f t="shared" si="8"/>
        <v>#REF!</v>
      </c>
      <c r="AM6" s="182" t="e">
        <f t="shared" si="8"/>
        <v>#REF!</v>
      </c>
      <c r="AN6" s="182" t="e">
        <f t="shared" si="8"/>
        <v>#REF!</v>
      </c>
      <c r="AO6" s="182" t="e">
        <f t="shared" si="8"/>
        <v>#REF!</v>
      </c>
      <c r="AP6" s="182" t="e">
        <f t="shared" si="8"/>
        <v>#REF!</v>
      </c>
      <c r="AQ6" s="182" t="e">
        <f t="shared" si="8"/>
        <v>#REF!</v>
      </c>
      <c r="AR6" s="34"/>
      <c r="AS6" s="123" t="s">
        <v>229</v>
      </c>
      <c r="AT6" s="26" t="str">
        <f>D9</f>
        <v>Ibiur Altxakoa</v>
      </c>
      <c r="AU6" s="192">
        <f>AL9*0.378</f>
        <v>0</v>
      </c>
      <c r="AV6" s="192">
        <f>AU6</f>
        <v>0</v>
      </c>
      <c r="AW6" s="192">
        <f>AL9*1</f>
        <v>0</v>
      </c>
      <c r="AX6" s="192">
        <f>AM9*0.236</f>
        <v>0</v>
      </c>
      <c r="AY6" s="192">
        <v>0</v>
      </c>
      <c r="AZ6" s="192">
        <v>0</v>
      </c>
      <c r="BA6" s="192">
        <v>0</v>
      </c>
      <c r="BB6" s="200">
        <f>(0.5*AP9+0.3*AQ9)/10</f>
        <v>0</v>
      </c>
      <c r="BC6" s="200">
        <f>(0.4*AL9+0.3*AQ9)/10</f>
        <v>0</v>
      </c>
      <c r="BD6" s="191">
        <f>((AE9+1)+(AH9+1)*2)/8</f>
        <v>4.0671428571428567</v>
      </c>
      <c r="BE6" s="191">
        <f>((AL9)+(AO9)*2)/8</f>
        <v>1.7857142857142794E-2</v>
      </c>
      <c r="BF6" s="34"/>
      <c r="BG6" s="114" t="s">
        <v>177</v>
      </c>
      <c r="BH6" s="115">
        <v>1</v>
      </c>
      <c r="BI6" s="173">
        <v>0.59299999999999997</v>
      </c>
      <c r="BJ6" s="174">
        <v>0.19</v>
      </c>
      <c r="BK6" s="72">
        <f t="shared" si="1"/>
        <v>1.9</v>
      </c>
      <c r="BL6" s="72">
        <f t="shared" si="2"/>
        <v>2.85</v>
      </c>
    </row>
    <row r="7" spans="1:64" x14ac:dyDescent="0.25">
      <c r="A7" s="16" t="str">
        <f>PLANTILLA!A19</f>
        <v>#92</v>
      </c>
      <c r="B7" s="16" t="str">
        <f>PLANTILLA!B19</f>
        <v>DEF</v>
      </c>
      <c r="C7" s="132">
        <f ca="1">PLANTILLA!C19</f>
        <v>1.5446428571428572</v>
      </c>
      <c r="D7" s="1" t="str">
        <f>PLANTILLA!D19</f>
        <v>Mateuz Brzostowski</v>
      </c>
      <c r="E7" s="2">
        <f>PLANTILLA!E19</f>
        <v>31</v>
      </c>
      <c r="F7" s="3">
        <f ca="1">PLANTILLA!F19</f>
        <v>51</v>
      </c>
      <c r="G7" s="4">
        <f>PLANTILLA!G19</f>
        <v>0</v>
      </c>
      <c r="H7" s="138">
        <f>PLANTILLA!H19</f>
        <v>2</v>
      </c>
      <c r="I7" s="6">
        <f>PLANTILLA!I19</f>
        <v>8.9</v>
      </c>
      <c r="J7" s="21">
        <f>PLANTILLA!O19</f>
        <v>6.9</v>
      </c>
      <c r="K7" s="7">
        <f t="shared" si="9"/>
        <v>35.6</v>
      </c>
      <c r="L7" s="7">
        <f t="shared" si="10"/>
        <v>80.100000000000009</v>
      </c>
      <c r="M7" s="23">
        <f>PLANTILLA!X19</f>
        <v>0</v>
      </c>
      <c r="N7" s="23">
        <f>PLANTILLA!Y19</f>
        <v>14</v>
      </c>
      <c r="O7" s="23">
        <f>PLANTILLA!Z19</f>
        <v>5.0199999999999996</v>
      </c>
      <c r="P7" s="23">
        <f>PLANTILLA!AA19</f>
        <v>10.01</v>
      </c>
      <c r="Q7" s="23">
        <f>PLANTILLA!AB19</f>
        <v>9.0399999999999991</v>
      </c>
      <c r="R7" s="23">
        <f>PLANTILLA!AC19</f>
        <v>1.01</v>
      </c>
      <c r="S7" s="23">
        <f>PLANTILLA!AD19</f>
        <v>14.224444444444442</v>
      </c>
      <c r="T7" s="180">
        <v>0</v>
      </c>
      <c r="U7" s="180">
        <v>1</v>
      </c>
      <c r="V7" s="180">
        <v>0.13</v>
      </c>
      <c r="W7" s="180">
        <v>0.13</v>
      </c>
      <c r="X7" s="180">
        <v>1</v>
      </c>
      <c r="Y7" s="180">
        <f t="shared" si="3"/>
        <v>0.17</v>
      </c>
      <c r="Z7" s="180">
        <v>1</v>
      </c>
      <c r="AA7" s="178">
        <f t="shared" si="4"/>
        <v>31</v>
      </c>
      <c r="AB7" s="179">
        <f t="shared" ca="1" si="5"/>
        <v>58</v>
      </c>
      <c r="AC7" s="27">
        <f t="shared" si="6"/>
        <v>8.9</v>
      </c>
      <c r="AD7" s="181">
        <f t="shared" si="11"/>
        <v>0</v>
      </c>
      <c r="AE7" s="181">
        <f>N7+(U$2/20)</f>
        <v>14</v>
      </c>
      <c r="AF7" s="181">
        <f>O7+(V$2/50)</f>
        <v>5.0199999999999996</v>
      </c>
      <c r="AG7" s="181">
        <f>P7+(W$2/43)</f>
        <v>10.01</v>
      </c>
      <c r="AH7" s="181">
        <f>Q7+(X$2/7)</f>
        <v>9.1828571428571415</v>
      </c>
      <c r="AI7" s="181">
        <f>R7+(Y$2/32)</f>
        <v>1.01</v>
      </c>
      <c r="AJ7" s="181">
        <f>S7+(Z$2/3)</f>
        <v>14.224444444444442</v>
      </c>
      <c r="AK7" s="182">
        <v>0</v>
      </c>
      <c r="AL7" s="182">
        <f t="shared" ref="AL7" si="12">AE7-N7</f>
        <v>0</v>
      </c>
      <c r="AM7" s="182">
        <f t="shared" ref="AM7" si="13">AF7-O7</f>
        <v>0</v>
      </c>
      <c r="AN7" s="182">
        <f t="shared" ref="AN7" si="14">AG7-P7</f>
        <v>0</v>
      </c>
      <c r="AO7" s="182">
        <f t="shared" ref="AO7" si="15">AH7-Q7</f>
        <v>0.14285714285714235</v>
      </c>
      <c r="AP7" s="182">
        <f t="shared" ref="AP7" si="16">AI7-R7</f>
        <v>0</v>
      </c>
      <c r="AQ7" s="182">
        <f t="shared" ref="AQ7" si="17">AJ7-S7</f>
        <v>0</v>
      </c>
      <c r="AR7" s="34"/>
      <c r="AS7" s="188" t="s">
        <v>221</v>
      </c>
      <c r="AT7" s="26" t="e">
        <f>D6</f>
        <v>#REF!</v>
      </c>
      <c r="AU7" s="192">
        <v>0</v>
      </c>
      <c r="AV7" s="192" t="e">
        <f>AL6*0.919</f>
        <v>#REF!</v>
      </c>
      <c r="AW7" s="192" t="e">
        <f>AL6*0.414</f>
        <v>#REF!</v>
      </c>
      <c r="AX7" s="192" t="e">
        <f>AM6*0.167</f>
        <v>#REF!</v>
      </c>
      <c r="AY7" s="192">
        <v>0</v>
      </c>
      <c r="AZ7" s="192" t="e">
        <f>AN6*0.588</f>
        <v>#REF!</v>
      </c>
      <c r="BA7" s="192">
        <v>0</v>
      </c>
      <c r="BB7" s="200" t="e">
        <f>(0.5*AP6+0.3*AQ6)/10</f>
        <v>#REF!</v>
      </c>
      <c r="BC7" s="200" t="e">
        <f>(0.4*AL6+0.3*AQ6)/10</f>
        <v>#REF!</v>
      </c>
      <c r="BD7" s="191" t="e">
        <f>((AE6+1)+(AH6+1)*2)/8</f>
        <v>#REF!</v>
      </c>
      <c r="BE7" s="191" t="e">
        <f>((AL6)+(AO6)*2)/8</f>
        <v>#REF!</v>
      </c>
      <c r="BF7" s="34"/>
      <c r="BG7" s="34"/>
      <c r="BH7" s="34"/>
      <c r="BI7" s="34"/>
      <c r="BJ7" s="34"/>
      <c r="BK7" s="34"/>
      <c r="BL7" s="34"/>
    </row>
    <row r="8" spans="1:64" x14ac:dyDescent="0.25">
      <c r="A8" s="16" t="str">
        <f>PLANTILLA!A20</f>
        <v>#93</v>
      </c>
      <c r="B8" s="26" t="str">
        <f>PLANTILLA!B20</f>
        <v>DEF</v>
      </c>
      <c r="C8" s="132">
        <f ca="1">PLANTILLA!C20</f>
        <v>1.6964285714285714</v>
      </c>
      <c r="D8" s="1" t="str">
        <f>PLANTILLA!D20</f>
        <v>Andrea Califano</v>
      </c>
      <c r="E8" s="2">
        <f>PLANTILLA!E20</f>
        <v>31</v>
      </c>
      <c r="F8" s="3">
        <f ca="1">PLANTILLA!F20</f>
        <v>34</v>
      </c>
      <c r="G8" s="4">
        <f>PLANTILLA!G20</f>
        <v>0</v>
      </c>
      <c r="H8" s="5">
        <f>PLANTILLA!H20</f>
        <v>3</v>
      </c>
      <c r="I8" s="6">
        <f>PLANTILLA!I20</f>
        <v>8.3000000000000007</v>
      </c>
      <c r="J8" s="21">
        <f>PLANTILLA!O20</f>
        <v>7</v>
      </c>
      <c r="K8" s="7">
        <f t="shared" si="9"/>
        <v>74.7</v>
      </c>
      <c r="L8" s="7">
        <f t="shared" si="10"/>
        <v>132.80000000000001</v>
      </c>
      <c r="M8" s="23">
        <f>PLANTILLA!X20</f>
        <v>0</v>
      </c>
      <c r="N8" s="23">
        <f>PLANTILLA!Y20</f>
        <v>14</v>
      </c>
      <c r="O8" s="23">
        <f>PLANTILLA!Z20</f>
        <v>3.02</v>
      </c>
      <c r="P8" s="23">
        <f>PLANTILLA!AA20</f>
        <v>3.01</v>
      </c>
      <c r="Q8" s="23">
        <f>PLANTILLA!AB20</f>
        <v>10.01</v>
      </c>
      <c r="R8" s="23">
        <f>PLANTILLA!AC20</f>
        <v>3</v>
      </c>
      <c r="S8" s="23">
        <f>PLANTILLA!AD20</f>
        <v>17.500000000000004</v>
      </c>
      <c r="T8" s="180">
        <v>0</v>
      </c>
      <c r="U8" s="180">
        <v>1</v>
      </c>
      <c r="V8" s="180">
        <v>0.13</v>
      </c>
      <c r="W8" s="180">
        <v>0.5</v>
      </c>
      <c r="X8" s="180">
        <v>1</v>
      </c>
      <c r="Y8" s="180">
        <f t="shared" si="3"/>
        <v>0.17</v>
      </c>
      <c r="Z8" s="180">
        <v>1</v>
      </c>
      <c r="AA8" s="178">
        <f t="shared" si="4"/>
        <v>31</v>
      </c>
      <c r="AB8" s="179">
        <f t="shared" ca="1" si="5"/>
        <v>41</v>
      </c>
      <c r="AC8" s="27">
        <f t="shared" si="6"/>
        <v>8.3000000000000007</v>
      </c>
      <c r="AD8" s="181">
        <f t="shared" si="11"/>
        <v>0</v>
      </c>
      <c r="AE8" s="181">
        <f>N8+(U$2/18)</f>
        <v>14</v>
      </c>
      <c r="AF8" s="181">
        <f>O8+(V$2/56)</f>
        <v>3.02</v>
      </c>
      <c r="AG8" s="181">
        <f>P8+(W$2/10)</f>
        <v>3.01</v>
      </c>
      <c r="AH8" s="181">
        <f>Q8+(X$2/6)</f>
        <v>10.176666666666666</v>
      </c>
      <c r="AI8" s="181">
        <f>R8+(Y$2/40)</f>
        <v>3</v>
      </c>
      <c r="AJ8" s="181">
        <f>S8+(Z$2/2.5)</f>
        <v>17.500000000000004</v>
      </c>
      <c r="AK8" s="182">
        <v>0</v>
      </c>
      <c r="AL8" s="182">
        <f t="shared" ref="AL8" si="18">AE8-N8</f>
        <v>0</v>
      </c>
      <c r="AM8" s="182">
        <f t="shared" ref="AM8" si="19">AF8-O8</f>
        <v>0</v>
      </c>
      <c r="AN8" s="182">
        <f t="shared" ref="AN8" si="20">AG8-P8</f>
        <v>0</v>
      </c>
      <c r="AO8" s="182">
        <f t="shared" ref="AO8" si="21">AH8-Q8</f>
        <v>0.16666666666666607</v>
      </c>
      <c r="AP8" s="182">
        <f t="shared" ref="AP8" si="22">AI8-R8</f>
        <v>0</v>
      </c>
      <c r="AQ8" s="182">
        <f t="shared" ref="AQ8" si="23">AJ8-S8</f>
        <v>0</v>
      </c>
      <c r="AR8" s="193"/>
      <c r="AS8" s="201" t="s">
        <v>227</v>
      </c>
      <c r="AT8" s="185" t="e">
        <f>D13</f>
        <v>#REF!</v>
      </c>
      <c r="AU8" s="186" t="e">
        <f>AL13*0.284</f>
        <v>#REF!</v>
      </c>
      <c r="AV8" s="186">
        <v>0</v>
      </c>
      <c r="AW8" s="186" t="e">
        <f>AL13*0.244</f>
        <v>#REF!</v>
      </c>
      <c r="AX8" s="186" t="e">
        <f>AM13*0.631</f>
        <v>#REF!</v>
      </c>
      <c r="AY8" s="186" t="e">
        <f>(AN13*0.702)+(AO13*0.193)</f>
        <v>#REF!</v>
      </c>
      <c r="AZ8" s="186">
        <v>0</v>
      </c>
      <c r="BA8" s="186" t="e">
        <f>(AO13*0.148)</f>
        <v>#REF!</v>
      </c>
      <c r="BB8" s="200" t="e">
        <f>(0.5*AP13+0.3*AQ13)/10</f>
        <v>#REF!</v>
      </c>
      <c r="BC8" s="200" t="e">
        <f>(0.4*AL13+0.3*AQ13)/10</f>
        <v>#REF!</v>
      </c>
      <c r="BD8" s="199">
        <v>0</v>
      </c>
      <c r="BE8" s="199">
        <v>0</v>
      </c>
      <c r="BF8" s="193"/>
      <c r="BG8" s="56"/>
      <c r="BH8" s="193"/>
      <c r="BI8" s="193"/>
      <c r="BJ8" s="193"/>
      <c r="BK8" s="193"/>
      <c r="BL8" s="193"/>
    </row>
    <row r="9" spans="1:64" x14ac:dyDescent="0.25">
      <c r="A9" s="16" t="str">
        <f>PLANTILLA!A21</f>
        <v>#94</v>
      </c>
      <c r="B9" s="26" t="str">
        <f>PLANTILLA!B21</f>
        <v>DEF</v>
      </c>
      <c r="C9" s="132">
        <f ca="1">PLANTILLA!C21</f>
        <v>0.23214285714285715</v>
      </c>
      <c r="D9" s="1" t="str">
        <f>PLANTILLA!D21</f>
        <v>Ibiur Altxakoa</v>
      </c>
      <c r="E9" s="2">
        <f>PLANTILLA!E21</f>
        <v>32</v>
      </c>
      <c r="F9" s="3">
        <f ca="1">PLANTILLA!F21</f>
        <v>86</v>
      </c>
      <c r="G9" s="4" t="str">
        <f>PLANTILLA!G21</f>
        <v>CAB</v>
      </c>
      <c r="H9" s="138">
        <f>PLANTILLA!H21</f>
        <v>3</v>
      </c>
      <c r="I9" s="6">
        <f>PLANTILLA!I21</f>
        <v>10.9</v>
      </c>
      <c r="J9" s="21">
        <f>PLANTILLA!O21</f>
        <v>6.9</v>
      </c>
      <c r="K9" s="7">
        <f t="shared" si="9"/>
        <v>98.100000000000009</v>
      </c>
      <c r="L9" s="7">
        <f t="shared" si="10"/>
        <v>174.4</v>
      </c>
      <c r="M9" s="23">
        <f>PLANTILLA!X21</f>
        <v>0</v>
      </c>
      <c r="N9" s="23">
        <f>PLANTILLA!Y21</f>
        <v>15.028571428571428</v>
      </c>
      <c r="O9" s="23">
        <f>PLANTILLA!Z21</f>
        <v>12</v>
      </c>
      <c r="P9" s="23">
        <f>PLANTILLA!AA21</f>
        <v>2.0099999999999998</v>
      </c>
      <c r="Q9" s="23">
        <f>PLANTILLA!AB21</f>
        <v>7.1828571428571424</v>
      </c>
      <c r="R9" s="23">
        <f>PLANTILLA!AC21</f>
        <v>3.99</v>
      </c>
      <c r="S9" s="23">
        <f>PLANTILLA!AD21</f>
        <v>15.2</v>
      </c>
      <c r="T9" s="180">
        <v>0</v>
      </c>
      <c r="U9" s="180">
        <v>1</v>
      </c>
      <c r="V9" s="180">
        <v>0.13</v>
      </c>
      <c r="W9" s="180">
        <v>0.5</v>
      </c>
      <c r="X9" s="180">
        <v>1</v>
      </c>
      <c r="Y9" s="180">
        <f t="shared" si="3"/>
        <v>0.17</v>
      </c>
      <c r="Z9" s="180">
        <v>1</v>
      </c>
      <c r="AA9" s="178">
        <f t="shared" si="4"/>
        <v>32</v>
      </c>
      <c r="AB9" s="179">
        <f t="shared" ca="1" si="5"/>
        <v>93</v>
      </c>
      <c r="AC9" s="27">
        <f t="shared" si="6"/>
        <v>10.9</v>
      </c>
      <c r="AD9" s="181">
        <f t="shared" si="11"/>
        <v>0</v>
      </c>
      <c r="AE9" s="181">
        <f>N9+(U$2/28)</f>
        <v>15.028571428571428</v>
      </c>
      <c r="AF9" s="181">
        <f>O9+(V$2/45)</f>
        <v>12</v>
      </c>
      <c r="AG9" s="181">
        <f>P9+(W$2/6)</f>
        <v>2.0099999999999998</v>
      </c>
      <c r="AH9" s="181">
        <f>Q9+(X$2/14)</f>
        <v>7.2542857142857136</v>
      </c>
      <c r="AI9" s="181">
        <f>R9+(Y$2/45)</f>
        <v>3.99</v>
      </c>
      <c r="AJ9" s="181">
        <f>S9+(Z$2/1)</f>
        <v>15.2</v>
      </c>
      <c r="AK9" s="182">
        <v>0</v>
      </c>
      <c r="AL9" s="182">
        <f t="shared" ref="AL9" si="24">AE9-N9</f>
        <v>0</v>
      </c>
      <c r="AM9" s="182">
        <f t="shared" ref="AM9" si="25">AF9-O9</f>
        <v>0</v>
      </c>
      <c r="AN9" s="182">
        <f t="shared" ref="AN9" si="26">AG9-P9</f>
        <v>0</v>
      </c>
      <c r="AO9" s="182">
        <f t="shared" ref="AO9" si="27">AH9-Q9</f>
        <v>7.1428571428571175E-2</v>
      </c>
      <c r="AP9" s="182">
        <f t="shared" ref="AP9" si="28">AI9-R9</f>
        <v>0</v>
      </c>
      <c r="AQ9" s="182">
        <f t="shared" ref="AQ9" si="29">AJ9-S9</f>
        <v>0</v>
      </c>
      <c r="AR9" s="34"/>
      <c r="AS9" s="123" t="s">
        <v>223</v>
      </c>
      <c r="AT9" s="26" t="e">
        <f>D15</f>
        <v>#REF!</v>
      </c>
      <c r="AU9" s="192" t="e">
        <f>AL15*0.057</f>
        <v>#REF!</v>
      </c>
      <c r="AV9" s="192" t="e">
        <f>AL15*0.057</f>
        <v>#REF!</v>
      </c>
      <c r="AW9" s="192" t="e">
        <f>AL15*0.162</f>
        <v>#REF!</v>
      </c>
      <c r="AX9" s="192" t="e">
        <f>AM15*0.944</f>
        <v>#REF!</v>
      </c>
      <c r="AY9" s="192" t="e">
        <f>(AO15*0.189)</f>
        <v>#REF!</v>
      </c>
      <c r="AZ9" s="192" t="e">
        <f>(AO15*0.189)</f>
        <v>#REF!</v>
      </c>
      <c r="BA9" s="192" t="e">
        <f>(AO15*0.507)+(AP15*0.31)</f>
        <v>#REF!</v>
      </c>
      <c r="BB9" s="200" t="e">
        <f>(0.5*AP15+0.3*AQ15)/10</f>
        <v>#REF!</v>
      </c>
      <c r="BC9" s="200" t="e">
        <f>(0.4*AL15+0.3*AQ15)/10</f>
        <v>#REF!</v>
      </c>
      <c r="BD9" s="200">
        <v>0</v>
      </c>
      <c r="BE9" s="200">
        <v>0</v>
      </c>
      <c r="BF9" s="34"/>
      <c r="BG9" t="s">
        <v>232</v>
      </c>
      <c r="BH9" s="34"/>
      <c r="BI9" s="34"/>
      <c r="BJ9" s="34"/>
      <c r="BK9" s="34"/>
      <c r="BL9" s="34"/>
    </row>
    <row r="10" spans="1:64" x14ac:dyDescent="0.25">
      <c r="A10" s="16" t="e">
        <f>PLANTILLA!#REF!</f>
        <v>#REF!</v>
      </c>
      <c r="B10" s="16" t="e">
        <f>PLANTILLA!#REF!</f>
        <v>#REF!</v>
      </c>
      <c r="C10" s="132" t="e">
        <f>PLANTILLA!#REF!</f>
        <v>#REF!</v>
      </c>
      <c r="D10" s="31" t="e">
        <f>PLANTILLA!#REF!</f>
        <v>#REF!</v>
      </c>
      <c r="E10" s="18" t="e">
        <f>PLANTILLA!#REF!</f>
        <v>#REF!</v>
      </c>
      <c r="F10" s="3" t="e">
        <f>PLANTILLA!#REF!</f>
        <v>#REF!</v>
      </c>
      <c r="G10" s="20" t="e">
        <f>PLANTILLA!#REF!</f>
        <v>#REF!</v>
      </c>
      <c r="H10" s="138" t="e">
        <f>PLANTILLA!#REF!</f>
        <v>#REF!</v>
      </c>
      <c r="I10" s="30" t="e">
        <f>PLANTILLA!#REF!</f>
        <v>#REF!</v>
      </c>
      <c r="J10" s="21" t="e">
        <f>PLANTILLA!#REF!</f>
        <v>#REF!</v>
      </c>
      <c r="K10" s="7" t="e">
        <f t="shared" si="9"/>
        <v>#REF!</v>
      </c>
      <c r="L10" s="7" t="e">
        <f t="shared" si="10"/>
        <v>#REF!</v>
      </c>
      <c r="M10" s="23" t="e">
        <f>PLANTILLA!#REF!</f>
        <v>#REF!</v>
      </c>
      <c r="N10" s="23" t="e">
        <f>PLANTILLA!#REF!</f>
        <v>#REF!</v>
      </c>
      <c r="O10" s="23" t="e">
        <f>PLANTILLA!#REF!</f>
        <v>#REF!</v>
      </c>
      <c r="P10" s="23" t="e">
        <f>PLANTILLA!#REF!</f>
        <v>#REF!</v>
      </c>
      <c r="Q10" s="23" t="e">
        <f>PLANTILLA!#REF!</f>
        <v>#REF!</v>
      </c>
      <c r="R10" s="23" t="e">
        <f>PLANTILLA!#REF!</f>
        <v>#REF!</v>
      </c>
      <c r="S10" s="23" t="e">
        <f>PLANTILLA!#REF!</f>
        <v>#REF!</v>
      </c>
      <c r="T10" s="180">
        <v>0</v>
      </c>
      <c r="U10" s="180">
        <v>1</v>
      </c>
      <c r="V10" s="180">
        <v>1</v>
      </c>
      <c r="W10" s="180">
        <v>0.13</v>
      </c>
      <c r="X10" s="180">
        <v>1</v>
      </c>
      <c r="Y10" s="180">
        <f t="shared" si="3"/>
        <v>0.17</v>
      </c>
      <c r="Z10" s="180">
        <v>1</v>
      </c>
      <c r="AA10" s="178" t="e">
        <f t="shared" si="4"/>
        <v>#REF!</v>
      </c>
      <c r="AB10" s="179" t="e">
        <f t="shared" si="5"/>
        <v>#REF!</v>
      </c>
      <c r="AC10" s="27" t="e">
        <f t="shared" si="6"/>
        <v>#REF!</v>
      </c>
      <c r="AD10" s="181" t="e">
        <f t="shared" si="11"/>
        <v>#REF!</v>
      </c>
      <c r="AE10" s="181" t="e">
        <f>N10+(U$2/18)</f>
        <v>#REF!</v>
      </c>
      <c r="AF10" s="181" t="e">
        <f>O10+(V$2/19)</f>
        <v>#REF!</v>
      </c>
      <c r="AG10" s="181" t="e">
        <f>P10+(W$2/41)</f>
        <v>#REF!</v>
      </c>
      <c r="AH10" s="181" t="e">
        <f>Q10+(X$2/5)</f>
        <v>#REF!</v>
      </c>
      <c r="AI10" s="181" t="e">
        <f>R10+(Y$2/45)</f>
        <v>#REF!</v>
      </c>
      <c r="AJ10" s="181" t="e">
        <f>S10+(Z$2/1)</f>
        <v>#REF!</v>
      </c>
      <c r="AK10" s="182">
        <v>0</v>
      </c>
      <c r="AL10" s="182" t="e">
        <f t="shared" ref="AL10" si="30">AE10-N10</f>
        <v>#REF!</v>
      </c>
      <c r="AM10" s="182" t="e">
        <f t="shared" ref="AM10" si="31">AF10-O10</f>
        <v>#REF!</v>
      </c>
      <c r="AN10" s="182" t="e">
        <f t="shared" ref="AN10" si="32">AG10-P10</f>
        <v>#REF!</v>
      </c>
      <c r="AO10" s="182" t="e">
        <f t="shared" ref="AO10" si="33">AH10-Q10</f>
        <v>#REF!</v>
      </c>
      <c r="AP10" s="182" t="e">
        <f t="shared" ref="AP10" si="34">AI10-R10</f>
        <v>#REF!</v>
      </c>
      <c r="AQ10" s="182" t="e">
        <f t="shared" ref="AQ10" si="35">AJ10-S10</f>
        <v>#REF!</v>
      </c>
      <c r="AR10" s="56"/>
      <c r="AS10" s="123" t="s">
        <v>228</v>
      </c>
      <c r="AT10" s="26" t="e">
        <f>D10</f>
        <v>#REF!</v>
      </c>
      <c r="AU10" s="192" t="e">
        <f>AL10*0.189</f>
        <v>#REF!</v>
      </c>
      <c r="AV10" s="192" t="e">
        <f>AL10*0.095</f>
        <v>#REF!</v>
      </c>
      <c r="AW10" s="192" t="e">
        <f>AL10*0.4</f>
        <v>#REF!</v>
      </c>
      <c r="AX10" s="192" t="e">
        <f>AM10*1</f>
        <v>#REF!</v>
      </c>
      <c r="AY10" s="192" t="e">
        <f>AO10*0.253</f>
        <v>#REF!</v>
      </c>
      <c r="AZ10" s="192" t="e">
        <f>AO10*0.123</f>
        <v>#REF!</v>
      </c>
      <c r="BA10" s="192" t="e">
        <f>(AO10*0.341)+(AP10*0.21)</f>
        <v>#REF!</v>
      </c>
      <c r="BB10" s="200" t="e">
        <f>(0.5*AP10+0.3*AQ10)/10</f>
        <v>#REF!</v>
      </c>
      <c r="BC10" s="200" t="e">
        <f>(0.4*AL10+0.3*AQ10)/10</f>
        <v>#REF!</v>
      </c>
      <c r="BD10" s="200">
        <v>0</v>
      </c>
      <c r="BE10" s="200">
        <v>0</v>
      </c>
      <c r="BF10" s="56"/>
      <c r="BG10" t="s">
        <v>233</v>
      </c>
      <c r="BH10" s="56"/>
      <c r="BI10" s="56"/>
      <c r="BJ10" s="56"/>
      <c r="BK10" s="56"/>
      <c r="BL10" s="56"/>
    </row>
    <row r="11" spans="1:64" x14ac:dyDescent="0.25">
      <c r="A11" s="16" t="e">
        <f>PLANTILLA!#REF!</f>
        <v>#REF!</v>
      </c>
      <c r="B11" s="26" t="e">
        <f>PLANTILLA!#REF!</f>
        <v>#REF!</v>
      </c>
      <c r="C11" s="132" t="e">
        <f>PLANTILLA!#REF!</f>
        <v>#REF!</v>
      </c>
      <c r="D11" s="1" t="e">
        <f>PLANTILLA!#REF!</f>
        <v>#REF!</v>
      </c>
      <c r="E11" s="2" t="e">
        <f>PLANTILLA!#REF!</f>
        <v>#REF!</v>
      </c>
      <c r="F11" s="3" t="e">
        <f>PLANTILLA!#REF!</f>
        <v>#REF!</v>
      </c>
      <c r="G11" s="4" t="e">
        <f>PLANTILLA!#REF!</f>
        <v>#REF!</v>
      </c>
      <c r="H11" s="5" t="e">
        <f>PLANTILLA!#REF!</f>
        <v>#REF!</v>
      </c>
      <c r="I11" s="6" t="e">
        <f>PLANTILLA!#REF!</f>
        <v>#REF!</v>
      </c>
      <c r="J11" s="21" t="e">
        <f>PLANTILLA!#REF!</f>
        <v>#REF!</v>
      </c>
      <c r="K11" s="7" t="e">
        <f t="shared" si="9"/>
        <v>#REF!</v>
      </c>
      <c r="L11" s="7" t="e">
        <f t="shared" si="10"/>
        <v>#REF!</v>
      </c>
      <c r="M11" s="23" t="e">
        <f>PLANTILLA!#REF!</f>
        <v>#REF!</v>
      </c>
      <c r="N11" s="23" t="e">
        <f>PLANTILLA!#REF!</f>
        <v>#REF!</v>
      </c>
      <c r="O11" s="23" t="e">
        <f>PLANTILLA!#REF!</f>
        <v>#REF!</v>
      </c>
      <c r="P11" s="23" t="e">
        <f>PLANTILLA!#REF!</f>
        <v>#REF!</v>
      </c>
      <c r="Q11" s="23" t="e">
        <f>PLANTILLA!#REF!</f>
        <v>#REF!</v>
      </c>
      <c r="R11" s="23" t="e">
        <f>PLANTILLA!#REF!</f>
        <v>#REF!</v>
      </c>
      <c r="S11" s="23" t="e">
        <f>PLANTILLA!#REF!</f>
        <v>#REF!</v>
      </c>
      <c r="T11" s="180">
        <v>0</v>
      </c>
      <c r="U11" s="180">
        <f>0.17</f>
        <v>0.17</v>
      </c>
      <c r="V11" s="180">
        <v>0.5</v>
      </c>
      <c r="W11" s="180">
        <v>1</v>
      </c>
      <c r="X11" s="180">
        <v>1</v>
      </c>
      <c r="Y11" s="180">
        <f t="shared" si="3"/>
        <v>0.17</v>
      </c>
      <c r="Z11" s="180">
        <v>1</v>
      </c>
      <c r="AA11" s="178" t="e">
        <f t="shared" si="4"/>
        <v>#REF!</v>
      </c>
      <c r="AB11" s="179" t="e">
        <f t="shared" si="5"/>
        <v>#REF!</v>
      </c>
      <c r="AC11" s="27" t="e">
        <f t="shared" si="6"/>
        <v>#REF!</v>
      </c>
      <c r="AD11" s="181" t="e">
        <f t="shared" si="11"/>
        <v>#REF!</v>
      </c>
      <c r="AE11" s="181" t="e">
        <f>N11+(U$2/4.5)</f>
        <v>#REF!</v>
      </c>
      <c r="AF11" s="181" t="e">
        <f>O11+(V$2/12)</f>
        <v>#REF!</v>
      </c>
      <c r="AG11" s="181" t="e">
        <f>P11+(W$2/13)</f>
        <v>#REF!</v>
      </c>
      <c r="AH11" s="181" t="e">
        <f>Q11+(X$2/16)</f>
        <v>#REF!</v>
      </c>
      <c r="AI11" s="181" t="e">
        <f>R11+(Y$2/7)</f>
        <v>#REF!</v>
      </c>
      <c r="AJ11" s="181" t="e">
        <f>S11+(Z$2/5)</f>
        <v>#REF!</v>
      </c>
      <c r="AK11" s="182">
        <v>0</v>
      </c>
      <c r="AL11" s="182" t="e">
        <f t="shared" ref="AL11:AL12" si="36">AE11-N11</f>
        <v>#REF!</v>
      </c>
      <c r="AM11" s="182" t="e">
        <f t="shared" ref="AM11:AM12" si="37">AF11-O11</f>
        <v>#REF!</v>
      </c>
      <c r="AN11" s="182" t="e">
        <f t="shared" ref="AN11:AN12" si="38">AG11-P11</f>
        <v>#REF!</v>
      </c>
      <c r="AO11" s="182" t="e">
        <f t="shared" ref="AO11:AO12" si="39">AH11-Q11</f>
        <v>#REF!</v>
      </c>
      <c r="AP11" s="182" t="e">
        <f t="shared" ref="AP11:AP12" si="40">AI11-R11</f>
        <v>#REF!</v>
      </c>
      <c r="AQ11" s="182" t="e">
        <f t="shared" ref="AQ11:AQ12" si="41">AJ11-S11</f>
        <v>#REF!</v>
      </c>
      <c r="AS11" s="123" t="s">
        <v>223</v>
      </c>
      <c r="AT11" s="26" t="e">
        <f>D16</f>
        <v>#REF!</v>
      </c>
      <c r="AU11" s="192" t="e">
        <f>AL16*0.038</f>
        <v>#REF!</v>
      </c>
      <c r="AV11" s="192" t="e">
        <f>AL16*0.077</f>
        <v>#REF!</v>
      </c>
      <c r="AW11" s="192" t="e">
        <f>AL16*0.162</f>
        <v>#REF!</v>
      </c>
      <c r="AX11" s="192" t="e">
        <f>AM16*0.944</f>
        <v>#REF!</v>
      </c>
      <c r="AY11" s="192" t="e">
        <f>(AO16*0.126)</f>
        <v>#REF!</v>
      </c>
      <c r="AZ11" s="192" t="e">
        <f>(AO16*0.251)</f>
        <v>#REF!</v>
      </c>
      <c r="BA11" s="192" t="e">
        <f>(AO16*0.507)+(AP16*0.31)</f>
        <v>#REF!</v>
      </c>
      <c r="BB11" s="200" t="e">
        <f>(0.5*AP16+0.3*AQ16)/10</f>
        <v>#REF!</v>
      </c>
      <c r="BC11" s="200" t="e">
        <f>(0.4*AL16+0.3*AQ16)/10</f>
        <v>#REF!</v>
      </c>
      <c r="BD11" s="200">
        <v>0</v>
      </c>
      <c r="BE11" s="200">
        <v>0</v>
      </c>
    </row>
    <row r="12" spans="1:64" x14ac:dyDescent="0.25">
      <c r="A12" s="16" t="e">
        <f>PLANTILLA!#REF!</f>
        <v>#REF!</v>
      </c>
      <c r="B12" s="16" t="e">
        <f>PLANTILLA!#REF!</f>
        <v>#REF!</v>
      </c>
      <c r="C12" s="132" t="e">
        <f>PLANTILLA!#REF!</f>
        <v>#REF!</v>
      </c>
      <c r="D12" s="1" t="e">
        <f>PLANTILLA!#REF!</f>
        <v>#REF!</v>
      </c>
      <c r="E12" s="2" t="e">
        <f>PLANTILLA!#REF!</f>
        <v>#REF!</v>
      </c>
      <c r="F12" s="3" t="e">
        <f>PLANTILLA!#REF!</f>
        <v>#REF!</v>
      </c>
      <c r="G12" s="4" t="e">
        <f>PLANTILLA!#REF!</f>
        <v>#REF!</v>
      </c>
      <c r="H12" s="5" t="e">
        <f>PLANTILLA!#REF!</f>
        <v>#REF!</v>
      </c>
      <c r="I12" s="6" t="e">
        <f>PLANTILLA!#REF!</f>
        <v>#REF!</v>
      </c>
      <c r="J12" s="21" t="e">
        <f>PLANTILLA!#REF!</f>
        <v>#REF!</v>
      </c>
      <c r="K12" s="7" t="e">
        <f t="shared" si="9"/>
        <v>#REF!</v>
      </c>
      <c r="L12" s="7" t="e">
        <f t="shared" si="10"/>
        <v>#REF!</v>
      </c>
      <c r="M12" s="23" t="e">
        <f>PLANTILLA!#REF!</f>
        <v>#REF!</v>
      </c>
      <c r="N12" s="23" t="e">
        <f>PLANTILLA!#REF!</f>
        <v>#REF!</v>
      </c>
      <c r="O12" s="23" t="e">
        <f>PLANTILLA!#REF!</f>
        <v>#REF!</v>
      </c>
      <c r="P12" s="23" t="e">
        <f>PLANTILLA!#REF!</f>
        <v>#REF!</v>
      </c>
      <c r="Q12" s="23" t="e">
        <f>PLANTILLA!#REF!</f>
        <v>#REF!</v>
      </c>
      <c r="R12" s="23" t="e">
        <f>PLANTILLA!#REF!</f>
        <v>#REF!</v>
      </c>
      <c r="S12" s="23" t="e">
        <f>PLANTILLA!#REF!</f>
        <v>#REF!</v>
      </c>
      <c r="T12" s="180">
        <v>0</v>
      </c>
      <c r="U12" s="180">
        <f>0.17</f>
        <v>0.17</v>
      </c>
      <c r="V12" s="180">
        <v>1</v>
      </c>
      <c r="W12" s="180">
        <v>1</v>
      </c>
      <c r="X12" s="180">
        <v>1</v>
      </c>
      <c r="Y12" s="180">
        <v>1</v>
      </c>
      <c r="Z12" s="180">
        <v>1</v>
      </c>
      <c r="AA12" s="178" t="e">
        <f t="shared" si="4"/>
        <v>#REF!</v>
      </c>
      <c r="AB12" s="179" t="e">
        <f t="shared" si="5"/>
        <v>#REF!</v>
      </c>
      <c r="AC12" s="27" t="e">
        <f t="shared" si="6"/>
        <v>#REF!</v>
      </c>
      <c r="AD12" s="181" t="e">
        <f t="shared" si="11"/>
        <v>#REF!</v>
      </c>
      <c r="AE12" s="181" t="e">
        <f>N12+(U$2/5)</f>
        <v>#REF!</v>
      </c>
      <c r="AF12" s="181" t="e">
        <f>O12+(V$2/16)</f>
        <v>#REF!</v>
      </c>
      <c r="AG12" s="181" t="e">
        <f>P12+(W$2/17)</f>
        <v>#REF!</v>
      </c>
      <c r="AH12" s="181" t="e">
        <f>Q12+(X$2/9)</f>
        <v>#REF!</v>
      </c>
      <c r="AI12" s="181" t="e">
        <f>R12+(Y$2/6)</f>
        <v>#REF!</v>
      </c>
      <c r="AJ12" s="181" t="e">
        <f>S12+(Z$2/3)</f>
        <v>#REF!</v>
      </c>
      <c r="AK12" s="182">
        <v>0</v>
      </c>
      <c r="AL12" s="182" t="e">
        <f t="shared" si="36"/>
        <v>#REF!</v>
      </c>
      <c r="AM12" s="182" t="e">
        <f t="shared" si="37"/>
        <v>#REF!</v>
      </c>
      <c r="AN12" s="182" t="e">
        <f t="shared" si="38"/>
        <v>#REF!</v>
      </c>
      <c r="AO12" s="182" t="e">
        <f t="shared" si="39"/>
        <v>#REF!</v>
      </c>
      <c r="AP12" s="182" t="e">
        <f t="shared" si="40"/>
        <v>#REF!</v>
      </c>
      <c r="AQ12" s="182" t="e">
        <f t="shared" si="41"/>
        <v>#REF!</v>
      </c>
      <c r="AR12" s="34"/>
      <c r="AS12" s="123" t="s">
        <v>222</v>
      </c>
      <c r="AT12" s="26" t="e">
        <f>D12</f>
        <v>#REF!</v>
      </c>
      <c r="AU12" s="192">
        <v>0</v>
      </c>
      <c r="AV12" s="192" t="e">
        <f>AL12*0.349</f>
        <v>#REF!</v>
      </c>
      <c r="AW12" s="192" t="e">
        <f>AL12*0.201</f>
        <v>#REF!</v>
      </c>
      <c r="AX12" s="192" t="e">
        <f>AM12*0.455</f>
        <v>#REF!</v>
      </c>
      <c r="AY12" s="192">
        <v>0</v>
      </c>
      <c r="AZ12" s="192" t="e">
        <f>(AN12*0.864)+(AO12*0.244)</f>
        <v>#REF!</v>
      </c>
      <c r="BA12" s="192" t="e">
        <f>AO12*0.121</f>
        <v>#REF!</v>
      </c>
      <c r="BB12" s="200" t="e">
        <f>(0.5*AP12+0.3*AQ12)/10</f>
        <v>#REF!</v>
      </c>
      <c r="BC12" s="200" t="e">
        <f>(0.4*AL12+0.3*AQ12)/10</f>
        <v>#REF!</v>
      </c>
      <c r="BD12" s="200">
        <v>0</v>
      </c>
      <c r="BE12" s="200">
        <v>0</v>
      </c>
      <c r="BF12" s="34"/>
      <c r="BG12" t="s">
        <v>234</v>
      </c>
      <c r="BH12" s="34"/>
      <c r="BI12" s="34"/>
      <c r="BJ12" s="34"/>
      <c r="BK12" s="34"/>
      <c r="BL12" s="34"/>
    </row>
    <row r="13" spans="1:64" x14ac:dyDescent="0.25">
      <c r="A13" s="16" t="e">
        <f>PLANTILLA!#REF!</f>
        <v>#REF!</v>
      </c>
      <c r="B13" s="26" t="e">
        <f>PLANTILLA!#REF!</f>
        <v>#REF!</v>
      </c>
      <c r="C13" s="132" t="e">
        <f>PLANTILLA!#REF!</f>
        <v>#REF!</v>
      </c>
      <c r="D13" s="1" t="e">
        <f>PLANTILLA!#REF!</f>
        <v>#REF!</v>
      </c>
      <c r="E13" s="2" t="e">
        <f>PLANTILLA!#REF!</f>
        <v>#REF!</v>
      </c>
      <c r="F13" s="3" t="e">
        <f>PLANTILLA!#REF!</f>
        <v>#REF!</v>
      </c>
      <c r="G13" s="4" t="e">
        <f>PLANTILLA!#REF!</f>
        <v>#REF!</v>
      </c>
      <c r="H13" s="138" t="e">
        <f>PLANTILLA!#REF!</f>
        <v>#REF!</v>
      </c>
      <c r="I13" s="6" t="e">
        <f>PLANTILLA!#REF!</f>
        <v>#REF!</v>
      </c>
      <c r="J13" s="21" t="e">
        <f>PLANTILLA!#REF!</f>
        <v>#REF!</v>
      </c>
      <c r="K13" s="7" t="e">
        <f t="shared" si="9"/>
        <v>#REF!</v>
      </c>
      <c r="L13" s="7" t="e">
        <f t="shared" si="10"/>
        <v>#REF!</v>
      </c>
      <c r="M13" s="23" t="e">
        <f>PLANTILLA!#REF!</f>
        <v>#REF!</v>
      </c>
      <c r="N13" s="23" t="e">
        <f>PLANTILLA!#REF!</f>
        <v>#REF!</v>
      </c>
      <c r="O13" s="23" t="e">
        <f>PLANTILLA!#REF!</f>
        <v>#REF!</v>
      </c>
      <c r="P13" s="23" t="e">
        <f>PLANTILLA!#REF!</f>
        <v>#REF!</v>
      </c>
      <c r="Q13" s="23" t="e">
        <f>PLANTILLA!#REF!</f>
        <v>#REF!</v>
      </c>
      <c r="R13" s="23" t="e">
        <f>PLANTILLA!#REF!</f>
        <v>#REF!</v>
      </c>
      <c r="S13" s="23" t="e">
        <f>PLANTILLA!#REF!</f>
        <v>#REF!</v>
      </c>
      <c r="T13" s="180">
        <v>0</v>
      </c>
      <c r="U13" s="180">
        <f>0.17</f>
        <v>0.17</v>
      </c>
      <c r="V13" s="180">
        <v>0.5</v>
      </c>
      <c r="W13" s="180">
        <v>1</v>
      </c>
      <c r="X13" s="180">
        <v>1</v>
      </c>
      <c r="Y13" s="180">
        <v>1</v>
      </c>
      <c r="Z13" s="180">
        <v>1</v>
      </c>
      <c r="AA13" s="178" t="e">
        <f t="shared" si="4"/>
        <v>#REF!</v>
      </c>
      <c r="AB13" s="179" t="e">
        <f t="shared" si="5"/>
        <v>#REF!</v>
      </c>
      <c r="AC13" s="27" t="e">
        <f t="shared" si="6"/>
        <v>#REF!</v>
      </c>
      <c r="AD13" s="181" t="e">
        <f t="shared" si="11"/>
        <v>#REF!</v>
      </c>
      <c r="AE13" s="181" t="e">
        <f>N13+(U$2/26)</f>
        <v>#REF!</v>
      </c>
      <c r="AF13" s="181" t="e">
        <f>O13+(V$2/25)</f>
        <v>#REF!</v>
      </c>
      <c r="AG13" s="181" t="e">
        <f>P13+(W$2/15)</f>
        <v>#REF!</v>
      </c>
      <c r="AH13" s="181" t="e">
        <f>Q13+(X$2/6)</f>
        <v>#REF!</v>
      </c>
      <c r="AI13" s="181" t="e">
        <f>R13+(Y$2/8)</f>
        <v>#REF!</v>
      </c>
      <c r="AJ13" s="181" t="e">
        <f>S13+(Z$2/2.5)</f>
        <v>#REF!</v>
      </c>
      <c r="AK13" s="182">
        <v>0</v>
      </c>
      <c r="AL13" s="182" t="e">
        <f t="shared" ref="AL13" si="42">AE13-N13</f>
        <v>#REF!</v>
      </c>
      <c r="AM13" s="182" t="e">
        <f t="shared" ref="AM13" si="43">AF13-O13</f>
        <v>#REF!</v>
      </c>
      <c r="AN13" s="182" t="e">
        <f t="shared" ref="AN13" si="44">AG13-P13</f>
        <v>#REF!</v>
      </c>
      <c r="AO13" s="182" t="e">
        <f t="shared" ref="AO13" si="45">AH13-Q13</f>
        <v>#REF!</v>
      </c>
      <c r="AP13" s="182" t="e">
        <f t="shared" ref="AP13" si="46">AI13-R13</f>
        <v>#REF!</v>
      </c>
      <c r="AQ13" s="182" t="e">
        <f t="shared" ref="AQ13" si="47">AJ13-S13</f>
        <v>#REF!</v>
      </c>
      <c r="AR13" s="193"/>
      <c r="AS13" s="201" t="s">
        <v>44</v>
      </c>
      <c r="AT13" s="185" t="str">
        <f>D17</f>
        <v>Adam Moss</v>
      </c>
      <c r="AU13" s="186">
        <v>0</v>
      </c>
      <c r="AV13" s="186">
        <v>0</v>
      </c>
      <c r="AW13" s="186">
        <v>0</v>
      </c>
      <c r="AX13" s="186">
        <f>AM17*0.25</f>
        <v>0</v>
      </c>
      <c r="AY13" s="186">
        <f>(AO17*0.142)+(AN17*0.221)+(AP17*0.26)</f>
        <v>1.0923076923076883E-2</v>
      </c>
      <c r="AZ13" s="186">
        <f>AY13</f>
        <v>1.0923076923076883E-2</v>
      </c>
      <c r="BA13" s="186">
        <f>(AO17*0.369)+(AP17*1)</f>
        <v>2.8384615384615283E-2</v>
      </c>
      <c r="BB13" s="200">
        <f>(0.5*AP17+0.3*AQ17)/10</f>
        <v>0</v>
      </c>
      <c r="BC13" s="200">
        <f>(0.4*AL17+0.3*AQ17)/10</f>
        <v>0</v>
      </c>
      <c r="BD13" s="200">
        <v>0</v>
      </c>
      <c r="BE13" s="200">
        <v>0</v>
      </c>
      <c r="BF13" s="193"/>
      <c r="BG13" t="s">
        <v>235</v>
      </c>
      <c r="BH13" s="193"/>
      <c r="BI13" s="193"/>
      <c r="BJ13" s="193"/>
      <c r="BK13" s="193"/>
      <c r="BL13" s="193"/>
    </row>
    <row r="14" spans="1:64" x14ac:dyDescent="0.25">
      <c r="A14" s="16" t="str">
        <f>PLANTILLA!A22</f>
        <v>#95</v>
      </c>
      <c r="B14" s="16" t="str">
        <f>PLANTILLA!B22</f>
        <v>EXT</v>
      </c>
      <c r="C14" s="132">
        <f ca="1">PLANTILLA!C22</f>
        <v>-0.13392857142857142</v>
      </c>
      <c r="D14" s="31" t="str">
        <f>PLANTILLA!D22</f>
        <v>Morgan Thomas</v>
      </c>
      <c r="E14" s="18">
        <f>PLANTILLA!E22</f>
        <v>33</v>
      </c>
      <c r="F14" s="3">
        <f ca="1">PLANTILLA!F22</f>
        <v>15</v>
      </c>
      <c r="G14" s="20" t="str">
        <f>PLANTILLA!G22</f>
        <v>CAB</v>
      </c>
      <c r="H14" s="5">
        <f>PLANTILLA!H22</f>
        <v>1</v>
      </c>
      <c r="I14" s="30">
        <f>PLANTILLA!I22</f>
        <v>10.199999999999999</v>
      </c>
      <c r="J14" s="21">
        <f>PLANTILLA!O22</f>
        <v>6.9</v>
      </c>
      <c r="K14" s="7">
        <f t="shared" si="9"/>
        <v>10.199999999999999</v>
      </c>
      <c r="L14" s="7">
        <f t="shared" si="10"/>
        <v>40.799999999999997</v>
      </c>
      <c r="M14" s="23">
        <f>PLANTILLA!X22</f>
        <v>0</v>
      </c>
      <c r="N14" s="23">
        <f>PLANTILLA!Y22</f>
        <v>1.037037037037037</v>
      </c>
      <c r="O14" s="23">
        <f>PLANTILLA!Z22</f>
        <v>13.230909090909091</v>
      </c>
      <c r="P14" s="23">
        <f>PLANTILLA!AA22</f>
        <v>14.058518518518518</v>
      </c>
      <c r="Q14" s="23">
        <f>PLANTILLA!AB22</f>
        <v>10.936666666666666</v>
      </c>
      <c r="R14" s="23">
        <f>PLANTILLA!AC22</f>
        <v>2.95</v>
      </c>
      <c r="S14" s="23">
        <f>PLANTILLA!AD22</f>
        <v>11</v>
      </c>
      <c r="T14" s="180">
        <v>0</v>
      </c>
      <c r="U14" s="180">
        <f>0.17</f>
        <v>0.17</v>
      </c>
      <c r="V14" s="180">
        <v>0.5</v>
      </c>
      <c r="W14" s="180">
        <v>1</v>
      </c>
      <c r="X14" s="180">
        <v>1</v>
      </c>
      <c r="Y14" s="180">
        <f t="shared" si="3"/>
        <v>0.17</v>
      </c>
      <c r="Z14" s="180">
        <v>1</v>
      </c>
      <c r="AA14" s="178">
        <f t="shared" si="4"/>
        <v>33</v>
      </c>
      <c r="AB14" s="179">
        <f t="shared" ca="1" si="5"/>
        <v>22</v>
      </c>
      <c r="AC14" s="27">
        <f t="shared" si="6"/>
        <v>10.199999999999999</v>
      </c>
      <c r="AD14" s="181">
        <f t="shared" si="11"/>
        <v>0</v>
      </c>
      <c r="AE14" s="181">
        <f>N14+(U$2/25)</f>
        <v>1.037037037037037</v>
      </c>
      <c r="AF14" s="181">
        <f>O14+(V$2/20)</f>
        <v>13.230909090909091</v>
      </c>
      <c r="AG14" s="181">
        <f>P14+(W$2/10)</f>
        <v>14.058518518518518</v>
      </c>
      <c r="AH14" s="181">
        <f>Q14+(X$2/16)</f>
        <v>10.999166666666666</v>
      </c>
      <c r="AI14" s="181">
        <f>R14+(Y$2/45)</f>
        <v>2.95</v>
      </c>
      <c r="AJ14" s="181">
        <f>S14+(Z$2/2)</f>
        <v>11</v>
      </c>
      <c r="AK14" s="182">
        <v>0</v>
      </c>
      <c r="AL14" s="182">
        <f t="shared" ref="AL14" si="48">AE14-N14</f>
        <v>0</v>
      </c>
      <c r="AM14" s="182">
        <f t="shared" ref="AM14" si="49">AF14-O14</f>
        <v>0</v>
      </c>
      <c r="AN14" s="182">
        <f t="shared" ref="AN14" si="50">AG14-P14</f>
        <v>0</v>
      </c>
      <c r="AO14" s="182">
        <f t="shared" ref="AO14" si="51">AH14-Q14</f>
        <v>6.25E-2</v>
      </c>
      <c r="AP14" s="182">
        <f t="shared" ref="AP14" si="52">AI14-R14</f>
        <v>0</v>
      </c>
      <c r="AQ14" s="182">
        <f t="shared" ref="AQ14" si="53">AJ14-S14</f>
        <v>0</v>
      </c>
      <c r="AR14" s="34"/>
      <c r="AS14" s="123" t="s">
        <v>44</v>
      </c>
      <c r="AT14" s="26" t="str">
        <f>D18</f>
        <v>Rasheed Da'na</v>
      </c>
      <c r="AU14" s="186">
        <v>0</v>
      </c>
      <c r="AV14" s="186">
        <v>0</v>
      </c>
      <c r="AW14" s="186">
        <v>0</v>
      </c>
      <c r="AX14" s="186">
        <f>AM18*0.25</f>
        <v>0</v>
      </c>
      <c r="AY14" s="186">
        <f>(AO18*0.142)+(AN18*0.221)+(AP18*0.26)</f>
        <v>1.0923076923076883E-2</v>
      </c>
      <c r="AZ14" s="186">
        <f>AY14</f>
        <v>1.0923076923076883E-2</v>
      </c>
      <c r="BA14" s="186">
        <f>(AO18*0.369)+(AP18*1)</f>
        <v>2.8384615384615283E-2</v>
      </c>
      <c r="BB14" s="200">
        <f>(0.5*AP18+0.3*AQ18)/10</f>
        <v>0</v>
      </c>
      <c r="BC14" s="200">
        <f>(0.4*AL18+0.3*AQ18)/10</f>
        <v>0</v>
      </c>
      <c r="BD14" s="200">
        <v>0</v>
      </c>
      <c r="BE14" s="200">
        <v>0</v>
      </c>
      <c r="BF14" s="34"/>
      <c r="BH14" s="34"/>
      <c r="BI14" s="34"/>
      <c r="BJ14" s="34"/>
      <c r="BK14" s="34"/>
      <c r="BL14" s="34"/>
    </row>
    <row r="15" spans="1:64" x14ac:dyDescent="0.25">
      <c r="A15" s="16" t="e">
        <f>PLANTILLA!#REF!</f>
        <v>#REF!</v>
      </c>
      <c r="B15" s="16" t="e">
        <f>PLANTILLA!#REF!</f>
        <v>#REF!</v>
      </c>
      <c r="C15" s="132" t="e">
        <f>PLANTILLA!#REF!</f>
        <v>#REF!</v>
      </c>
      <c r="D15" s="17" t="e">
        <f>PLANTILLA!#REF!</f>
        <v>#REF!</v>
      </c>
      <c r="E15" s="18" t="e">
        <f>PLANTILLA!#REF!</f>
        <v>#REF!</v>
      </c>
      <c r="F15" s="3" t="e">
        <f>PLANTILLA!#REF!</f>
        <v>#REF!</v>
      </c>
      <c r="G15" s="20" t="e">
        <f>PLANTILLA!#REF!</f>
        <v>#REF!</v>
      </c>
      <c r="H15" s="5" t="e">
        <f>PLANTILLA!#REF!</f>
        <v>#REF!</v>
      </c>
      <c r="I15" s="30" t="e">
        <f>PLANTILLA!#REF!</f>
        <v>#REF!</v>
      </c>
      <c r="J15" s="21" t="e">
        <f>PLANTILLA!#REF!</f>
        <v>#REF!</v>
      </c>
      <c r="K15" s="7" t="e">
        <f t="shared" si="9"/>
        <v>#REF!</v>
      </c>
      <c r="L15" s="7" t="e">
        <f t="shared" si="10"/>
        <v>#REF!</v>
      </c>
      <c r="M15" s="23" t="e">
        <f>PLANTILLA!#REF!</f>
        <v>#REF!</v>
      </c>
      <c r="N15" s="23" t="e">
        <f>PLANTILLA!#REF!</f>
        <v>#REF!</v>
      </c>
      <c r="O15" s="23" t="e">
        <f>PLANTILLA!#REF!</f>
        <v>#REF!</v>
      </c>
      <c r="P15" s="23" t="e">
        <f>PLANTILLA!#REF!</f>
        <v>#REF!</v>
      </c>
      <c r="Q15" s="23" t="e">
        <f>PLANTILLA!#REF!</f>
        <v>#REF!</v>
      </c>
      <c r="R15" s="23" t="e">
        <f>PLANTILLA!#REF!</f>
        <v>#REF!</v>
      </c>
      <c r="S15" s="23" t="e">
        <f>PLANTILLA!#REF!</f>
        <v>#REF!</v>
      </c>
      <c r="T15" s="180">
        <v>0</v>
      </c>
      <c r="U15" s="180">
        <v>1</v>
      </c>
      <c r="V15" s="180">
        <v>1</v>
      </c>
      <c r="W15" s="180">
        <v>0.13</v>
      </c>
      <c r="X15" s="180">
        <v>1</v>
      </c>
      <c r="Y15" s="180">
        <v>1</v>
      </c>
      <c r="Z15" s="180">
        <v>1</v>
      </c>
      <c r="AA15" s="178" t="e">
        <f t="shared" si="4"/>
        <v>#REF!</v>
      </c>
      <c r="AB15" s="179" t="e">
        <f t="shared" si="5"/>
        <v>#REF!</v>
      </c>
      <c r="AC15" s="27" t="e">
        <f t="shared" si="6"/>
        <v>#REF!</v>
      </c>
      <c r="AD15" s="181" t="e">
        <f t="shared" si="11"/>
        <v>#REF!</v>
      </c>
      <c r="AE15" s="181" t="e">
        <f>N15+(U$2/4.5)</f>
        <v>#REF!</v>
      </c>
      <c r="AF15" s="181" t="e">
        <f>O15+(V$2/15)</f>
        <v>#REF!</v>
      </c>
      <c r="AG15" s="181" t="e">
        <f>P15+(W$2/20)</f>
        <v>#REF!</v>
      </c>
      <c r="AH15" s="181" t="e">
        <f>Q15+(X$2/12)</f>
        <v>#REF!</v>
      </c>
      <c r="AI15" s="181" t="e">
        <f>R15+(Y$2/8.5)</f>
        <v>#REF!</v>
      </c>
      <c r="AJ15" s="181" t="e">
        <f>S15+(Z$2/2)</f>
        <v>#REF!</v>
      </c>
      <c r="AK15" s="182" t="e">
        <f t="shared" ref="AK15:AQ18" si="54">AD15-M15</f>
        <v>#REF!</v>
      </c>
      <c r="AL15" s="182" t="e">
        <f t="shared" si="54"/>
        <v>#REF!</v>
      </c>
      <c r="AM15" s="182" t="e">
        <f t="shared" si="54"/>
        <v>#REF!</v>
      </c>
      <c r="AN15" s="182" t="e">
        <f t="shared" si="54"/>
        <v>#REF!</v>
      </c>
      <c r="AO15" s="182" t="e">
        <f t="shared" si="54"/>
        <v>#REF!</v>
      </c>
      <c r="AP15" s="182" t="e">
        <f t="shared" si="54"/>
        <v>#REF!</v>
      </c>
      <c r="AQ15" s="182" t="e">
        <f t="shared" si="54"/>
        <v>#REF!</v>
      </c>
      <c r="AR15" s="187"/>
      <c r="AS15" s="194"/>
      <c r="AT15" s="195"/>
      <c r="AU15" s="195"/>
      <c r="AV15" s="195"/>
      <c r="AW15" s="195"/>
      <c r="AX15" s="195"/>
      <c r="AY15" s="195"/>
      <c r="AZ15" s="195"/>
      <c r="BA15" s="195"/>
      <c r="BB15" s="195"/>
      <c r="BC15" s="195"/>
      <c r="BD15" s="195"/>
      <c r="BE15" s="195"/>
      <c r="BF15" s="187"/>
      <c r="BG15" t="s">
        <v>236</v>
      </c>
      <c r="BH15" s="187"/>
      <c r="BI15" s="187"/>
      <c r="BJ15" s="187"/>
      <c r="BK15" s="187"/>
      <c r="BL15" s="187"/>
    </row>
    <row r="16" spans="1:64" x14ac:dyDescent="0.25">
      <c r="A16" s="16" t="e">
        <f>PLANTILLA!#REF!</f>
        <v>#REF!</v>
      </c>
      <c r="B16" s="16" t="e">
        <f>PLANTILLA!#REF!</f>
        <v>#REF!</v>
      </c>
      <c r="C16" s="132" t="e">
        <f>PLANTILLA!#REF!</f>
        <v>#REF!</v>
      </c>
      <c r="D16" s="17" t="e">
        <f>PLANTILLA!#REF!</f>
        <v>#REF!</v>
      </c>
      <c r="E16" s="18" t="e">
        <f>PLANTILLA!#REF!</f>
        <v>#REF!</v>
      </c>
      <c r="F16" s="3" t="e">
        <f>PLANTILLA!#REF!</f>
        <v>#REF!</v>
      </c>
      <c r="G16" s="20" t="e">
        <f>PLANTILLA!#REF!</f>
        <v>#REF!</v>
      </c>
      <c r="H16" s="43" t="e">
        <f>PLANTILLA!#REF!</f>
        <v>#REF!</v>
      </c>
      <c r="I16" s="30" t="e">
        <f>PLANTILLA!#REF!</f>
        <v>#REF!</v>
      </c>
      <c r="J16" s="21" t="e">
        <f>PLANTILLA!#REF!</f>
        <v>#REF!</v>
      </c>
      <c r="K16" s="7" t="e">
        <f t="shared" si="9"/>
        <v>#REF!</v>
      </c>
      <c r="L16" s="7" t="e">
        <f t="shared" si="10"/>
        <v>#REF!</v>
      </c>
      <c r="M16" s="23" t="e">
        <f>PLANTILLA!#REF!</f>
        <v>#REF!</v>
      </c>
      <c r="N16" s="23" t="e">
        <f>PLANTILLA!#REF!</f>
        <v>#REF!</v>
      </c>
      <c r="O16" s="23" t="e">
        <f>PLANTILLA!#REF!</f>
        <v>#REF!</v>
      </c>
      <c r="P16" s="23" t="e">
        <f>PLANTILLA!#REF!</f>
        <v>#REF!</v>
      </c>
      <c r="Q16" s="23" t="e">
        <f>PLANTILLA!#REF!</f>
        <v>#REF!</v>
      </c>
      <c r="R16" s="23" t="e">
        <f>PLANTILLA!#REF!</f>
        <v>#REF!</v>
      </c>
      <c r="S16" s="23" t="e">
        <f>PLANTILLA!#REF!</f>
        <v>#REF!</v>
      </c>
      <c r="T16" s="180">
        <v>0</v>
      </c>
      <c r="U16" s="180">
        <v>1</v>
      </c>
      <c r="V16" s="180">
        <v>1</v>
      </c>
      <c r="W16" s="180">
        <v>0.13</v>
      </c>
      <c r="X16" s="180">
        <v>1</v>
      </c>
      <c r="Y16" s="180">
        <v>1</v>
      </c>
      <c r="Z16" s="180">
        <v>1</v>
      </c>
      <c r="AA16" s="178" t="e">
        <f t="shared" si="4"/>
        <v>#REF!</v>
      </c>
      <c r="AB16" s="179" t="e">
        <f t="shared" si="5"/>
        <v>#REF!</v>
      </c>
      <c r="AC16" s="27" t="e">
        <f t="shared" si="6"/>
        <v>#REF!</v>
      </c>
      <c r="AD16" s="181" t="e">
        <f t="shared" si="11"/>
        <v>#REF!</v>
      </c>
      <c r="AE16" s="181" t="e">
        <f>N16+(U$2/4.5)</f>
        <v>#REF!</v>
      </c>
      <c r="AF16" s="181" t="e">
        <f>O16+(V$2/19)</f>
        <v>#REF!</v>
      </c>
      <c r="AG16" s="181" t="e">
        <f>P16+(W$2/17)</f>
        <v>#REF!</v>
      </c>
      <c r="AH16" s="181" t="e">
        <f>Q16+(X$2/13)</f>
        <v>#REF!</v>
      </c>
      <c r="AI16" s="181" t="e">
        <f>R16+(Y$2/10)</f>
        <v>#REF!</v>
      </c>
      <c r="AJ16" s="181" t="e">
        <f>S16+(Z$2/3)</f>
        <v>#REF!</v>
      </c>
      <c r="AK16" s="182" t="e">
        <f t="shared" si="54"/>
        <v>#REF!</v>
      </c>
      <c r="AL16" s="182" t="e">
        <f t="shared" si="54"/>
        <v>#REF!</v>
      </c>
      <c r="AM16" s="182" t="e">
        <f t="shared" si="54"/>
        <v>#REF!</v>
      </c>
      <c r="AN16" s="182" t="e">
        <f t="shared" si="54"/>
        <v>#REF!</v>
      </c>
      <c r="AO16" s="182" t="e">
        <f t="shared" si="54"/>
        <v>#REF!</v>
      </c>
      <c r="AP16" s="182" t="e">
        <f t="shared" si="54"/>
        <v>#REF!</v>
      </c>
      <c r="AQ16" s="182" t="e">
        <f t="shared" si="54"/>
        <v>#REF!</v>
      </c>
      <c r="AR16" s="193"/>
      <c r="AS16" s="160"/>
      <c r="AT16" s="160"/>
      <c r="AU16" s="171" t="e">
        <f>SUM(AU18:AU28)*$BJ$3</f>
        <v>#REF!</v>
      </c>
      <c r="AV16" s="171" t="e">
        <f>SUM(AV18:AV28)*$BJ$3</f>
        <v>#REF!</v>
      </c>
      <c r="AW16" s="171" t="e">
        <f>SUM(AW18:AW28)*$BJ$2</f>
        <v>#REF!</v>
      </c>
      <c r="AX16" s="171" t="e">
        <f>SUM(AX18:AX28)*$BJ$4</f>
        <v>#REF!</v>
      </c>
      <c r="AY16" s="171" t="e">
        <f>SUM(AY18:AY28)*$BJ$5</f>
        <v>#REF!</v>
      </c>
      <c r="AZ16" s="171" t="e">
        <f>SUM(AZ18:AZ28)*$BJ$5</f>
        <v>#REF!</v>
      </c>
      <c r="BA16" s="171" t="e">
        <f>SUM(BA18:BA28)*$BJ$6</f>
        <v>#REF!</v>
      </c>
      <c r="BB16" s="172" t="e">
        <f>SUM(BB18:BB28)</f>
        <v>#REF!</v>
      </c>
      <c r="BC16" s="172" t="e">
        <f>SUM(BC18:BC28)</f>
        <v>#REF!</v>
      </c>
      <c r="BD16" s="172" t="e">
        <f t="shared" ref="BD16:BE16" si="55">SUM(BD18:BD28)</f>
        <v>#REF!</v>
      </c>
      <c r="BE16" s="172" t="e">
        <f t="shared" si="55"/>
        <v>#REF!</v>
      </c>
      <c r="BF16" s="193"/>
      <c r="BG16" t="s">
        <v>237</v>
      </c>
      <c r="BH16" s="193"/>
      <c r="BI16" s="193"/>
      <c r="BJ16" s="193"/>
      <c r="BK16" s="193"/>
      <c r="BL16" s="193"/>
    </row>
    <row r="17" spans="1:64" x14ac:dyDescent="0.25">
      <c r="A17" s="16" t="str">
        <f>PLANTILLA!A23</f>
        <v>#97</v>
      </c>
      <c r="B17" s="26" t="str">
        <f>PLANTILLA!B23</f>
        <v>DAV</v>
      </c>
      <c r="C17" s="132">
        <f ca="1">PLANTILLA!C23</f>
        <v>2.7232142857142856</v>
      </c>
      <c r="D17" s="29" t="str">
        <f>PLANTILLA!D23</f>
        <v>Adam Moss</v>
      </c>
      <c r="E17" s="2">
        <f>PLANTILLA!E23</f>
        <v>30</v>
      </c>
      <c r="F17" s="3">
        <f ca="1">PLANTILLA!F23</f>
        <v>31</v>
      </c>
      <c r="G17" s="20" t="str">
        <f>PLANTILLA!G23</f>
        <v>RAP</v>
      </c>
      <c r="H17" s="5">
        <f>PLANTILLA!H23</f>
        <v>1</v>
      </c>
      <c r="I17" s="6">
        <f>PLANTILLA!I23</f>
        <v>9.8000000000000007</v>
      </c>
      <c r="J17" s="21">
        <f>PLANTILLA!O23</f>
        <v>7.5</v>
      </c>
      <c r="K17" s="7">
        <f t="shared" si="9"/>
        <v>9.8000000000000007</v>
      </c>
      <c r="L17" s="7">
        <f t="shared" si="10"/>
        <v>39.200000000000003</v>
      </c>
      <c r="M17" s="23">
        <f>PLANTILLA!X23</f>
        <v>0</v>
      </c>
      <c r="N17" s="23">
        <f>PLANTILLA!Y23</f>
        <v>3.2</v>
      </c>
      <c r="O17" s="23">
        <f>PLANTILLA!Z23</f>
        <v>14.399999999999999</v>
      </c>
      <c r="P17" s="23">
        <f>PLANTILLA!AA23</f>
        <v>2.2999999999999998</v>
      </c>
      <c r="Q17" s="23">
        <f>PLANTILLA!AB23</f>
        <v>14.266</v>
      </c>
      <c r="R17" s="23">
        <f>PLANTILLA!AC23</f>
        <v>9.0999999999999961</v>
      </c>
      <c r="S17" s="23">
        <f>PLANTILLA!AD23</f>
        <v>16.299999999999997</v>
      </c>
      <c r="T17" s="180">
        <v>0</v>
      </c>
      <c r="U17" s="180">
        <v>1</v>
      </c>
      <c r="V17" s="180">
        <v>1</v>
      </c>
      <c r="W17" s="180">
        <v>0.13</v>
      </c>
      <c r="X17" s="180">
        <v>1</v>
      </c>
      <c r="Y17" s="180">
        <v>1</v>
      </c>
      <c r="Z17" s="180">
        <v>1</v>
      </c>
      <c r="AA17" s="178">
        <f t="shared" si="4"/>
        <v>30</v>
      </c>
      <c r="AB17" s="179">
        <f t="shared" ca="1" si="5"/>
        <v>38</v>
      </c>
      <c r="AC17" s="27">
        <f t="shared" si="6"/>
        <v>9.8000000000000007</v>
      </c>
      <c r="AD17" s="181">
        <f t="shared" si="11"/>
        <v>0</v>
      </c>
      <c r="AE17" s="181">
        <f>N17+(U$2/5)</f>
        <v>3.2</v>
      </c>
      <c r="AF17" s="181">
        <f>O17+(V$2/19)</f>
        <v>14.399999999999999</v>
      </c>
      <c r="AG17" s="181">
        <f>P17+(W$2/20)</f>
        <v>2.2999999999999998</v>
      </c>
      <c r="AH17" s="181">
        <f>Q17+(X$2/13)</f>
        <v>14.342923076923077</v>
      </c>
      <c r="AI17" s="181">
        <f>R17+(Y$2/9)</f>
        <v>9.0999999999999961</v>
      </c>
      <c r="AJ17" s="181">
        <f>S17+(Z$2/3)</f>
        <v>16.299999999999997</v>
      </c>
      <c r="AK17" s="182">
        <f t="shared" si="54"/>
        <v>0</v>
      </c>
      <c r="AL17" s="182">
        <f t="shared" si="54"/>
        <v>0</v>
      </c>
      <c r="AM17" s="182">
        <f t="shared" si="54"/>
        <v>0</v>
      </c>
      <c r="AN17" s="182">
        <f t="shared" si="54"/>
        <v>0</v>
      </c>
      <c r="AO17" s="182">
        <f t="shared" si="54"/>
        <v>7.692307692307665E-2</v>
      </c>
      <c r="AP17" s="182">
        <f t="shared" si="54"/>
        <v>0</v>
      </c>
      <c r="AQ17" s="182">
        <f t="shared" si="54"/>
        <v>0</v>
      </c>
      <c r="AR17" s="187"/>
      <c r="AS17" s="274" t="s">
        <v>225</v>
      </c>
      <c r="AT17" s="275"/>
      <c r="AU17" s="177" t="s">
        <v>211</v>
      </c>
      <c r="AV17" s="177" t="s">
        <v>212</v>
      </c>
      <c r="AW17" s="177" t="s">
        <v>213</v>
      </c>
      <c r="AX17" s="177" t="s">
        <v>214</v>
      </c>
      <c r="AY17" s="177" t="s">
        <v>215</v>
      </c>
      <c r="AZ17" s="177" t="s">
        <v>216</v>
      </c>
      <c r="BA17" s="177" t="s">
        <v>217</v>
      </c>
      <c r="BB17" s="177" t="s">
        <v>218</v>
      </c>
      <c r="BC17" s="177" t="s">
        <v>219</v>
      </c>
      <c r="BD17" s="177" t="s">
        <v>22</v>
      </c>
      <c r="BE17" s="177" t="s">
        <v>220</v>
      </c>
      <c r="BF17" s="187"/>
      <c r="BG17" s="187"/>
      <c r="BH17" s="187"/>
      <c r="BI17" s="187"/>
      <c r="BJ17" s="187"/>
      <c r="BK17" s="187"/>
      <c r="BL17" s="187"/>
    </row>
    <row r="18" spans="1:64" x14ac:dyDescent="0.25">
      <c r="A18" s="16" t="str">
        <f>PLANTILLA!A24</f>
        <v>#98</v>
      </c>
      <c r="B18" s="16" t="str">
        <f>PLANTILLA!B24</f>
        <v>DAV</v>
      </c>
      <c r="C18" s="132">
        <f ca="1">PLANTILLA!C24</f>
        <v>3.2142857142857144</v>
      </c>
      <c r="D18" s="29" t="str">
        <f>PLANTILLA!D24</f>
        <v>Rasheed Da'na</v>
      </c>
      <c r="E18" s="2">
        <f>PLANTILLA!E24</f>
        <v>29</v>
      </c>
      <c r="F18" s="3">
        <f ca="1">PLANTILLA!F24</f>
        <v>88</v>
      </c>
      <c r="G18" s="4" t="str">
        <f>PLANTILLA!G24</f>
        <v>RAP</v>
      </c>
      <c r="H18" s="5">
        <f>PLANTILLA!H24</f>
        <v>1</v>
      </c>
      <c r="I18" s="6">
        <f>PLANTILLA!I24</f>
        <v>9.5</v>
      </c>
      <c r="J18" s="21">
        <f>PLANTILLA!O24</f>
        <v>7.8</v>
      </c>
      <c r="K18" s="7">
        <f t="shared" si="9"/>
        <v>9.5</v>
      </c>
      <c r="L18" s="7">
        <f t="shared" si="10"/>
        <v>38</v>
      </c>
      <c r="M18" s="23">
        <f>PLANTILLA!X24</f>
        <v>0</v>
      </c>
      <c r="N18" s="23">
        <f>PLANTILLA!Y24</f>
        <v>2.0384615384615383</v>
      </c>
      <c r="O18" s="23">
        <f>PLANTILLA!Z24</f>
        <v>13.499999999999998</v>
      </c>
      <c r="P18" s="23">
        <f>PLANTILLA!AA24</f>
        <v>4.0999999999999996</v>
      </c>
      <c r="Q18" s="23">
        <f>PLANTILLA!AB24</f>
        <v>14.352222222222222</v>
      </c>
      <c r="R18" s="23">
        <f>PLANTILLA!AC24</f>
        <v>10.095333333333334</v>
      </c>
      <c r="S18" s="23">
        <f>PLANTILLA!AD24</f>
        <v>15.399999999999999</v>
      </c>
      <c r="T18" s="180">
        <v>0</v>
      </c>
      <c r="U18" s="180">
        <f>0.17</f>
        <v>0.17</v>
      </c>
      <c r="V18" s="180">
        <v>1</v>
      </c>
      <c r="W18" s="180">
        <v>0.13</v>
      </c>
      <c r="X18" s="180">
        <v>1</v>
      </c>
      <c r="Y18" s="180">
        <v>1</v>
      </c>
      <c r="Z18" s="180">
        <v>1</v>
      </c>
      <c r="AA18" s="178">
        <f t="shared" si="4"/>
        <v>29</v>
      </c>
      <c r="AB18" s="179">
        <f t="shared" ca="1" si="5"/>
        <v>95</v>
      </c>
      <c r="AC18" s="27">
        <f t="shared" si="6"/>
        <v>9.5</v>
      </c>
      <c r="AD18" s="181">
        <f t="shared" si="11"/>
        <v>0</v>
      </c>
      <c r="AE18" s="181">
        <f>N18+(U$2/24)</f>
        <v>2.0384615384615383</v>
      </c>
      <c r="AF18" s="181">
        <f>O18+(V$2/15)</f>
        <v>13.499999999999998</v>
      </c>
      <c r="AG18" s="181">
        <f>P18+(W$2/22)</f>
        <v>4.0999999999999996</v>
      </c>
      <c r="AH18" s="181">
        <f>Q18+(X$2/13)</f>
        <v>14.429145299145299</v>
      </c>
      <c r="AI18" s="181">
        <f>R18+(Y$2/10)</f>
        <v>10.095333333333334</v>
      </c>
      <c r="AJ18" s="181">
        <f>S18+(Z$2/3)</f>
        <v>15.399999999999999</v>
      </c>
      <c r="AK18" s="182">
        <f t="shared" si="54"/>
        <v>0</v>
      </c>
      <c r="AL18" s="182">
        <f t="shared" si="54"/>
        <v>0</v>
      </c>
      <c r="AM18" s="182">
        <f t="shared" si="54"/>
        <v>0</v>
      </c>
      <c r="AN18" s="182">
        <f t="shared" si="54"/>
        <v>0</v>
      </c>
      <c r="AO18" s="182">
        <f t="shared" si="54"/>
        <v>7.692307692307665E-2</v>
      </c>
      <c r="AP18" s="182">
        <f t="shared" si="54"/>
        <v>0</v>
      </c>
      <c r="AQ18" s="182">
        <f t="shared" si="54"/>
        <v>0</v>
      </c>
      <c r="AR18" s="196"/>
      <c r="AS18" s="184" t="s">
        <v>28</v>
      </c>
      <c r="AT18" s="185" t="e">
        <f>D4</f>
        <v>#REF!</v>
      </c>
      <c r="AU18" s="186" t="e">
        <f>AU4</f>
        <v>#REF!</v>
      </c>
      <c r="AV18" s="186" t="e">
        <f t="shared" ref="AV18:BE19" si="56">AV4</f>
        <v>#REF!</v>
      </c>
      <c r="AW18" s="186" t="e">
        <f t="shared" si="56"/>
        <v>#REF!</v>
      </c>
      <c r="AX18" s="186">
        <f t="shared" si="56"/>
        <v>0</v>
      </c>
      <c r="AY18" s="186">
        <f t="shared" si="56"/>
        <v>0</v>
      </c>
      <c r="AZ18" s="186">
        <f t="shared" si="56"/>
        <v>0</v>
      </c>
      <c r="BA18" s="186">
        <f t="shared" si="56"/>
        <v>0</v>
      </c>
      <c r="BB18" s="186">
        <f t="shared" si="56"/>
        <v>0</v>
      </c>
      <c r="BC18" s="186" t="e">
        <f t="shared" si="56"/>
        <v>#REF!</v>
      </c>
      <c r="BD18" s="186">
        <f t="shared" si="56"/>
        <v>0</v>
      </c>
      <c r="BE18" s="186">
        <f t="shared" si="56"/>
        <v>0</v>
      </c>
      <c r="BF18" s="196"/>
      <c r="BG18" s="196"/>
      <c r="BH18" s="196"/>
      <c r="BI18" s="196"/>
      <c r="BJ18" s="196"/>
      <c r="BK18" s="196"/>
      <c r="BL18" s="196"/>
    </row>
    <row r="19" spans="1:64" x14ac:dyDescent="0.25">
      <c r="A19" s="69"/>
      <c r="B19" s="69"/>
      <c r="C19" s="69"/>
      <c r="D19" s="69"/>
      <c r="E19" s="69"/>
      <c r="F19" s="69"/>
      <c r="G19" s="69"/>
      <c r="H19" s="69"/>
      <c r="I19" s="69"/>
      <c r="J19" s="69"/>
      <c r="K19" s="69"/>
      <c r="M19" s="158"/>
      <c r="T19" s="51"/>
      <c r="U19" s="51"/>
      <c r="V19" s="51"/>
      <c r="W19" s="51"/>
      <c r="X19" s="51"/>
      <c r="Y19" s="51"/>
      <c r="Z19" s="51"/>
      <c r="AA19" s="69"/>
      <c r="AB19" s="69"/>
      <c r="AC19" s="69"/>
      <c r="AD19" s="69"/>
      <c r="AE19" s="69"/>
      <c r="AF19" s="69"/>
      <c r="AG19" s="69"/>
      <c r="AH19" s="69"/>
      <c r="AI19" s="69"/>
      <c r="AJ19" s="69"/>
      <c r="AR19" s="196"/>
      <c r="AS19" s="188" t="s">
        <v>221</v>
      </c>
      <c r="AT19" s="189" t="str">
        <f>AT5</f>
        <v>Mario Omarini</v>
      </c>
      <c r="AU19" s="186">
        <f>AU5</f>
        <v>0</v>
      </c>
      <c r="AV19" s="186">
        <f t="shared" si="56"/>
        <v>0</v>
      </c>
      <c r="AW19" s="186">
        <f t="shared" si="56"/>
        <v>0</v>
      </c>
      <c r="AX19" s="186">
        <f t="shared" si="56"/>
        <v>0</v>
      </c>
      <c r="AY19" s="186">
        <f t="shared" si="56"/>
        <v>0</v>
      </c>
      <c r="AZ19" s="186">
        <f t="shared" si="56"/>
        <v>0</v>
      </c>
      <c r="BA19" s="186">
        <f t="shared" si="56"/>
        <v>0</v>
      </c>
      <c r="BB19" s="186">
        <f t="shared" si="56"/>
        <v>0</v>
      </c>
      <c r="BC19" s="186">
        <f t="shared" si="56"/>
        <v>0</v>
      </c>
      <c r="BD19" s="186">
        <f t="shared" si="56"/>
        <v>3.9124999999999996</v>
      </c>
      <c r="BE19" s="186">
        <f t="shared" si="56"/>
        <v>2.4999999999999911E-2</v>
      </c>
      <c r="BF19" s="196"/>
      <c r="BG19" s="196"/>
      <c r="BH19" s="196"/>
      <c r="BI19" s="196"/>
      <c r="BJ19" s="196"/>
      <c r="BK19" s="196"/>
      <c r="BL19" s="196"/>
    </row>
    <row r="20" spans="1:64" x14ac:dyDescent="0.25">
      <c r="C20" s="157"/>
      <c r="D20" s="119"/>
      <c r="G20" s="69"/>
      <c r="H20" s="56"/>
      <c r="J20" s="69"/>
      <c r="K20" s="69"/>
      <c r="M20" s="158"/>
      <c r="T20" s="69"/>
      <c r="U20" s="69"/>
      <c r="V20" s="69"/>
      <c r="W20" s="69"/>
      <c r="X20" s="69"/>
      <c r="Y20" s="69"/>
      <c r="Z20" s="69"/>
      <c r="AA20" s="69"/>
      <c r="AB20" s="69"/>
      <c r="AC20" s="69"/>
      <c r="AD20" s="69"/>
      <c r="AE20" s="69"/>
      <c r="AF20" s="69"/>
      <c r="AG20" s="69"/>
      <c r="AH20" s="69"/>
      <c r="AI20" s="69"/>
      <c r="AJ20" s="69"/>
      <c r="AR20" s="197"/>
      <c r="AS20" s="188" t="s">
        <v>221</v>
      </c>
      <c r="AT20" s="26" t="e">
        <f>AT7</f>
        <v>#REF!</v>
      </c>
      <c r="AU20" s="186">
        <f>AU7</f>
        <v>0</v>
      </c>
      <c r="AV20" s="186" t="e">
        <f t="shared" ref="AV20:BE20" si="57">AV7</f>
        <v>#REF!</v>
      </c>
      <c r="AW20" s="186" t="e">
        <f t="shared" si="57"/>
        <v>#REF!</v>
      </c>
      <c r="AX20" s="186" t="e">
        <f t="shared" si="57"/>
        <v>#REF!</v>
      </c>
      <c r="AY20" s="186">
        <f t="shared" si="57"/>
        <v>0</v>
      </c>
      <c r="AZ20" s="186" t="e">
        <f t="shared" si="57"/>
        <v>#REF!</v>
      </c>
      <c r="BA20" s="186">
        <f t="shared" si="57"/>
        <v>0</v>
      </c>
      <c r="BB20" s="186" t="e">
        <f t="shared" si="57"/>
        <v>#REF!</v>
      </c>
      <c r="BC20" s="186" t="e">
        <f t="shared" si="57"/>
        <v>#REF!</v>
      </c>
      <c r="BD20" s="186" t="e">
        <f t="shared" si="57"/>
        <v>#REF!</v>
      </c>
      <c r="BE20" s="186" t="e">
        <f t="shared" si="57"/>
        <v>#REF!</v>
      </c>
      <c r="BF20" s="197"/>
      <c r="BG20" s="197"/>
      <c r="BH20" s="197"/>
      <c r="BI20" s="197"/>
      <c r="BJ20" s="197"/>
      <c r="BK20" s="197"/>
      <c r="BL20" s="197"/>
    </row>
    <row r="21" spans="1:64" x14ac:dyDescent="0.25">
      <c r="C21" s="157"/>
      <c r="D21" s="119"/>
      <c r="G21" s="69"/>
      <c r="H21" s="56"/>
      <c r="J21" s="69"/>
      <c r="K21" s="69"/>
      <c r="M21" s="158"/>
      <c r="T21" s="69"/>
      <c r="U21" s="69"/>
      <c r="V21" s="69"/>
      <c r="W21" s="69"/>
      <c r="X21" s="69"/>
      <c r="Y21" s="69"/>
      <c r="Z21" s="69"/>
      <c r="AA21" s="69"/>
      <c r="AB21" s="69"/>
      <c r="AC21" s="69"/>
      <c r="AD21" s="69"/>
      <c r="AE21" s="69"/>
      <c r="AF21" s="69"/>
      <c r="AG21" s="69"/>
      <c r="AH21" s="69"/>
      <c r="AI21" s="69"/>
      <c r="AJ21" s="69"/>
      <c r="AR21" s="183"/>
      <c r="AS21" s="120" t="s">
        <v>227</v>
      </c>
      <c r="AT21" s="26" t="e">
        <f>AT8</f>
        <v>#REF!</v>
      </c>
      <c r="AU21" s="192" t="e">
        <f>AU8</f>
        <v>#REF!</v>
      </c>
      <c r="AV21" s="192">
        <f t="shared" ref="AV21:BE21" si="58">AV8</f>
        <v>0</v>
      </c>
      <c r="AW21" s="192" t="e">
        <f t="shared" si="58"/>
        <v>#REF!</v>
      </c>
      <c r="AX21" s="192" t="e">
        <f t="shared" si="58"/>
        <v>#REF!</v>
      </c>
      <c r="AY21" s="192" t="e">
        <f t="shared" si="58"/>
        <v>#REF!</v>
      </c>
      <c r="AZ21" s="192">
        <f t="shared" si="58"/>
        <v>0</v>
      </c>
      <c r="BA21" s="192" t="e">
        <f t="shared" si="58"/>
        <v>#REF!</v>
      </c>
      <c r="BB21" s="192" t="e">
        <f t="shared" si="58"/>
        <v>#REF!</v>
      </c>
      <c r="BC21" s="192" t="e">
        <f t="shared" si="58"/>
        <v>#REF!</v>
      </c>
      <c r="BD21" s="192">
        <f t="shared" si="58"/>
        <v>0</v>
      </c>
      <c r="BE21" s="192">
        <f t="shared" si="58"/>
        <v>0</v>
      </c>
      <c r="BF21" s="183"/>
      <c r="BG21" s="183"/>
      <c r="BH21" s="183"/>
      <c r="BI21" s="183"/>
      <c r="BJ21" s="183"/>
      <c r="BK21" s="183"/>
      <c r="BL21" s="183"/>
    </row>
    <row r="22" spans="1:64" x14ac:dyDescent="0.25">
      <c r="C22" s="157"/>
      <c r="D22" s="119"/>
      <c r="G22" s="69"/>
      <c r="H22" s="56"/>
      <c r="J22" s="69"/>
      <c r="K22" s="69"/>
      <c r="M22" s="158"/>
      <c r="T22" s="69"/>
      <c r="U22" s="69"/>
      <c r="V22" s="69"/>
      <c r="W22" s="69"/>
      <c r="X22" s="69"/>
      <c r="Y22" s="69"/>
      <c r="Z22" s="69"/>
      <c r="AA22" s="69"/>
      <c r="AB22" s="69"/>
      <c r="AC22" s="69"/>
      <c r="AD22" s="69"/>
      <c r="AE22" s="69"/>
      <c r="AF22" s="69"/>
      <c r="AG22" s="69"/>
      <c r="AH22" s="69"/>
      <c r="AI22" s="69"/>
      <c r="AJ22" s="69"/>
      <c r="AR22" s="187"/>
      <c r="AS22" s="123" t="s">
        <v>223</v>
      </c>
      <c r="AT22" s="26" t="e">
        <f t="shared" ref="AT22:AU27" si="59">AT9</f>
        <v>#REF!</v>
      </c>
      <c r="AU22" s="192" t="e">
        <f t="shared" si="59"/>
        <v>#REF!</v>
      </c>
      <c r="AV22" s="192" t="e">
        <f t="shared" ref="AV22:BE22" si="60">AV9</f>
        <v>#REF!</v>
      </c>
      <c r="AW22" s="192" t="e">
        <f t="shared" si="60"/>
        <v>#REF!</v>
      </c>
      <c r="AX22" s="192" t="e">
        <f t="shared" si="60"/>
        <v>#REF!</v>
      </c>
      <c r="AY22" s="192" t="e">
        <f t="shared" si="60"/>
        <v>#REF!</v>
      </c>
      <c r="AZ22" s="192" t="e">
        <f t="shared" si="60"/>
        <v>#REF!</v>
      </c>
      <c r="BA22" s="192" t="e">
        <f t="shared" si="60"/>
        <v>#REF!</v>
      </c>
      <c r="BB22" s="192" t="e">
        <f t="shared" si="60"/>
        <v>#REF!</v>
      </c>
      <c r="BC22" s="192" t="e">
        <f t="shared" si="60"/>
        <v>#REF!</v>
      </c>
      <c r="BD22" s="192">
        <f t="shared" si="60"/>
        <v>0</v>
      </c>
      <c r="BE22" s="192">
        <f t="shared" si="60"/>
        <v>0</v>
      </c>
      <c r="BF22" s="187"/>
      <c r="BG22" s="187"/>
      <c r="BH22" s="187"/>
      <c r="BI22" s="187"/>
      <c r="BJ22" s="187"/>
      <c r="BK22" s="187"/>
      <c r="BL22" s="187"/>
    </row>
    <row r="23" spans="1:64" x14ac:dyDescent="0.25">
      <c r="C23" s="157"/>
      <c r="D23" s="119"/>
      <c r="G23" s="69"/>
      <c r="H23" s="56"/>
      <c r="J23" s="69"/>
      <c r="K23" s="69"/>
      <c r="M23" s="158"/>
      <c r="T23" s="69"/>
      <c r="U23" s="69"/>
      <c r="V23" s="69"/>
      <c r="W23" s="69"/>
      <c r="X23" s="69"/>
      <c r="Y23" s="69"/>
      <c r="Z23" s="69"/>
      <c r="AA23" s="50"/>
      <c r="AB23" s="69"/>
      <c r="AC23" s="69"/>
      <c r="AD23" s="69"/>
      <c r="AE23" s="69"/>
      <c r="AF23" s="69"/>
      <c r="AG23" s="69"/>
      <c r="AH23" s="69"/>
      <c r="AI23" s="69"/>
      <c r="AJ23" s="69"/>
      <c r="AR23" s="193"/>
      <c r="AS23" s="123" t="s">
        <v>228</v>
      </c>
      <c r="AT23" s="26" t="e">
        <f t="shared" si="59"/>
        <v>#REF!</v>
      </c>
      <c r="AU23" s="192" t="e">
        <f t="shared" si="59"/>
        <v>#REF!</v>
      </c>
      <c r="AV23" s="192" t="e">
        <f t="shared" ref="AV23:BE23" si="61">AV10</f>
        <v>#REF!</v>
      </c>
      <c r="AW23" s="192" t="e">
        <f t="shared" si="61"/>
        <v>#REF!</v>
      </c>
      <c r="AX23" s="192" t="e">
        <f t="shared" si="61"/>
        <v>#REF!</v>
      </c>
      <c r="AY23" s="192" t="e">
        <f t="shared" si="61"/>
        <v>#REF!</v>
      </c>
      <c r="AZ23" s="192" t="e">
        <f t="shared" si="61"/>
        <v>#REF!</v>
      </c>
      <c r="BA23" s="192" t="e">
        <f t="shared" si="61"/>
        <v>#REF!</v>
      </c>
      <c r="BB23" s="192" t="e">
        <f t="shared" si="61"/>
        <v>#REF!</v>
      </c>
      <c r="BC23" s="192" t="e">
        <f t="shared" si="61"/>
        <v>#REF!</v>
      </c>
      <c r="BD23" s="192">
        <f t="shared" si="61"/>
        <v>0</v>
      </c>
      <c r="BE23" s="192">
        <f t="shared" si="61"/>
        <v>0</v>
      </c>
      <c r="BF23" s="193"/>
      <c r="BG23" s="193"/>
      <c r="BH23" s="193"/>
      <c r="BI23" s="193"/>
      <c r="BJ23" s="193"/>
      <c r="BK23" s="193"/>
      <c r="BL23" s="193"/>
    </row>
    <row r="24" spans="1:64" x14ac:dyDescent="0.25">
      <c r="C24" s="157"/>
      <c r="D24" s="119"/>
      <c r="G24" s="69"/>
      <c r="H24" s="56"/>
      <c r="J24" s="69"/>
      <c r="K24" s="69"/>
      <c r="M24" s="158"/>
      <c r="T24" s="69"/>
      <c r="U24" s="69"/>
      <c r="V24" s="69"/>
      <c r="W24" s="69"/>
      <c r="X24" s="69"/>
      <c r="Y24" s="69"/>
      <c r="Z24" s="69"/>
      <c r="AA24" s="69"/>
      <c r="AB24" s="69"/>
      <c r="AC24" s="69"/>
      <c r="AD24" s="50"/>
      <c r="AE24" s="50"/>
      <c r="AF24" s="50"/>
      <c r="AG24" s="50"/>
      <c r="AH24" s="50"/>
      <c r="AI24" s="50"/>
      <c r="AJ24" s="50"/>
      <c r="AR24" s="198"/>
      <c r="AS24" s="123" t="s">
        <v>223</v>
      </c>
      <c r="AT24" s="26" t="e">
        <f>D11</f>
        <v>#REF!</v>
      </c>
      <c r="AU24" s="192" t="e">
        <f>AL11*0.038</f>
        <v>#REF!</v>
      </c>
      <c r="AV24" s="192" t="e">
        <f>AL11*0.077</f>
        <v>#REF!</v>
      </c>
      <c r="AW24" s="192" t="e">
        <f>AL11*0.162</f>
        <v>#REF!</v>
      </c>
      <c r="AX24" s="192" t="e">
        <f>AM11*0.944</f>
        <v>#REF!</v>
      </c>
      <c r="AY24" s="192" t="e">
        <f>(AO11*0.126)</f>
        <v>#REF!</v>
      </c>
      <c r="AZ24" s="192" t="e">
        <f>(AO11*0.251)</f>
        <v>#REF!</v>
      </c>
      <c r="BA24" s="192" t="e">
        <f>(AO11*0.507)+(AP11*0.31)</f>
        <v>#REF!</v>
      </c>
      <c r="BB24" s="200" t="e">
        <f>(0.5*AP11+0.3*AQ11)/10</f>
        <v>#REF!</v>
      </c>
      <c r="BC24" s="200" t="e">
        <f>(0.4*AL11+0.3*AQ11)/10</f>
        <v>#REF!</v>
      </c>
      <c r="BD24" s="200">
        <v>0</v>
      </c>
      <c r="BE24" s="200">
        <v>0</v>
      </c>
      <c r="BF24" s="198"/>
      <c r="BG24" s="198"/>
      <c r="BH24" s="198"/>
      <c r="BI24" s="198"/>
      <c r="BJ24" s="198"/>
      <c r="BK24" s="198"/>
      <c r="BL24" s="198"/>
    </row>
    <row r="25" spans="1:64" x14ac:dyDescent="0.25">
      <c r="C25" s="157"/>
      <c r="D25" s="119"/>
      <c r="G25" s="69"/>
      <c r="H25" s="56"/>
      <c r="J25" s="69"/>
      <c r="K25" s="69"/>
      <c r="M25" s="158"/>
      <c r="T25" s="69"/>
      <c r="U25" s="69"/>
      <c r="V25" s="69"/>
      <c r="W25" s="69"/>
      <c r="X25" s="69"/>
      <c r="Y25" s="69"/>
      <c r="Z25" s="69"/>
      <c r="AA25" s="69"/>
      <c r="AB25" s="69"/>
      <c r="AC25" s="69"/>
      <c r="AD25" s="50"/>
      <c r="AE25" s="50"/>
      <c r="AF25" s="50"/>
      <c r="AG25" s="50"/>
      <c r="AH25" s="50"/>
      <c r="AI25" s="50"/>
      <c r="AJ25" s="50"/>
      <c r="AR25" s="197"/>
      <c r="AS25" s="123" t="s">
        <v>222</v>
      </c>
      <c r="AT25" s="26" t="e">
        <f t="shared" si="59"/>
        <v>#REF!</v>
      </c>
      <c r="AU25" s="192">
        <f>AU12</f>
        <v>0</v>
      </c>
      <c r="AV25" s="192" t="e">
        <f t="shared" ref="AV25:BE25" si="62">AV12</f>
        <v>#REF!</v>
      </c>
      <c r="AW25" s="192" t="e">
        <f t="shared" si="62"/>
        <v>#REF!</v>
      </c>
      <c r="AX25" s="192" t="e">
        <f t="shared" si="62"/>
        <v>#REF!</v>
      </c>
      <c r="AY25" s="192">
        <f t="shared" si="62"/>
        <v>0</v>
      </c>
      <c r="AZ25" s="192" t="e">
        <f t="shared" si="62"/>
        <v>#REF!</v>
      </c>
      <c r="BA25" s="192" t="e">
        <f t="shared" si="62"/>
        <v>#REF!</v>
      </c>
      <c r="BB25" s="192" t="e">
        <f t="shared" si="62"/>
        <v>#REF!</v>
      </c>
      <c r="BC25" s="192" t="e">
        <f t="shared" si="62"/>
        <v>#REF!</v>
      </c>
      <c r="BD25" s="192">
        <f t="shared" si="62"/>
        <v>0</v>
      </c>
      <c r="BE25" s="192">
        <f t="shared" si="62"/>
        <v>0</v>
      </c>
      <c r="BF25" s="197"/>
      <c r="BG25" s="197"/>
      <c r="BH25" s="197"/>
      <c r="BI25" s="197"/>
      <c r="BJ25" s="197"/>
      <c r="BK25" s="197"/>
      <c r="BL25" s="197"/>
    </row>
    <row r="26" spans="1:64" x14ac:dyDescent="0.25">
      <c r="C26" s="157"/>
      <c r="D26" s="119"/>
      <c r="G26" s="69"/>
      <c r="H26" s="56"/>
      <c r="J26" s="69"/>
      <c r="K26" s="69"/>
      <c r="M26" s="158"/>
      <c r="T26" s="69"/>
      <c r="U26" s="69"/>
      <c r="V26" s="69"/>
      <c r="W26" s="69"/>
      <c r="X26" s="69"/>
      <c r="Y26" s="69"/>
      <c r="Z26" s="69"/>
      <c r="AA26" s="69"/>
      <c r="AB26" s="69"/>
      <c r="AC26" s="69"/>
      <c r="AD26" s="50"/>
      <c r="AE26" s="50"/>
      <c r="AF26" s="50"/>
      <c r="AG26" s="50"/>
      <c r="AH26" s="50"/>
      <c r="AI26" s="50"/>
      <c r="AJ26" s="50"/>
      <c r="AR26" s="193"/>
      <c r="AS26" s="201" t="s">
        <v>44</v>
      </c>
      <c r="AT26" s="26" t="str">
        <f t="shared" si="59"/>
        <v>Adam Moss</v>
      </c>
      <c r="AU26" s="192">
        <f t="shared" si="59"/>
        <v>0</v>
      </c>
      <c r="AV26" s="192">
        <f t="shared" ref="AV26:BE26" si="63">AV13</f>
        <v>0</v>
      </c>
      <c r="AW26" s="192">
        <f t="shared" si="63"/>
        <v>0</v>
      </c>
      <c r="AX26" s="192">
        <f t="shared" si="63"/>
        <v>0</v>
      </c>
      <c r="AY26" s="192">
        <f t="shared" si="63"/>
        <v>1.0923076923076883E-2</v>
      </c>
      <c r="AZ26" s="192">
        <f t="shared" si="63"/>
        <v>1.0923076923076883E-2</v>
      </c>
      <c r="BA26" s="192">
        <f t="shared" si="63"/>
        <v>2.8384615384615283E-2</v>
      </c>
      <c r="BB26" s="192">
        <f t="shared" si="63"/>
        <v>0</v>
      </c>
      <c r="BC26" s="192">
        <f t="shared" si="63"/>
        <v>0</v>
      </c>
      <c r="BD26" s="192">
        <f t="shared" si="63"/>
        <v>0</v>
      </c>
      <c r="BE26" s="192">
        <f t="shared" si="63"/>
        <v>0</v>
      </c>
      <c r="BF26" s="193"/>
      <c r="BG26" s="193"/>
      <c r="BH26" s="193"/>
      <c r="BI26" s="193"/>
      <c r="BJ26" s="193"/>
      <c r="BK26" s="193"/>
      <c r="BL26" s="193"/>
    </row>
    <row r="27" spans="1:64" x14ac:dyDescent="0.25">
      <c r="C27" s="157"/>
      <c r="D27" s="119"/>
      <c r="G27" s="69"/>
      <c r="H27" s="56"/>
      <c r="J27" s="69"/>
      <c r="K27" s="69"/>
      <c r="M27" s="158"/>
      <c r="T27" s="69"/>
      <c r="U27" s="69"/>
      <c r="V27" s="69"/>
      <c r="W27" s="69"/>
      <c r="X27" s="69"/>
      <c r="Y27" s="69"/>
      <c r="Z27" s="69"/>
      <c r="AA27" s="69"/>
      <c r="AB27" s="69"/>
      <c r="AC27" s="69"/>
      <c r="AD27" s="50"/>
      <c r="AE27" s="50"/>
      <c r="AF27" s="50"/>
      <c r="AG27" s="50"/>
      <c r="AH27" s="50"/>
      <c r="AI27" s="50"/>
      <c r="AJ27" s="50"/>
      <c r="AS27" s="123" t="s">
        <v>44</v>
      </c>
      <c r="AT27" s="26" t="str">
        <f t="shared" si="59"/>
        <v>Rasheed Da'na</v>
      </c>
      <c r="AU27" s="192">
        <f t="shared" si="59"/>
        <v>0</v>
      </c>
      <c r="AV27" s="192">
        <f t="shared" ref="AV27:BE27" si="64">AV14</f>
        <v>0</v>
      </c>
      <c r="AW27" s="192">
        <f t="shared" si="64"/>
        <v>0</v>
      </c>
      <c r="AX27" s="192">
        <f t="shared" si="64"/>
        <v>0</v>
      </c>
      <c r="AY27" s="192">
        <f t="shared" si="64"/>
        <v>1.0923076923076883E-2</v>
      </c>
      <c r="AZ27" s="192">
        <f t="shared" si="64"/>
        <v>1.0923076923076883E-2</v>
      </c>
      <c r="BA27" s="192">
        <f t="shared" si="64"/>
        <v>2.8384615384615283E-2</v>
      </c>
      <c r="BB27" s="192">
        <f t="shared" si="64"/>
        <v>0</v>
      </c>
      <c r="BC27" s="192">
        <f t="shared" si="64"/>
        <v>0</v>
      </c>
      <c r="BD27" s="192">
        <f t="shared" si="64"/>
        <v>0</v>
      </c>
      <c r="BE27" s="192">
        <f t="shared" si="64"/>
        <v>0</v>
      </c>
    </row>
    <row r="28" spans="1:64" x14ac:dyDescent="0.25">
      <c r="C28" s="157"/>
      <c r="D28" s="119"/>
      <c r="G28" s="69"/>
      <c r="H28" s="56"/>
      <c r="J28" s="69"/>
      <c r="K28" s="69"/>
      <c r="M28" s="158"/>
      <c r="T28" s="69"/>
      <c r="U28" s="69"/>
      <c r="V28" s="69"/>
      <c r="W28" s="69"/>
      <c r="X28" s="69"/>
      <c r="Y28" s="69"/>
      <c r="Z28" s="69"/>
      <c r="AA28" s="69"/>
      <c r="AB28" s="69"/>
      <c r="AC28" s="69"/>
      <c r="AD28" s="50"/>
      <c r="AE28" s="50"/>
      <c r="AF28" s="50"/>
      <c r="AG28" s="50"/>
      <c r="AH28" s="50"/>
      <c r="AI28" s="50"/>
      <c r="AJ28" s="50"/>
      <c r="AS28" s="123" t="s">
        <v>84</v>
      </c>
      <c r="AT28" s="26" t="e">
        <f>AT11</f>
        <v>#REF!</v>
      </c>
      <c r="AU28" s="186">
        <v>0</v>
      </c>
      <c r="AV28" s="186">
        <v>0</v>
      </c>
      <c r="AW28" s="186">
        <v>0</v>
      </c>
      <c r="AX28" s="186" t="e">
        <f>AM16*0.4</f>
        <v>#REF!</v>
      </c>
      <c r="AY28" s="186" t="e">
        <f>(AO16*0.324)+(AN16*0.144)+(AP16*0.127)</f>
        <v>#REF!</v>
      </c>
      <c r="AZ28" s="186" t="e">
        <f>AY28</f>
        <v>#REF!</v>
      </c>
      <c r="BA28" s="186" t="e">
        <f>(AO16*0.543)+(AP16*0.583)</f>
        <v>#REF!</v>
      </c>
      <c r="BB28" s="200" t="e">
        <f>(0.5*AP16+0.3*AQ16)/10</f>
        <v>#REF!</v>
      </c>
      <c r="BC28" s="200" t="e">
        <f>(0.4*AL16+0.3*AQ16)/10</f>
        <v>#REF!</v>
      </c>
      <c r="BD28" s="200">
        <v>0</v>
      </c>
      <c r="BE28" s="200">
        <v>0</v>
      </c>
    </row>
    <row r="29" spans="1:64" x14ac:dyDescent="0.25">
      <c r="C29" s="157"/>
      <c r="D29" s="119"/>
      <c r="G29" s="69"/>
      <c r="H29" s="56"/>
      <c r="J29" s="69"/>
      <c r="K29" s="69"/>
      <c r="M29" s="158"/>
      <c r="T29" s="69"/>
      <c r="U29" s="69"/>
      <c r="V29" s="69"/>
      <c r="W29" s="69"/>
      <c r="X29" s="69"/>
      <c r="Y29" s="69"/>
      <c r="Z29" s="69"/>
      <c r="AA29" s="69"/>
      <c r="AB29" s="69"/>
      <c r="AC29" s="69"/>
      <c r="AD29" s="50"/>
      <c r="AE29" s="50"/>
      <c r="AF29" s="50"/>
      <c r="AG29" s="50"/>
      <c r="AH29" s="50"/>
      <c r="AI29" s="50"/>
      <c r="AJ29" s="50"/>
      <c r="AS29" s="194"/>
      <c r="AT29" s="195"/>
      <c r="AU29" s="195"/>
      <c r="AV29" s="195"/>
      <c r="AW29" s="195"/>
      <c r="AX29" s="195"/>
      <c r="AY29" s="195"/>
      <c r="AZ29" s="195"/>
      <c r="BA29" s="195"/>
      <c r="BB29" s="195"/>
      <c r="BC29" s="195"/>
      <c r="BD29" s="195"/>
      <c r="BE29" s="195"/>
    </row>
    <row r="30" spans="1:64" x14ac:dyDescent="0.25">
      <c r="C30" s="157"/>
      <c r="D30" s="119"/>
      <c r="G30" s="69"/>
      <c r="H30" s="56"/>
      <c r="J30" s="69"/>
      <c r="K30" s="69"/>
      <c r="M30" s="158"/>
      <c r="T30" s="69"/>
      <c r="U30" s="69"/>
      <c r="V30" s="69"/>
      <c r="W30" s="69"/>
      <c r="X30" s="69"/>
      <c r="Y30" s="69"/>
      <c r="Z30" s="69"/>
      <c r="AA30" s="69"/>
      <c r="AB30" s="69"/>
      <c r="AC30" s="69"/>
      <c r="AD30" s="69"/>
      <c r="AE30" s="69"/>
      <c r="AF30" s="69"/>
      <c r="AG30" s="69"/>
      <c r="AH30" s="69"/>
      <c r="AI30" s="69"/>
      <c r="AJ30" s="69"/>
      <c r="AS30" s="160"/>
      <c r="AT30" s="160"/>
      <c r="AU30" s="171" t="e">
        <f>SUM(AU32:AU42)*$BJ$3</f>
        <v>#REF!</v>
      </c>
      <c r="AV30" s="171" t="e">
        <f>SUM(AV32:AV42)*$BJ$3</f>
        <v>#REF!</v>
      </c>
      <c r="AW30" s="171" t="e">
        <f>SUM(AW32:AW42)*$BJ$2</f>
        <v>#REF!</v>
      </c>
      <c r="AX30" s="171" t="e">
        <f>SUM(AX32:AX42)*$BJ$4</f>
        <v>#REF!</v>
      </c>
      <c r="AY30" s="171" t="e">
        <f>SUM(AY32:AY42)*$BJ$5</f>
        <v>#REF!</v>
      </c>
      <c r="AZ30" s="171" t="e">
        <f>SUM(AZ32:AZ42)*$BJ$5</f>
        <v>#REF!</v>
      </c>
      <c r="BA30" s="171" t="e">
        <f>SUM(BA32:BA42)*$BJ$6</f>
        <v>#REF!</v>
      </c>
      <c r="BB30" s="172" t="e">
        <f>SUM(BB32:BB42)</f>
        <v>#REF!</v>
      </c>
      <c r="BC30" s="172" t="e">
        <f>SUM(BC32:BC42)</f>
        <v>#REF!</v>
      </c>
      <c r="BD30" s="172" t="e">
        <f t="shared" ref="BD30:BE30" si="65">SUM(BD32:BD42)</f>
        <v>#REF!</v>
      </c>
      <c r="BE30" s="172" t="e">
        <f t="shared" si="65"/>
        <v>#REF!</v>
      </c>
    </row>
    <row r="31" spans="1:64" x14ac:dyDescent="0.25">
      <c r="C31" s="157"/>
      <c r="D31" s="119"/>
      <c r="G31" s="69"/>
      <c r="H31" s="56"/>
      <c r="J31" s="69"/>
      <c r="K31" s="69"/>
      <c r="M31" s="158"/>
      <c r="T31" s="69"/>
      <c r="U31" s="69"/>
      <c r="V31" s="69"/>
      <c r="W31" s="69"/>
      <c r="X31" s="69"/>
      <c r="Y31" s="69"/>
      <c r="Z31" s="69"/>
      <c r="AA31" s="69"/>
      <c r="AB31" s="69"/>
      <c r="AC31" s="69"/>
      <c r="AD31" s="69"/>
      <c r="AE31" s="69"/>
      <c r="AF31" s="69"/>
      <c r="AG31" s="69"/>
      <c r="AH31" s="69"/>
      <c r="AI31" s="69"/>
      <c r="AJ31" s="69"/>
      <c r="AS31" s="274" t="s">
        <v>224</v>
      </c>
      <c r="AT31" s="275"/>
      <c r="AU31" s="177" t="s">
        <v>211</v>
      </c>
      <c r="AV31" s="177" t="s">
        <v>212</v>
      </c>
      <c r="AW31" s="177" t="s">
        <v>213</v>
      </c>
      <c r="AX31" s="177" t="s">
        <v>214</v>
      </c>
      <c r="AY31" s="177" t="s">
        <v>215</v>
      </c>
      <c r="AZ31" s="177" t="s">
        <v>216</v>
      </c>
      <c r="BA31" s="177" t="s">
        <v>217</v>
      </c>
      <c r="BB31" s="177" t="s">
        <v>218</v>
      </c>
      <c r="BC31" s="177" t="s">
        <v>219</v>
      </c>
      <c r="BD31" s="177" t="s">
        <v>22</v>
      </c>
      <c r="BE31" s="177" t="s">
        <v>220</v>
      </c>
    </row>
    <row r="32" spans="1:64" x14ac:dyDescent="0.25">
      <c r="C32" s="157"/>
      <c r="D32" s="119"/>
      <c r="G32" s="69"/>
      <c r="H32" s="56"/>
      <c r="J32" s="69"/>
      <c r="K32" s="69"/>
      <c r="M32" s="158"/>
      <c r="T32" s="69"/>
      <c r="U32" s="69"/>
      <c r="V32" s="69"/>
      <c r="W32" s="69"/>
      <c r="X32" s="69"/>
      <c r="Y32" s="69"/>
      <c r="Z32" s="69"/>
      <c r="AA32" s="69"/>
      <c r="AB32" s="69"/>
      <c r="AC32" s="69"/>
      <c r="AD32" s="69"/>
      <c r="AE32" s="69"/>
      <c r="AF32" s="69"/>
      <c r="AG32" s="69"/>
      <c r="AH32" s="69"/>
      <c r="AI32" s="69"/>
      <c r="AJ32" s="69"/>
      <c r="AS32" s="201" t="s">
        <v>28</v>
      </c>
      <c r="AT32" s="185" t="e">
        <f>AT18</f>
        <v>#REF!</v>
      </c>
      <c r="AU32" s="186" t="e">
        <f>AU18</f>
        <v>#REF!</v>
      </c>
      <c r="AV32" s="186" t="e">
        <f t="shared" ref="AV32:BE32" si="66">AV18</f>
        <v>#REF!</v>
      </c>
      <c r="AW32" s="186" t="e">
        <f t="shared" si="66"/>
        <v>#REF!</v>
      </c>
      <c r="AX32" s="186">
        <f t="shared" si="66"/>
        <v>0</v>
      </c>
      <c r="AY32" s="186">
        <f t="shared" si="66"/>
        <v>0</v>
      </c>
      <c r="AZ32" s="186">
        <v>0</v>
      </c>
      <c r="BA32" s="186">
        <f t="shared" si="66"/>
        <v>0</v>
      </c>
      <c r="BB32" s="186">
        <f t="shared" si="66"/>
        <v>0</v>
      </c>
      <c r="BC32" s="186" t="e">
        <f t="shared" si="66"/>
        <v>#REF!</v>
      </c>
      <c r="BD32" s="186">
        <f t="shared" si="66"/>
        <v>0</v>
      </c>
      <c r="BE32" s="186">
        <f t="shared" si="66"/>
        <v>0</v>
      </c>
    </row>
    <row r="33" spans="3:57" x14ac:dyDescent="0.25">
      <c r="C33" s="157"/>
      <c r="D33" s="119"/>
      <c r="G33" s="69"/>
      <c r="H33" s="56"/>
      <c r="J33" s="69"/>
      <c r="K33" s="69"/>
      <c r="M33" s="158"/>
      <c r="T33" s="69"/>
      <c r="U33" s="69"/>
      <c r="V33" s="69"/>
      <c r="W33" s="69"/>
      <c r="X33" s="69"/>
      <c r="Y33" s="69"/>
      <c r="Z33" s="69"/>
      <c r="AA33" s="69"/>
      <c r="AB33" s="69"/>
      <c r="AC33" s="69"/>
      <c r="AD33" s="69"/>
      <c r="AE33" s="69"/>
      <c r="AF33" s="69"/>
      <c r="AG33" s="69"/>
      <c r="AH33" s="69"/>
      <c r="AI33" s="69"/>
      <c r="AJ33" s="69"/>
      <c r="AS33" s="188" t="s">
        <v>231</v>
      </c>
      <c r="AT33" s="189" t="str">
        <f>AT19</f>
        <v>Mario Omarini</v>
      </c>
      <c r="AU33" s="190">
        <f>(AL5*1)</f>
        <v>0</v>
      </c>
      <c r="AV33" s="190">
        <v>0</v>
      </c>
      <c r="AW33" s="190">
        <f>AL5*0.479</f>
        <v>0</v>
      </c>
      <c r="AX33" s="190">
        <f>AM5*0.066</f>
        <v>0</v>
      </c>
      <c r="AY33" s="190">
        <f>AN5*0.376</f>
        <v>0</v>
      </c>
      <c r="AZ33" s="190">
        <v>0</v>
      </c>
      <c r="BA33" s="190">
        <v>0</v>
      </c>
      <c r="BB33" s="191">
        <f>(0.5*AP5+0.3*AQ5)/10</f>
        <v>0</v>
      </c>
      <c r="BC33" s="191">
        <f>(0.4*AL5+0.3*AQ5)/10</f>
        <v>0</v>
      </c>
      <c r="BD33" s="191">
        <f>((AE5+1)+(AH5+1)*2)/8</f>
        <v>3.9124999999999996</v>
      </c>
      <c r="BE33" s="191">
        <f>((AL5)+(AO5)*2)/8</f>
        <v>2.4999999999999911E-2</v>
      </c>
    </row>
    <row r="34" spans="3:57" x14ac:dyDescent="0.25">
      <c r="C34" s="157"/>
      <c r="D34" s="119"/>
      <c r="G34" s="69"/>
      <c r="H34" s="56"/>
      <c r="J34" s="69"/>
      <c r="K34" s="69"/>
      <c r="M34" s="158"/>
      <c r="T34" s="69"/>
      <c r="U34" s="69"/>
      <c r="V34" s="69"/>
      <c r="W34" s="69"/>
      <c r="X34" s="69"/>
      <c r="Y34" s="69"/>
      <c r="Z34" s="69"/>
      <c r="AA34" s="69"/>
      <c r="AB34" s="69"/>
      <c r="AC34" s="69"/>
      <c r="AD34" s="69"/>
      <c r="AE34" s="69"/>
      <c r="AF34" s="69"/>
      <c r="AG34" s="69"/>
      <c r="AH34" s="69"/>
      <c r="AI34" s="69"/>
      <c r="AJ34" s="69"/>
      <c r="AS34" s="123" t="s">
        <v>229</v>
      </c>
      <c r="AT34" s="26" t="str">
        <f>D9</f>
        <v>Ibiur Altxakoa</v>
      </c>
      <c r="AU34" s="186">
        <f>AU6</f>
        <v>0</v>
      </c>
      <c r="AV34" s="186">
        <f t="shared" ref="AV34:BE34" si="67">AV6</f>
        <v>0</v>
      </c>
      <c r="AW34" s="186">
        <f t="shared" si="67"/>
        <v>0</v>
      </c>
      <c r="AX34" s="186">
        <f t="shared" si="67"/>
        <v>0</v>
      </c>
      <c r="AY34" s="186">
        <f t="shared" si="67"/>
        <v>0</v>
      </c>
      <c r="AZ34" s="186">
        <f t="shared" si="67"/>
        <v>0</v>
      </c>
      <c r="BA34" s="186">
        <f t="shared" si="67"/>
        <v>0</v>
      </c>
      <c r="BB34" s="186">
        <f t="shared" si="67"/>
        <v>0</v>
      </c>
      <c r="BC34" s="186">
        <f t="shared" si="67"/>
        <v>0</v>
      </c>
      <c r="BD34" s="186">
        <f t="shared" si="67"/>
        <v>4.0671428571428567</v>
      </c>
      <c r="BE34" s="186">
        <f t="shared" si="67"/>
        <v>1.7857142857142794E-2</v>
      </c>
    </row>
    <row r="35" spans="3:57" x14ac:dyDescent="0.25">
      <c r="C35" s="157"/>
      <c r="D35" s="119"/>
      <c r="G35" s="69"/>
      <c r="H35" s="56"/>
      <c r="J35" s="69"/>
      <c r="K35" s="69"/>
      <c r="M35" s="158"/>
      <c r="T35" s="69"/>
      <c r="U35" s="69"/>
      <c r="V35" s="69"/>
      <c r="W35" s="69"/>
      <c r="X35" s="69"/>
      <c r="Y35" s="69"/>
      <c r="Z35" s="69"/>
      <c r="AA35" s="69"/>
      <c r="AB35" s="69"/>
      <c r="AC35" s="69"/>
      <c r="AD35" s="69"/>
      <c r="AE35" s="69"/>
      <c r="AF35" s="69"/>
      <c r="AG35" s="69"/>
      <c r="AH35" s="69"/>
      <c r="AI35" s="69"/>
      <c r="AJ35" s="69"/>
      <c r="AS35" s="123" t="s">
        <v>229</v>
      </c>
      <c r="AT35" s="26" t="e">
        <f>D10</f>
        <v>#REF!</v>
      </c>
      <c r="AU35" s="192" t="e">
        <f>AL10*0.378</f>
        <v>#REF!</v>
      </c>
      <c r="AV35" s="192" t="e">
        <f>AU35</f>
        <v>#REF!</v>
      </c>
      <c r="AW35" s="192" t="e">
        <f>AL10*1</f>
        <v>#REF!</v>
      </c>
      <c r="AX35" s="192" t="e">
        <f>AM10*0.236</f>
        <v>#REF!</v>
      </c>
      <c r="AY35" s="192">
        <v>0</v>
      </c>
      <c r="AZ35" s="192">
        <v>0</v>
      </c>
      <c r="BA35" s="192">
        <v>0</v>
      </c>
      <c r="BB35" s="200" t="e">
        <f>(0.5*AP10+0.3*AQ10)/10</f>
        <v>#REF!</v>
      </c>
      <c r="BC35" s="200" t="e">
        <f>(0.4*AL10+0.3*AQ10)/10</f>
        <v>#REF!</v>
      </c>
      <c r="BD35" s="191" t="e">
        <f>((AE10+1)+(AH10+1)*2)/8</f>
        <v>#REF!</v>
      </c>
      <c r="BE35" s="191" t="e">
        <f>((AL10)+(AO10)*2)/8</f>
        <v>#REF!</v>
      </c>
    </row>
    <row r="36" spans="3:57" x14ac:dyDescent="0.25">
      <c r="C36" s="157"/>
      <c r="D36" s="119"/>
      <c r="G36" s="69"/>
      <c r="H36" s="56"/>
      <c r="J36" s="69"/>
      <c r="K36" s="69"/>
      <c r="M36" s="158"/>
      <c r="T36" s="69"/>
      <c r="U36" s="69"/>
      <c r="V36" s="69"/>
      <c r="W36" s="69"/>
      <c r="X36" s="69"/>
      <c r="Y36" s="69"/>
      <c r="Z36" s="69"/>
      <c r="AA36" s="69"/>
      <c r="AB36" s="69"/>
      <c r="AC36" s="69"/>
      <c r="AD36" s="69"/>
      <c r="AE36" s="69"/>
      <c r="AF36" s="69"/>
      <c r="AG36" s="69"/>
      <c r="AH36" s="69"/>
      <c r="AI36" s="69"/>
      <c r="AJ36" s="69"/>
      <c r="AS36" s="201" t="s">
        <v>230</v>
      </c>
      <c r="AT36" s="185" t="str">
        <f>D7</f>
        <v>Mateuz Brzostowski</v>
      </c>
      <c r="AU36" s="186">
        <v>0</v>
      </c>
      <c r="AV36" s="186">
        <f>AL7*0.754</f>
        <v>0</v>
      </c>
      <c r="AW36" s="186">
        <f>AL7*0.708</f>
        <v>0</v>
      </c>
      <c r="AX36" s="186">
        <f>AM7*0.165</f>
        <v>0</v>
      </c>
      <c r="AY36" s="186">
        <v>0</v>
      </c>
      <c r="AZ36" s="186">
        <f>AN7*0.286</f>
        <v>0</v>
      </c>
      <c r="BA36" s="186">
        <v>0</v>
      </c>
      <c r="BB36" s="200">
        <f>(0.5*AP7+0.3*AQ7)/10</f>
        <v>0</v>
      </c>
      <c r="BC36" s="200">
        <f>(0.4*AL7+0.3*AQ7)/10</f>
        <v>0</v>
      </c>
      <c r="BD36" s="191">
        <f>((AE7+1)+(AH7+1)*2)/8</f>
        <v>4.4207142857142854</v>
      </c>
      <c r="BE36" s="191">
        <f>((AL7)+(AO7)*2)/8</f>
        <v>3.5714285714285587E-2</v>
      </c>
    </row>
    <row r="37" spans="3:57" x14ac:dyDescent="0.25">
      <c r="C37" s="157"/>
      <c r="D37" s="119"/>
      <c r="G37" s="69"/>
      <c r="H37" s="56"/>
      <c r="J37" s="69"/>
      <c r="K37" s="69"/>
      <c r="M37" s="158"/>
      <c r="T37" s="69"/>
      <c r="U37" s="69"/>
      <c r="V37" s="69"/>
      <c r="W37" s="69"/>
      <c r="X37" s="69"/>
      <c r="Y37" s="69"/>
      <c r="Z37" s="69"/>
      <c r="AA37" s="69"/>
      <c r="AB37" s="69"/>
      <c r="AC37" s="69"/>
      <c r="AD37" s="69"/>
      <c r="AE37" s="69"/>
      <c r="AF37" s="69"/>
      <c r="AG37" s="69"/>
      <c r="AH37" s="69"/>
      <c r="AI37" s="69"/>
      <c r="AJ37" s="69"/>
      <c r="AS37" s="123" t="s">
        <v>221</v>
      </c>
      <c r="AT37" s="26" t="e">
        <f>AT20</f>
        <v>#REF!</v>
      </c>
      <c r="AU37" s="192">
        <f>AU7</f>
        <v>0</v>
      </c>
      <c r="AV37" s="192" t="e">
        <f t="shared" ref="AV37:BE37" si="68">AV7</f>
        <v>#REF!</v>
      </c>
      <c r="AW37" s="192" t="e">
        <f t="shared" si="68"/>
        <v>#REF!</v>
      </c>
      <c r="AX37" s="192" t="e">
        <f t="shared" si="68"/>
        <v>#REF!</v>
      </c>
      <c r="AY37" s="192">
        <f t="shared" si="68"/>
        <v>0</v>
      </c>
      <c r="AZ37" s="192" t="e">
        <f t="shared" si="68"/>
        <v>#REF!</v>
      </c>
      <c r="BA37" s="192">
        <f t="shared" si="68"/>
        <v>0</v>
      </c>
      <c r="BB37" s="192" t="e">
        <f t="shared" si="68"/>
        <v>#REF!</v>
      </c>
      <c r="BC37" s="192" t="e">
        <f t="shared" si="68"/>
        <v>#REF!</v>
      </c>
      <c r="BD37" s="192" t="e">
        <f t="shared" si="68"/>
        <v>#REF!</v>
      </c>
      <c r="BE37" s="192" t="e">
        <f t="shared" si="68"/>
        <v>#REF!</v>
      </c>
    </row>
    <row r="38" spans="3:57" x14ac:dyDescent="0.25">
      <c r="C38" s="157"/>
      <c r="D38" s="119"/>
      <c r="G38" s="69"/>
      <c r="H38" s="56"/>
      <c r="J38" s="69"/>
      <c r="K38" s="69"/>
      <c r="M38" s="158"/>
      <c r="T38" s="69"/>
      <c r="U38" s="69"/>
      <c r="V38" s="69"/>
      <c r="W38" s="69"/>
      <c r="X38" s="69"/>
      <c r="Y38" s="69"/>
      <c r="Z38" s="69"/>
      <c r="AA38" s="69"/>
      <c r="AB38" s="69"/>
      <c r="AC38" s="69"/>
      <c r="AD38" s="69"/>
      <c r="AE38" s="69"/>
      <c r="AF38" s="69"/>
      <c r="AG38" s="69"/>
      <c r="AH38" s="69"/>
      <c r="AI38" s="69"/>
      <c r="AJ38" s="69"/>
      <c r="AS38" s="123" t="s">
        <v>223</v>
      </c>
      <c r="AT38" s="26" t="e">
        <f>AT22</f>
        <v>#REF!</v>
      </c>
      <c r="AU38" s="192" t="e">
        <f>AU22</f>
        <v>#REF!</v>
      </c>
      <c r="AV38" s="192" t="e">
        <f t="shared" ref="AV38:BE38" si="69">AV22</f>
        <v>#REF!</v>
      </c>
      <c r="AW38" s="192" t="e">
        <f t="shared" si="69"/>
        <v>#REF!</v>
      </c>
      <c r="AX38" s="192" t="e">
        <f t="shared" si="69"/>
        <v>#REF!</v>
      </c>
      <c r="AY38" s="192" t="e">
        <f t="shared" si="69"/>
        <v>#REF!</v>
      </c>
      <c r="AZ38" s="192" t="e">
        <f t="shared" si="69"/>
        <v>#REF!</v>
      </c>
      <c r="BA38" s="192" t="e">
        <f t="shared" si="69"/>
        <v>#REF!</v>
      </c>
      <c r="BB38" s="192" t="e">
        <f t="shared" si="69"/>
        <v>#REF!</v>
      </c>
      <c r="BC38" s="192" t="e">
        <f t="shared" si="69"/>
        <v>#REF!</v>
      </c>
      <c r="BD38" s="192">
        <f t="shared" si="69"/>
        <v>0</v>
      </c>
      <c r="BE38" s="192">
        <f t="shared" si="69"/>
        <v>0</v>
      </c>
    </row>
    <row r="39" spans="3:57" x14ac:dyDescent="0.25">
      <c r="C39" s="157"/>
      <c r="D39" s="119"/>
      <c r="G39" s="69"/>
      <c r="H39" s="56"/>
      <c r="J39" s="69"/>
      <c r="K39" s="69"/>
      <c r="M39" s="158"/>
      <c r="T39" s="69"/>
      <c r="U39" s="69"/>
      <c r="V39" s="69"/>
      <c r="W39" s="69"/>
      <c r="X39" s="69"/>
      <c r="Y39" s="69"/>
      <c r="Z39" s="69"/>
      <c r="AA39" s="69"/>
      <c r="AB39" s="69"/>
      <c r="AC39" s="69"/>
      <c r="AD39" s="69"/>
      <c r="AE39" s="69"/>
      <c r="AF39" s="69"/>
      <c r="AG39" s="69"/>
      <c r="AH39" s="69"/>
      <c r="AI39" s="69"/>
      <c r="AJ39" s="69"/>
      <c r="AS39" s="123" t="s">
        <v>223</v>
      </c>
      <c r="AT39" s="26" t="str">
        <f>AT26</f>
        <v>Adam Moss</v>
      </c>
      <c r="AU39" s="192">
        <f>AL17*0.038</f>
        <v>0</v>
      </c>
      <c r="AV39" s="192">
        <f>AL17*0.077</f>
        <v>0</v>
      </c>
      <c r="AW39" s="192">
        <f>AL17*0.162</f>
        <v>0</v>
      </c>
      <c r="AX39" s="192">
        <f>AM17*0.944</f>
        <v>0</v>
      </c>
      <c r="AY39" s="192">
        <f>(AO17*0.126)</f>
        <v>9.6923076923076581E-3</v>
      </c>
      <c r="AZ39" s="192">
        <f>(AO17*0.251)</f>
        <v>1.9307692307692238E-2</v>
      </c>
      <c r="BA39" s="192">
        <f>(AO17*0.507)+(AP17*0.31)</f>
        <v>3.8999999999999861E-2</v>
      </c>
      <c r="BB39" s="200">
        <f>(0.5*AP17+0.3*AQ17)/10</f>
        <v>0</v>
      </c>
      <c r="BC39" s="200">
        <f>(0.4*AL17+0.3*AQ17)/10</f>
        <v>0</v>
      </c>
      <c r="BD39" s="200">
        <v>0</v>
      </c>
      <c r="BE39" s="200">
        <v>0</v>
      </c>
    </row>
    <row r="40" spans="3:57" x14ac:dyDescent="0.25">
      <c r="C40" s="157"/>
      <c r="D40" s="119"/>
      <c r="G40" s="69"/>
      <c r="H40" s="56"/>
      <c r="J40" s="69"/>
      <c r="K40" s="69"/>
      <c r="M40" s="158"/>
      <c r="T40" s="69"/>
      <c r="U40" s="69"/>
      <c r="V40" s="69"/>
      <c r="W40" s="69"/>
      <c r="X40" s="69"/>
      <c r="Y40" s="69"/>
      <c r="Z40" s="69"/>
      <c r="AA40" s="69"/>
      <c r="AB40" s="69"/>
      <c r="AC40" s="69"/>
      <c r="AD40" s="69"/>
      <c r="AE40" s="69"/>
      <c r="AF40" s="69"/>
      <c r="AG40" s="69"/>
      <c r="AH40" s="69"/>
      <c r="AI40" s="69"/>
      <c r="AJ40" s="69"/>
      <c r="AS40" s="123" t="s">
        <v>222</v>
      </c>
      <c r="AT40" s="26" t="e">
        <f>AT25</f>
        <v>#REF!</v>
      </c>
      <c r="AU40" s="192">
        <f>AU25</f>
        <v>0</v>
      </c>
      <c r="AV40" s="192" t="e">
        <f t="shared" ref="AV40:BE40" si="70">AV25</f>
        <v>#REF!</v>
      </c>
      <c r="AW40" s="192" t="e">
        <f t="shared" si="70"/>
        <v>#REF!</v>
      </c>
      <c r="AX40" s="192" t="e">
        <f t="shared" si="70"/>
        <v>#REF!</v>
      </c>
      <c r="AY40" s="192">
        <f t="shared" si="70"/>
        <v>0</v>
      </c>
      <c r="AZ40" s="192" t="e">
        <f t="shared" si="70"/>
        <v>#REF!</v>
      </c>
      <c r="BA40" s="192" t="e">
        <f t="shared" si="70"/>
        <v>#REF!</v>
      </c>
      <c r="BB40" s="192" t="e">
        <f t="shared" si="70"/>
        <v>#REF!</v>
      </c>
      <c r="BC40" s="192" t="e">
        <f t="shared" si="70"/>
        <v>#REF!</v>
      </c>
      <c r="BD40" s="192">
        <f t="shared" si="70"/>
        <v>0</v>
      </c>
      <c r="BE40" s="192">
        <f t="shared" si="70"/>
        <v>0</v>
      </c>
    </row>
    <row r="41" spans="3:57" x14ac:dyDescent="0.25">
      <c r="C41" s="157"/>
      <c r="D41" s="119"/>
      <c r="G41" s="69"/>
      <c r="H41" s="56"/>
      <c r="J41" s="69"/>
      <c r="K41" s="69"/>
      <c r="M41" s="158"/>
      <c r="T41" s="69"/>
      <c r="U41" s="69"/>
      <c r="V41" s="69"/>
      <c r="W41" s="69"/>
      <c r="X41" s="69"/>
      <c r="Y41" s="69"/>
      <c r="Z41" s="69"/>
      <c r="AA41" s="69"/>
      <c r="AB41" s="69"/>
      <c r="AC41" s="69"/>
      <c r="AD41" s="69"/>
      <c r="AE41" s="69"/>
      <c r="AF41" s="69"/>
      <c r="AG41" s="69"/>
      <c r="AH41" s="69"/>
      <c r="AI41" s="69"/>
      <c r="AJ41" s="69"/>
      <c r="AS41" s="201" t="s">
        <v>44</v>
      </c>
      <c r="AT41" s="185" t="str">
        <f>AT26</f>
        <v>Adam Moss</v>
      </c>
      <c r="AU41" s="192">
        <f t="shared" ref="AU41:BE42" si="71">AU26</f>
        <v>0</v>
      </c>
      <c r="AV41" s="192">
        <f t="shared" si="71"/>
        <v>0</v>
      </c>
      <c r="AW41" s="192">
        <f t="shared" si="71"/>
        <v>0</v>
      </c>
      <c r="AX41" s="192">
        <f t="shared" si="71"/>
        <v>0</v>
      </c>
      <c r="AY41" s="192">
        <f t="shared" si="71"/>
        <v>1.0923076923076883E-2</v>
      </c>
      <c r="AZ41" s="192">
        <f t="shared" si="71"/>
        <v>1.0923076923076883E-2</v>
      </c>
      <c r="BA41" s="192">
        <f t="shared" si="71"/>
        <v>2.8384615384615283E-2</v>
      </c>
      <c r="BB41" s="192">
        <f t="shared" si="71"/>
        <v>0</v>
      </c>
      <c r="BC41" s="192">
        <f t="shared" si="71"/>
        <v>0</v>
      </c>
      <c r="BD41" s="192">
        <f t="shared" si="71"/>
        <v>0</v>
      </c>
      <c r="BE41" s="192">
        <f t="shared" si="71"/>
        <v>0</v>
      </c>
    </row>
    <row r="42" spans="3:57" x14ac:dyDescent="0.25">
      <c r="C42" s="157"/>
      <c r="D42" s="119"/>
      <c r="G42" s="69"/>
      <c r="H42" s="56"/>
      <c r="J42" s="69"/>
      <c r="K42" s="69"/>
      <c r="M42" s="158"/>
      <c r="T42" s="69"/>
      <c r="U42" s="69"/>
      <c r="V42" s="69"/>
      <c r="W42" s="69"/>
      <c r="X42" s="69"/>
      <c r="Y42" s="69"/>
      <c r="Z42" s="69"/>
      <c r="AA42" s="69"/>
      <c r="AB42" s="69"/>
      <c r="AC42" s="69"/>
      <c r="AD42" s="69"/>
      <c r="AE42" s="69"/>
      <c r="AF42" s="69"/>
      <c r="AG42" s="69"/>
      <c r="AH42" s="69"/>
      <c r="AI42" s="69"/>
      <c r="AJ42" s="69"/>
      <c r="AS42" s="123" t="s">
        <v>44</v>
      </c>
      <c r="AT42" s="26" t="str">
        <f>AT27</f>
        <v>Rasheed Da'na</v>
      </c>
      <c r="AU42" s="192">
        <f t="shared" si="71"/>
        <v>0</v>
      </c>
      <c r="AV42" s="192">
        <f t="shared" si="71"/>
        <v>0</v>
      </c>
      <c r="AW42" s="192">
        <f t="shared" si="71"/>
        <v>0</v>
      </c>
      <c r="AX42" s="192">
        <f t="shared" si="71"/>
        <v>0</v>
      </c>
      <c r="AY42" s="192">
        <f t="shared" si="71"/>
        <v>1.0923076923076883E-2</v>
      </c>
      <c r="AZ42" s="192">
        <f t="shared" si="71"/>
        <v>1.0923076923076883E-2</v>
      </c>
      <c r="BA42" s="192">
        <f t="shared" si="71"/>
        <v>2.8384615384615283E-2</v>
      </c>
      <c r="BB42" s="192">
        <f t="shared" si="71"/>
        <v>0</v>
      </c>
      <c r="BC42" s="192">
        <f t="shared" si="71"/>
        <v>0</v>
      </c>
      <c r="BD42" s="192">
        <f t="shared" si="71"/>
        <v>0</v>
      </c>
      <c r="BE42" s="192">
        <f t="shared" si="71"/>
        <v>0</v>
      </c>
    </row>
    <row r="43" spans="3:57" x14ac:dyDescent="0.25">
      <c r="C43" s="157"/>
      <c r="D43" s="119"/>
      <c r="G43" s="69"/>
      <c r="H43" s="56"/>
      <c r="J43" s="69"/>
      <c r="K43" s="69"/>
      <c r="M43" s="158"/>
      <c r="T43" s="69"/>
      <c r="U43" s="69"/>
      <c r="V43" s="69"/>
      <c r="W43" s="69"/>
      <c r="X43" s="69"/>
      <c r="Y43" s="69"/>
      <c r="Z43" s="69"/>
      <c r="AA43" s="69"/>
      <c r="AB43" s="69"/>
      <c r="AC43" s="69"/>
      <c r="AD43" s="69"/>
      <c r="AE43" s="69"/>
      <c r="AF43" s="69"/>
      <c r="AG43" s="69"/>
      <c r="AH43" s="69"/>
      <c r="AI43" s="69"/>
      <c r="AJ43" s="69"/>
    </row>
    <row r="44" spans="3:57" x14ac:dyDescent="0.25">
      <c r="C44" s="157"/>
      <c r="D44" s="119"/>
      <c r="G44" s="69"/>
      <c r="H44" s="56"/>
      <c r="J44" s="69"/>
      <c r="K44" s="69"/>
      <c r="M44" s="158"/>
      <c r="T44" s="69"/>
      <c r="U44" s="69"/>
      <c r="V44" s="69"/>
      <c r="W44" s="69"/>
      <c r="X44" s="69"/>
      <c r="Y44" s="69"/>
      <c r="Z44" s="69"/>
      <c r="AA44" s="69"/>
      <c r="AB44" s="69"/>
      <c r="AC44" s="69"/>
      <c r="AD44" s="69"/>
      <c r="AE44" s="69"/>
      <c r="AF44" s="69"/>
      <c r="AG44" s="69"/>
      <c r="AH44" s="69"/>
      <c r="AI44" s="69"/>
      <c r="AJ44" s="69"/>
    </row>
    <row r="45" spans="3:57" x14ac:dyDescent="0.25">
      <c r="C45" s="157"/>
      <c r="D45" s="119"/>
      <c r="G45" s="69"/>
      <c r="H45" s="56"/>
      <c r="J45" s="69"/>
      <c r="K45" s="69"/>
      <c r="M45" s="158"/>
      <c r="T45" s="69"/>
      <c r="U45" s="69"/>
      <c r="V45" s="69"/>
      <c r="W45" s="69"/>
      <c r="X45" s="69"/>
      <c r="Y45" s="69"/>
      <c r="Z45" s="69"/>
      <c r="AA45" s="69"/>
      <c r="AB45" s="69"/>
      <c r="AC45" s="69"/>
      <c r="AD45" s="69"/>
      <c r="AE45" s="69"/>
      <c r="AF45" s="69"/>
      <c r="AG45" s="69"/>
      <c r="AH45" s="69"/>
      <c r="AI45" s="69"/>
      <c r="AJ45" s="69"/>
    </row>
    <row r="46" spans="3:57" x14ac:dyDescent="0.25">
      <c r="C46" s="157"/>
      <c r="D46" s="119"/>
      <c r="G46" s="69"/>
      <c r="H46" s="56"/>
      <c r="J46" s="69"/>
      <c r="K46" s="69"/>
      <c r="M46" s="158"/>
      <c r="T46" s="69"/>
      <c r="U46" s="69"/>
      <c r="V46" s="69"/>
      <c r="W46" s="69"/>
      <c r="X46" s="69"/>
      <c r="Y46" s="69"/>
      <c r="Z46" s="69"/>
      <c r="AA46" s="69"/>
      <c r="AB46" s="69"/>
      <c r="AC46" s="69"/>
      <c r="AD46" s="69"/>
      <c r="AE46" s="69"/>
      <c r="AF46" s="69"/>
      <c r="AG46" s="69"/>
      <c r="AH46" s="69"/>
      <c r="AI46" s="69"/>
      <c r="AJ46" s="69"/>
    </row>
    <row r="47" spans="3:57" x14ac:dyDescent="0.25">
      <c r="C47" s="157"/>
      <c r="D47" s="119"/>
      <c r="G47" s="69"/>
      <c r="H47" s="56"/>
      <c r="J47" s="69"/>
      <c r="K47" s="69"/>
      <c r="M47" s="158"/>
      <c r="T47" s="69"/>
      <c r="U47" s="69"/>
      <c r="V47" s="69"/>
      <c r="W47" s="69"/>
      <c r="X47" s="69"/>
      <c r="Y47" s="69"/>
      <c r="Z47" s="69"/>
      <c r="AA47" s="69"/>
      <c r="AB47" s="69"/>
      <c r="AC47" s="69"/>
      <c r="AD47" s="69"/>
      <c r="AE47" s="69"/>
      <c r="AF47" s="69"/>
      <c r="AG47" s="69"/>
      <c r="AH47" s="69"/>
      <c r="AI47" s="69"/>
      <c r="AJ47" s="69"/>
    </row>
    <row r="48" spans="3:57" x14ac:dyDescent="0.25">
      <c r="C48" s="157"/>
      <c r="D48" s="119"/>
      <c r="G48" s="69"/>
      <c r="H48" s="56"/>
      <c r="J48" s="69"/>
      <c r="K48" s="69"/>
      <c r="M48" s="158"/>
      <c r="T48" s="69"/>
      <c r="U48" s="69"/>
      <c r="V48" s="69"/>
      <c r="W48" s="69"/>
      <c r="X48" s="69"/>
      <c r="Y48" s="69"/>
      <c r="Z48" s="69"/>
      <c r="AA48" s="69"/>
      <c r="AB48" s="69"/>
      <c r="AC48" s="69"/>
      <c r="AD48" s="69"/>
      <c r="AE48" s="69"/>
      <c r="AF48" s="69"/>
      <c r="AG48" s="69"/>
      <c r="AH48" s="69"/>
      <c r="AI48" s="69"/>
      <c r="AJ48" s="69"/>
    </row>
    <row r="49" spans="3:36" x14ac:dyDescent="0.25">
      <c r="C49" s="157"/>
      <c r="D49" s="119"/>
      <c r="G49" s="69"/>
      <c r="H49" s="56"/>
      <c r="J49" s="69"/>
      <c r="K49" s="69"/>
      <c r="M49" s="158"/>
      <c r="T49" s="69"/>
      <c r="U49" s="69"/>
      <c r="V49" s="69"/>
      <c r="W49" s="69"/>
      <c r="X49" s="69"/>
      <c r="Y49" s="69"/>
      <c r="Z49" s="69"/>
      <c r="AA49" s="69"/>
      <c r="AB49" s="69"/>
      <c r="AC49" s="69"/>
      <c r="AD49" s="69"/>
      <c r="AE49" s="69"/>
      <c r="AF49" s="69"/>
      <c r="AG49" s="69"/>
      <c r="AH49" s="69"/>
      <c r="AI49" s="69"/>
      <c r="AJ49" s="69"/>
    </row>
    <row r="50" spans="3:36" x14ac:dyDescent="0.25">
      <c r="C50" s="157"/>
      <c r="D50" s="119"/>
      <c r="G50" s="69"/>
      <c r="H50" s="56"/>
      <c r="J50" s="69"/>
      <c r="K50" s="69"/>
      <c r="M50" s="158"/>
      <c r="T50" s="69"/>
      <c r="U50" s="69"/>
      <c r="V50" s="69"/>
      <c r="W50" s="69"/>
      <c r="X50" s="69"/>
      <c r="Y50" s="69"/>
      <c r="Z50" s="69"/>
      <c r="AA50" s="69"/>
      <c r="AB50" s="69"/>
      <c r="AC50" s="69"/>
      <c r="AD50" s="69"/>
      <c r="AE50" s="69"/>
      <c r="AF50" s="69"/>
      <c r="AG50" s="69"/>
      <c r="AH50" s="69"/>
      <c r="AI50" s="69"/>
      <c r="AJ50" s="69"/>
    </row>
    <row r="51" spans="3:36" x14ac:dyDescent="0.25">
      <c r="C51" s="157"/>
      <c r="D51" s="119"/>
      <c r="G51" s="69"/>
      <c r="H51" s="56"/>
      <c r="J51" s="69"/>
      <c r="K51" s="69"/>
      <c r="M51" s="158"/>
      <c r="T51" s="69"/>
      <c r="U51" s="69"/>
      <c r="V51" s="69"/>
      <c r="W51" s="69"/>
      <c r="X51" s="69"/>
      <c r="Y51" s="69"/>
      <c r="Z51" s="69"/>
      <c r="AA51" s="69"/>
      <c r="AB51" s="69"/>
      <c r="AC51" s="69"/>
      <c r="AD51" s="69"/>
      <c r="AE51" s="69"/>
      <c r="AF51" s="69"/>
      <c r="AG51" s="69"/>
      <c r="AH51" s="69"/>
      <c r="AI51" s="69"/>
      <c r="AJ51" s="69"/>
    </row>
    <row r="52" spans="3:36" x14ac:dyDescent="0.25">
      <c r="C52" s="157"/>
      <c r="D52" s="119"/>
      <c r="G52" s="69"/>
      <c r="H52" s="56"/>
      <c r="J52" s="69"/>
      <c r="K52" s="69"/>
      <c r="M52" s="158"/>
      <c r="T52" s="69"/>
      <c r="U52" s="69"/>
      <c r="V52" s="69"/>
      <c r="W52" s="69"/>
      <c r="X52" s="69"/>
      <c r="Y52" s="69"/>
      <c r="Z52" s="69"/>
      <c r="AA52" s="69"/>
      <c r="AB52" s="69"/>
      <c r="AC52" s="69"/>
      <c r="AD52" s="69"/>
      <c r="AE52" s="69"/>
      <c r="AF52" s="69"/>
      <c r="AG52" s="69"/>
      <c r="AH52" s="69"/>
      <c r="AI52" s="69"/>
      <c r="AJ52" s="69"/>
    </row>
    <row r="53" spans="3:36" x14ac:dyDescent="0.25">
      <c r="C53" s="157"/>
      <c r="D53" s="119"/>
      <c r="G53" s="69"/>
      <c r="H53" s="56"/>
      <c r="J53" s="69"/>
      <c r="K53" s="69"/>
      <c r="M53" s="158"/>
      <c r="T53" s="69"/>
      <c r="U53" s="69"/>
      <c r="V53" s="69"/>
      <c r="W53" s="69"/>
      <c r="X53" s="69"/>
      <c r="Y53" s="69"/>
      <c r="Z53" s="69"/>
      <c r="AA53" s="69"/>
      <c r="AB53" s="69"/>
      <c r="AC53" s="69"/>
      <c r="AD53" s="69"/>
      <c r="AE53" s="69"/>
      <c r="AF53" s="69"/>
      <c r="AG53" s="69"/>
      <c r="AH53" s="69"/>
      <c r="AI53" s="69"/>
      <c r="AJ53" s="69"/>
    </row>
    <row r="54" spans="3:36" x14ac:dyDescent="0.25">
      <c r="C54" s="157"/>
      <c r="D54" s="119"/>
      <c r="G54" s="69"/>
      <c r="H54" s="56"/>
      <c r="J54" s="69"/>
      <c r="K54" s="69"/>
      <c r="M54" s="158"/>
      <c r="T54" s="69"/>
      <c r="U54" s="69"/>
      <c r="V54" s="69"/>
      <c r="W54" s="69"/>
      <c r="X54" s="69"/>
      <c r="Y54" s="69"/>
      <c r="Z54" s="69"/>
      <c r="AA54" s="69"/>
      <c r="AB54" s="69"/>
      <c r="AC54" s="69"/>
      <c r="AD54" s="69"/>
      <c r="AE54" s="69"/>
      <c r="AF54" s="69"/>
      <c r="AG54" s="69"/>
      <c r="AH54" s="69"/>
      <c r="AI54" s="69"/>
      <c r="AJ54" s="69"/>
    </row>
    <row r="55" spans="3:36" x14ac:dyDescent="0.25">
      <c r="C55" s="157"/>
      <c r="D55" s="119"/>
      <c r="G55" s="69"/>
      <c r="H55" s="56"/>
      <c r="J55" s="69"/>
      <c r="K55" s="69"/>
      <c r="M55" s="158"/>
      <c r="T55" s="69"/>
      <c r="U55" s="69"/>
      <c r="V55" s="69"/>
      <c r="W55" s="69"/>
      <c r="X55" s="69"/>
      <c r="Y55" s="69"/>
      <c r="Z55" s="69"/>
      <c r="AA55" s="69"/>
      <c r="AB55" s="69"/>
      <c r="AC55" s="69"/>
      <c r="AD55" s="69"/>
      <c r="AE55" s="69"/>
      <c r="AF55" s="69"/>
      <c r="AG55" s="69"/>
      <c r="AH55" s="69"/>
      <c r="AI55" s="69"/>
      <c r="AJ55" s="69"/>
    </row>
    <row r="56" spans="3:36" x14ac:dyDescent="0.25">
      <c r="C56" s="157"/>
      <c r="D56" s="119"/>
      <c r="G56" s="69"/>
      <c r="H56" s="56"/>
      <c r="J56" s="69"/>
      <c r="K56" s="69"/>
      <c r="M56" s="158"/>
      <c r="T56" s="69"/>
      <c r="U56" s="69"/>
      <c r="V56" s="69"/>
      <c r="W56" s="69"/>
      <c r="X56" s="69"/>
      <c r="Y56" s="69"/>
      <c r="Z56" s="69"/>
      <c r="AA56" s="69"/>
      <c r="AB56" s="69"/>
      <c r="AC56" s="69"/>
      <c r="AD56" s="69"/>
      <c r="AE56" s="69"/>
      <c r="AF56" s="69"/>
      <c r="AG56" s="69"/>
      <c r="AH56" s="69"/>
      <c r="AI56" s="69"/>
      <c r="AJ56" s="69"/>
    </row>
    <row r="57" spans="3:36" x14ac:dyDescent="0.25">
      <c r="C57" s="157"/>
      <c r="D57" s="119"/>
      <c r="G57" s="69"/>
      <c r="H57" s="56"/>
      <c r="J57" s="69"/>
      <c r="K57" s="69"/>
      <c r="M57" s="158"/>
      <c r="T57" s="69"/>
      <c r="U57" s="69"/>
      <c r="V57" s="69"/>
      <c r="W57" s="69"/>
      <c r="X57" s="69"/>
      <c r="Y57" s="69"/>
      <c r="Z57" s="69"/>
      <c r="AA57" s="69"/>
      <c r="AB57" s="69"/>
      <c r="AC57" s="69"/>
      <c r="AD57" s="69"/>
      <c r="AE57" s="69"/>
      <c r="AF57" s="69"/>
      <c r="AG57" s="69"/>
      <c r="AH57" s="69"/>
      <c r="AI57" s="69"/>
      <c r="AJ57" s="69"/>
    </row>
    <row r="58" spans="3:36" x14ac:dyDescent="0.25">
      <c r="C58" s="157"/>
      <c r="D58" s="119"/>
      <c r="G58" s="69"/>
      <c r="H58" s="56"/>
      <c r="J58" s="69"/>
      <c r="K58" s="69"/>
      <c r="M58" s="158"/>
      <c r="T58" s="69"/>
      <c r="U58" s="69"/>
      <c r="V58" s="69"/>
      <c r="W58" s="69"/>
      <c r="X58" s="69"/>
      <c r="Y58" s="69"/>
      <c r="Z58" s="69"/>
      <c r="AA58" s="69"/>
      <c r="AB58" s="69"/>
      <c r="AC58" s="69"/>
      <c r="AD58" s="69"/>
      <c r="AE58" s="69"/>
      <c r="AF58" s="69"/>
      <c r="AG58" s="69"/>
      <c r="AH58" s="69"/>
      <c r="AI58" s="69"/>
      <c r="AJ58" s="69"/>
    </row>
    <row r="59" spans="3:36" x14ac:dyDescent="0.25">
      <c r="C59" s="157"/>
      <c r="D59" s="119"/>
      <c r="G59" s="69"/>
      <c r="H59" s="56"/>
      <c r="J59" s="69"/>
      <c r="K59" s="69"/>
      <c r="M59" s="158"/>
      <c r="T59" s="69"/>
      <c r="U59" s="69"/>
      <c r="V59" s="69"/>
      <c r="W59" s="69"/>
      <c r="X59" s="69"/>
      <c r="Y59" s="69"/>
      <c r="Z59" s="69"/>
      <c r="AA59" s="69"/>
      <c r="AB59" s="69"/>
      <c r="AC59" s="69"/>
      <c r="AD59" s="69"/>
      <c r="AE59" s="69"/>
      <c r="AF59" s="69"/>
      <c r="AG59" s="69"/>
      <c r="AH59" s="69"/>
      <c r="AI59" s="69"/>
      <c r="AJ59" s="69"/>
    </row>
    <row r="60" spans="3:36" x14ac:dyDescent="0.25">
      <c r="C60" s="157"/>
      <c r="D60" s="119"/>
      <c r="G60" s="69"/>
      <c r="H60" s="56"/>
      <c r="J60" s="69"/>
      <c r="K60" s="69"/>
      <c r="M60" s="158"/>
      <c r="T60" s="69"/>
      <c r="U60" s="69"/>
      <c r="V60" s="69"/>
      <c r="W60" s="69"/>
      <c r="X60" s="69"/>
      <c r="Y60" s="69"/>
      <c r="Z60" s="69"/>
      <c r="AA60" s="69"/>
      <c r="AB60" s="69"/>
      <c r="AC60" s="69"/>
      <c r="AD60" s="69"/>
      <c r="AE60" s="69"/>
      <c r="AF60" s="69"/>
      <c r="AG60" s="69"/>
      <c r="AH60" s="69"/>
      <c r="AI60" s="69"/>
      <c r="AJ60" s="69"/>
    </row>
    <row r="61" spans="3:36" x14ac:dyDescent="0.25">
      <c r="C61" s="157"/>
      <c r="D61" s="119"/>
      <c r="G61" s="69"/>
      <c r="H61" s="56"/>
      <c r="J61" s="69"/>
      <c r="K61" s="69"/>
      <c r="M61" s="158"/>
      <c r="T61" s="69"/>
      <c r="U61" s="69"/>
      <c r="V61" s="69"/>
      <c r="W61" s="69"/>
      <c r="X61" s="69"/>
      <c r="Y61" s="69"/>
      <c r="Z61" s="69"/>
      <c r="AA61" s="69"/>
      <c r="AB61" s="69"/>
      <c r="AC61" s="69"/>
      <c r="AD61" s="69"/>
      <c r="AE61" s="69"/>
      <c r="AF61" s="69"/>
      <c r="AG61" s="69"/>
      <c r="AH61" s="69"/>
      <c r="AI61" s="69"/>
      <c r="AJ61" s="69"/>
    </row>
    <row r="62" spans="3:36" x14ac:dyDescent="0.25">
      <c r="C62" s="157"/>
      <c r="D62" s="119"/>
      <c r="G62" s="69"/>
      <c r="H62" s="56"/>
      <c r="J62" s="69"/>
      <c r="K62" s="69"/>
      <c r="M62" s="158"/>
      <c r="T62" s="69"/>
      <c r="U62" s="69"/>
      <c r="V62" s="69"/>
      <c r="W62" s="69"/>
      <c r="X62" s="69"/>
      <c r="Y62" s="69"/>
      <c r="Z62" s="69"/>
      <c r="AA62" s="69"/>
      <c r="AB62" s="69"/>
      <c r="AC62" s="69"/>
      <c r="AD62" s="69"/>
      <c r="AE62" s="69"/>
      <c r="AF62" s="69"/>
      <c r="AG62" s="69"/>
      <c r="AH62" s="69"/>
      <c r="AI62" s="69"/>
      <c r="AJ62" s="69"/>
    </row>
    <row r="63" spans="3:36" x14ac:dyDescent="0.25">
      <c r="C63" s="157"/>
      <c r="D63" s="119"/>
      <c r="G63" s="69"/>
      <c r="H63" s="56"/>
      <c r="J63" s="69"/>
      <c r="K63" s="69"/>
      <c r="M63" s="158"/>
      <c r="T63" s="69"/>
      <c r="U63" s="69"/>
      <c r="V63" s="69"/>
      <c r="W63" s="69"/>
      <c r="X63" s="69"/>
      <c r="Y63" s="69"/>
      <c r="Z63" s="69"/>
      <c r="AA63" s="69"/>
      <c r="AB63" s="69"/>
      <c r="AC63" s="69"/>
      <c r="AD63" s="69"/>
      <c r="AE63" s="69"/>
      <c r="AF63" s="69"/>
      <c r="AG63" s="69"/>
      <c r="AH63" s="69"/>
      <c r="AI63" s="69"/>
      <c r="AJ63" s="69"/>
    </row>
    <row r="64" spans="3:36" x14ac:dyDescent="0.25">
      <c r="C64" s="157"/>
      <c r="D64" s="119"/>
      <c r="G64" s="69"/>
      <c r="H64" s="56"/>
      <c r="J64" s="69"/>
      <c r="K64" s="69"/>
      <c r="M64" s="158"/>
      <c r="T64" s="69"/>
      <c r="U64" s="69"/>
      <c r="V64" s="69"/>
      <c r="W64" s="69"/>
      <c r="X64" s="69"/>
      <c r="Y64" s="69"/>
      <c r="Z64" s="69"/>
      <c r="AA64" s="69"/>
      <c r="AB64" s="69"/>
      <c r="AC64" s="69"/>
      <c r="AD64" s="69"/>
      <c r="AE64" s="69"/>
      <c r="AF64" s="69"/>
      <c r="AG64" s="69"/>
      <c r="AH64" s="69"/>
      <c r="AI64" s="69"/>
      <c r="AJ64" s="69"/>
    </row>
    <row r="65" spans="3:36" x14ac:dyDescent="0.25">
      <c r="C65" s="157"/>
      <c r="D65" s="119"/>
      <c r="G65" s="69"/>
      <c r="H65" s="56"/>
      <c r="J65" s="69"/>
      <c r="K65" s="69"/>
      <c r="M65" s="158"/>
      <c r="T65" s="69"/>
      <c r="U65" s="69"/>
      <c r="V65" s="69"/>
      <c r="W65" s="69"/>
      <c r="X65" s="69"/>
      <c r="Y65" s="69"/>
      <c r="Z65" s="69"/>
      <c r="AA65" s="69"/>
      <c r="AB65" s="69"/>
      <c r="AC65" s="69"/>
      <c r="AD65" s="69"/>
      <c r="AE65" s="69"/>
      <c r="AF65" s="69"/>
      <c r="AG65" s="69"/>
      <c r="AH65" s="69"/>
      <c r="AI65" s="69"/>
      <c r="AJ65" s="69"/>
    </row>
    <row r="66" spans="3:36" x14ac:dyDescent="0.25">
      <c r="C66" s="157"/>
      <c r="D66" s="119"/>
      <c r="G66" s="69"/>
      <c r="H66" s="56"/>
      <c r="J66" s="69"/>
      <c r="K66" s="69"/>
      <c r="M66" s="158"/>
      <c r="T66" s="69"/>
      <c r="U66" s="69"/>
      <c r="V66" s="69"/>
      <c r="W66" s="69"/>
      <c r="X66" s="69"/>
      <c r="Y66" s="69"/>
      <c r="Z66" s="69"/>
      <c r="AA66" s="69"/>
      <c r="AB66" s="69"/>
      <c r="AC66" s="69"/>
      <c r="AD66" s="69"/>
      <c r="AE66" s="69"/>
      <c r="AF66" s="69"/>
      <c r="AG66" s="69"/>
      <c r="AH66" s="69"/>
      <c r="AI66" s="69"/>
      <c r="AJ66" s="69"/>
    </row>
    <row r="67" spans="3:36" x14ac:dyDescent="0.25">
      <c r="C67" s="157"/>
      <c r="D67" s="119"/>
      <c r="G67" s="69"/>
      <c r="H67" s="56"/>
      <c r="J67" s="69"/>
      <c r="K67" s="69"/>
      <c r="M67" s="158"/>
      <c r="T67" s="69"/>
      <c r="U67" s="69"/>
      <c r="V67" s="69"/>
      <c r="W67" s="69"/>
      <c r="X67" s="69"/>
      <c r="Y67" s="69"/>
      <c r="Z67" s="69"/>
      <c r="AA67" s="69"/>
      <c r="AB67" s="69"/>
      <c r="AC67" s="69"/>
      <c r="AD67" s="69"/>
      <c r="AE67" s="69"/>
      <c r="AF67" s="69"/>
      <c r="AG67" s="69"/>
      <c r="AH67" s="69"/>
      <c r="AI67" s="69"/>
      <c r="AJ67" s="69"/>
    </row>
    <row r="68" spans="3:36" x14ac:dyDescent="0.25">
      <c r="C68" s="157"/>
      <c r="D68" s="119"/>
      <c r="G68" s="69"/>
      <c r="H68" s="56"/>
      <c r="J68" s="69"/>
      <c r="K68" s="69"/>
      <c r="M68" s="158"/>
      <c r="T68" s="69"/>
      <c r="U68" s="69"/>
      <c r="V68" s="69"/>
      <c r="W68" s="69"/>
      <c r="X68" s="69"/>
      <c r="Y68" s="69"/>
      <c r="Z68" s="69"/>
      <c r="AA68" s="69"/>
      <c r="AB68" s="69"/>
      <c r="AC68" s="69"/>
      <c r="AD68" s="69"/>
      <c r="AE68" s="69"/>
      <c r="AF68" s="69"/>
      <c r="AG68" s="69"/>
      <c r="AH68" s="69"/>
      <c r="AI68" s="69"/>
      <c r="AJ68" s="69"/>
    </row>
    <row r="69" spans="3:36" x14ac:dyDescent="0.25">
      <c r="C69" s="157"/>
      <c r="D69" s="119"/>
      <c r="G69" s="69"/>
      <c r="H69" s="56"/>
      <c r="J69" s="69"/>
      <c r="K69" s="69"/>
      <c r="M69" s="158"/>
      <c r="T69" s="69"/>
      <c r="U69" s="69"/>
      <c r="V69" s="69"/>
      <c r="W69" s="69"/>
      <c r="X69" s="69"/>
      <c r="Y69" s="69"/>
      <c r="Z69" s="69"/>
      <c r="AA69" s="69"/>
      <c r="AB69" s="69"/>
      <c r="AC69" s="69"/>
      <c r="AD69" s="69"/>
      <c r="AE69" s="69"/>
      <c r="AF69" s="69"/>
      <c r="AG69" s="69"/>
      <c r="AH69" s="69"/>
      <c r="AI69" s="69"/>
      <c r="AJ69" s="69"/>
    </row>
    <row r="70" spans="3:36" x14ac:dyDescent="0.25">
      <c r="C70" s="157"/>
      <c r="D70" s="119"/>
      <c r="G70" s="69"/>
      <c r="H70" s="56"/>
      <c r="J70" s="69"/>
      <c r="K70" s="69"/>
      <c r="M70" s="158"/>
      <c r="T70" s="69"/>
      <c r="U70" s="69"/>
      <c r="V70" s="69"/>
      <c r="W70" s="69"/>
      <c r="X70" s="69"/>
      <c r="Y70" s="69"/>
      <c r="Z70" s="69"/>
      <c r="AA70" s="69"/>
      <c r="AB70" s="69"/>
      <c r="AC70" s="69"/>
      <c r="AD70" s="69"/>
      <c r="AE70" s="69"/>
      <c r="AF70" s="69"/>
      <c r="AG70" s="69"/>
      <c r="AH70" s="69"/>
      <c r="AI70" s="69"/>
      <c r="AJ70" s="69"/>
    </row>
    <row r="71" spans="3:36" x14ac:dyDescent="0.25">
      <c r="C71" s="157"/>
      <c r="D71" s="119"/>
      <c r="G71" s="69"/>
      <c r="H71" s="56"/>
      <c r="J71" s="69"/>
      <c r="K71" s="69"/>
      <c r="M71" s="158"/>
      <c r="T71" s="69"/>
      <c r="U71" s="69"/>
      <c r="V71" s="69"/>
      <c r="W71" s="69"/>
      <c r="X71" s="69"/>
      <c r="Y71" s="69"/>
      <c r="Z71" s="69"/>
      <c r="AA71" s="69"/>
      <c r="AB71" s="69"/>
      <c r="AC71" s="69"/>
      <c r="AD71" s="69"/>
      <c r="AE71" s="69"/>
      <c r="AF71" s="69"/>
      <c r="AG71" s="69"/>
      <c r="AH71" s="69"/>
      <c r="AI71" s="69"/>
      <c r="AJ71" s="69"/>
    </row>
  </sheetData>
  <mergeCells count="6">
    <mergeCell ref="AS17:AT17"/>
    <mergeCell ref="AS31:AT31"/>
    <mergeCell ref="T1:V1"/>
    <mergeCell ref="X1:Y1"/>
    <mergeCell ref="AS1:BE1"/>
    <mergeCell ref="AS3:AT3"/>
  </mergeCells>
  <conditionalFormatting sqref="AK4:AQ18">
    <cfRule type="cellIs" dxfId="28" priority="61" operator="greaterThan">
      <formula>0</formula>
    </cfRule>
  </conditionalFormatting>
  <conditionalFormatting sqref="AU4:BA10 AU12:BA14">
    <cfRule type="cellIs" dxfId="27" priority="60" operator="greaterThan">
      <formula>0</formula>
    </cfRule>
  </conditionalFormatting>
  <conditionalFormatting sqref="T4:Z18">
    <cfRule type="cellIs" dxfId="26" priority="57" operator="lessThan">
      <formula>0.2</formula>
    </cfRule>
    <cfRule type="cellIs" dxfId="25" priority="58" operator="greaterThan">
      <formula>0.9</formula>
    </cfRule>
  </conditionalFormatting>
  <conditionalFormatting sqref="AU21:BE23">
    <cfRule type="cellIs" dxfId="24" priority="56" operator="greaterThan">
      <formula>0</formula>
    </cfRule>
  </conditionalFormatting>
  <conditionalFormatting sqref="AU18:BE19">
    <cfRule type="cellIs" dxfId="23" priority="52" operator="greaterThan">
      <formula>0</formula>
    </cfRule>
  </conditionalFormatting>
  <conditionalFormatting sqref="AU25:BE27">
    <cfRule type="cellIs" dxfId="22" priority="40" operator="greaterThan">
      <formula>0</formula>
    </cfRule>
  </conditionalFormatting>
  <conditionalFormatting sqref="AU20:BE20">
    <cfRule type="cellIs" dxfId="21" priority="29" operator="greaterThan">
      <formula>0</formula>
    </cfRule>
  </conditionalFormatting>
  <conditionalFormatting sqref="AU2:BA2">
    <cfRule type="cellIs" dxfId="20" priority="25" operator="greaterThan">
      <formula>0</formula>
    </cfRule>
  </conditionalFormatting>
  <conditionalFormatting sqref="AU16:BA16">
    <cfRule type="cellIs" dxfId="19" priority="24" operator="greaterThan">
      <formula>0</formula>
    </cfRule>
  </conditionalFormatting>
  <conditionalFormatting sqref="I4:I6 I8:I18">
    <cfRule type="cellIs" dxfId="18" priority="20" operator="lessThan">
      <formula>5</formula>
    </cfRule>
    <cfRule type="cellIs" dxfId="17" priority="21" operator="between">
      <formula>5</formula>
      <formula>7</formula>
    </cfRule>
    <cfRule type="cellIs" dxfId="16" priority="22" operator="greaterThan">
      <formula>7</formula>
    </cfRule>
  </conditionalFormatting>
  <conditionalFormatting sqref="I7">
    <cfRule type="cellIs" dxfId="15" priority="17" operator="lessThan">
      <formula>5</formula>
    </cfRule>
    <cfRule type="cellIs" dxfId="14" priority="18" operator="between">
      <formula>5</formula>
      <formula>5.6</formula>
    </cfRule>
    <cfRule type="cellIs" dxfId="13" priority="19" operator="greaterThan">
      <formula>5.6</formula>
    </cfRule>
  </conditionalFormatting>
  <conditionalFormatting sqref="M4:S18">
    <cfRule type="cellIs" dxfId="12" priority="1638" operator="greaterThan">
      <formula>8</formula>
    </cfRule>
    <cfRule type="colorScale" priority="1639">
      <colorScale>
        <cfvo type="min"/>
        <cfvo type="max"/>
        <color rgb="FFFFEF9C"/>
        <color rgb="FFFF7128"/>
      </colorScale>
    </cfRule>
  </conditionalFormatting>
  <conditionalFormatting sqref="AD4:AJ18">
    <cfRule type="colorScale" priority="1642">
      <colorScale>
        <cfvo type="min"/>
        <cfvo type="max"/>
        <color rgb="FFFFEF9C"/>
        <color rgb="FF63BE7B"/>
      </colorScale>
    </cfRule>
  </conditionalFormatting>
  <conditionalFormatting sqref="C4:C18">
    <cfRule type="colorScale" priority="1650">
      <colorScale>
        <cfvo type="min"/>
        <cfvo type="max"/>
        <color rgb="FFFFEF9C"/>
        <color rgb="FF63BE7B"/>
      </colorScale>
    </cfRule>
  </conditionalFormatting>
  <conditionalFormatting sqref="AU36:BA36 AU38:BE38">
    <cfRule type="cellIs" dxfId="11" priority="16" operator="greaterThan">
      <formula>0</formula>
    </cfRule>
  </conditionalFormatting>
  <conditionalFormatting sqref="AU32:BE32">
    <cfRule type="cellIs" dxfId="10" priority="15" operator="greaterThan">
      <formula>0</formula>
    </cfRule>
  </conditionalFormatting>
  <conditionalFormatting sqref="AU37:BE37">
    <cfRule type="cellIs" dxfId="9" priority="14" operator="greaterThan">
      <formula>0</formula>
    </cfRule>
  </conditionalFormatting>
  <conditionalFormatting sqref="AU40:BE42">
    <cfRule type="cellIs" dxfId="8" priority="12" operator="greaterThan">
      <formula>0</formula>
    </cfRule>
  </conditionalFormatting>
  <conditionalFormatting sqref="AU34:BE34">
    <cfRule type="cellIs" dxfId="7" priority="9" operator="greaterThan">
      <formula>0</formula>
    </cfRule>
  </conditionalFormatting>
  <conditionalFormatting sqref="AU30:BA30">
    <cfRule type="cellIs" dxfId="6" priority="7" operator="greaterThan">
      <formula>0</formula>
    </cfRule>
  </conditionalFormatting>
  <conditionalFormatting sqref="AU11:BA11">
    <cfRule type="cellIs" dxfId="5" priority="6" operator="greaterThan">
      <formula>0</formula>
    </cfRule>
  </conditionalFormatting>
  <conditionalFormatting sqref="AU28:BA28">
    <cfRule type="cellIs" dxfId="4" priority="5" operator="greaterThan">
      <formula>0</formula>
    </cfRule>
  </conditionalFormatting>
  <conditionalFormatting sqref="AU24:BA24">
    <cfRule type="cellIs" dxfId="3" priority="4" operator="greaterThan">
      <formula>0</formula>
    </cfRule>
  </conditionalFormatting>
  <conditionalFormatting sqref="AU33:BA33">
    <cfRule type="cellIs" dxfId="2" priority="3" operator="greaterThan">
      <formula>0</formula>
    </cfRule>
  </conditionalFormatting>
  <conditionalFormatting sqref="AU35:BA35">
    <cfRule type="cellIs" dxfId="1" priority="2" operator="greaterThan">
      <formula>0</formula>
    </cfRule>
  </conditionalFormatting>
  <conditionalFormatting sqref="AU39:BA39">
    <cfRule type="cellIs" dxfId="0" priority="1" operator="greaterThan">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baseColWidth="10" defaultColWidth="11.42578125" defaultRowHeight="15" x14ac:dyDescent="0.25"/>
  <cols>
    <col min="1" max="1" width="13.42578125" bestFit="1" customWidth="1"/>
  </cols>
  <sheetData>
    <row r="1" spans="1:14" x14ac:dyDescent="0.25">
      <c r="A1" s="11" t="s">
        <v>15</v>
      </c>
      <c r="B1">
        <v>0</v>
      </c>
      <c r="C1">
        <f>B1</f>
        <v>0</v>
      </c>
      <c r="N1" s="34" t="s">
        <v>52</v>
      </c>
    </row>
    <row r="2" spans="1:14" x14ac:dyDescent="0.25">
      <c r="A2" s="11" t="s">
        <v>16</v>
      </c>
      <c r="B2">
        <v>0</v>
      </c>
      <c r="C2">
        <v>0</v>
      </c>
      <c r="N2" s="34" t="s">
        <v>53</v>
      </c>
    </row>
    <row r="3" spans="1:14" x14ac:dyDescent="0.25">
      <c r="A3" s="11" t="s">
        <v>17</v>
      </c>
      <c r="B3">
        <v>22460</v>
      </c>
      <c r="C3">
        <v>32580</v>
      </c>
      <c r="D3">
        <v>32580</v>
      </c>
      <c r="N3" s="34" t="s">
        <v>54</v>
      </c>
    </row>
    <row r="4" spans="1:14" x14ac:dyDescent="0.25">
      <c r="A4" s="11" t="s">
        <v>18</v>
      </c>
      <c r="B4">
        <v>2235</v>
      </c>
      <c r="C4">
        <f t="shared" ref="C4:C7" si="0">B4</f>
        <v>2235</v>
      </c>
      <c r="N4" s="34" t="s">
        <v>55</v>
      </c>
    </row>
    <row r="5" spans="1:14" x14ac:dyDescent="0.25">
      <c r="A5" s="11" t="s">
        <v>19</v>
      </c>
      <c r="B5">
        <v>515</v>
      </c>
      <c r="C5">
        <v>515</v>
      </c>
      <c r="N5" s="34" t="s">
        <v>56</v>
      </c>
    </row>
    <row r="6" spans="1:14" x14ac:dyDescent="0.25">
      <c r="A6" s="11" t="s">
        <v>20</v>
      </c>
      <c r="B6">
        <v>405</v>
      </c>
      <c r="C6">
        <v>405</v>
      </c>
      <c r="N6" s="34" t="s">
        <v>57</v>
      </c>
    </row>
    <row r="7" spans="1:14" x14ac:dyDescent="0.25">
      <c r="A7" s="37" t="s">
        <v>47</v>
      </c>
      <c r="B7" s="39">
        <v>8.0000000000000002E-3</v>
      </c>
      <c r="C7" s="129">
        <f t="shared" si="0"/>
        <v>8.0000000000000002E-3</v>
      </c>
      <c r="N7" s="34" t="s">
        <v>58</v>
      </c>
    </row>
    <row r="8" spans="1:14" x14ac:dyDescent="0.25">
      <c r="N8" s="34" t="s">
        <v>59</v>
      </c>
    </row>
    <row r="9" spans="1:14" x14ac:dyDescent="0.25">
      <c r="A9" s="38" t="s">
        <v>69</v>
      </c>
      <c r="B9" s="36">
        <f>SUM(B1:B6)*(1+B7)</f>
        <v>25819.920000000002</v>
      </c>
      <c r="C9" s="36">
        <f>SUM(C1:C6)*(1+C7)</f>
        <v>36020.879999999997</v>
      </c>
      <c r="N9" s="34" t="s">
        <v>60</v>
      </c>
    </row>
    <row r="10" spans="1:14" x14ac:dyDescent="0.25">
      <c r="A10" s="38" t="s">
        <v>70</v>
      </c>
      <c r="B10" s="36">
        <f>B9*1.2</f>
        <v>30983.904000000002</v>
      </c>
      <c r="C10" s="36">
        <f>C9*1.2</f>
        <v>43225.055999999997</v>
      </c>
      <c r="N10" s="34" t="s">
        <v>61</v>
      </c>
    </row>
    <row r="11" spans="1:14" x14ac:dyDescent="0.25">
      <c r="N11" s="34" t="s">
        <v>62</v>
      </c>
    </row>
    <row r="12" spans="1:14" x14ac:dyDescent="0.25">
      <c r="N12" s="34" t="s">
        <v>63</v>
      </c>
    </row>
    <row r="13" spans="1:14" x14ac:dyDescent="0.25">
      <c r="N13" s="34" t="s">
        <v>64</v>
      </c>
    </row>
    <row r="14" spans="1:14" x14ac:dyDescent="0.25">
      <c r="C14" s="40">
        <f>D3-B3</f>
        <v>10120</v>
      </c>
      <c r="N14" s="34" t="s">
        <v>65</v>
      </c>
    </row>
    <row r="15" spans="1:14" x14ac:dyDescent="0.25">
      <c r="C15">
        <f>(C3-B3)</f>
        <v>10120</v>
      </c>
      <c r="N15" s="34" t="s">
        <v>66</v>
      </c>
    </row>
    <row r="16" spans="1:14" x14ac:dyDescent="0.25">
      <c r="C16" s="130">
        <f>C15/C14</f>
        <v>1</v>
      </c>
      <c r="N16" s="34" t="s">
        <v>67</v>
      </c>
    </row>
    <row r="17" spans="14:14" x14ac:dyDescent="0.25">
      <c r="N17" s="34" t="s">
        <v>68</v>
      </c>
    </row>
  </sheetData>
  <pageMargins left="0.7" right="0.7" top="0.75" bottom="0.75" header="0.3" footer="0.3"/>
  <pageSetup paperSize="9" scale="85" fitToWidth="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baseColWidth="10" defaultColWidth="11.42578125" defaultRowHeight="15" x14ac:dyDescent="0.25"/>
  <cols>
    <col min="1" max="1" width="11.5703125" bestFit="1" customWidth="1"/>
    <col min="2" max="2" width="9.42578125" bestFit="1" customWidth="1"/>
    <col min="3" max="3" width="4.5703125" customWidth="1"/>
    <col min="4" max="4" width="10.85546875" style="69" bestFit="1" customWidth="1"/>
    <col min="5" max="5" width="10.42578125" style="69" bestFit="1" customWidth="1"/>
    <col min="6" max="6" width="15" style="69" bestFit="1" customWidth="1"/>
    <col min="7" max="7" width="6.7109375" style="69" bestFit="1" customWidth="1"/>
    <col min="8" max="8" width="7.140625" style="69" bestFit="1" customWidth="1"/>
    <col min="9" max="9" width="7.7109375" style="69" bestFit="1" customWidth="1"/>
    <col min="10" max="10" width="9.28515625" style="69"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6" customFormat="1" x14ac:dyDescent="0.25">
      <c r="A1" s="57" t="s">
        <v>103</v>
      </c>
      <c r="B1" s="57" t="s">
        <v>104</v>
      </c>
      <c r="D1" s="70" t="s">
        <v>103</v>
      </c>
      <c r="E1" s="70" t="s">
        <v>117</v>
      </c>
      <c r="F1" s="70" t="s">
        <v>118</v>
      </c>
      <c r="G1" s="70" t="s">
        <v>119</v>
      </c>
      <c r="H1" s="70" t="s">
        <v>120</v>
      </c>
      <c r="I1" s="70" t="s">
        <v>181</v>
      </c>
      <c r="J1" s="70" t="s">
        <v>113</v>
      </c>
      <c r="K1" s="56" t="s">
        <v>182</v>
      </c>
      <c r="L1" s="56" t="s">
        <v>317</v>
      </c>
      <c r="M1" s="56" t="s">
        <v>318</v>
      </c>
      <c r="N1" s="56" t="s">
        <v>319</v>
      </c>
      <c r="P1" s="57" t="s">
        <v>111</v>
      </c>
      <c r="Q1" s="57" t="s">
        <v>112</v>
      </c>
      <c r="R1" s="57" t="s">
        <v>113</v>
      </c>
      <c r="S1" s="57" t="s">
        <v>114</v>
      </c>
      <c r="T1" s="57" t="s">
        <v>115</v>
      </c>
      <c r="U1" s="57" t="s">
        <v>116</v>
      </c>
    </row>
    <row r="2" spans="1:25" x14ac:dyDescent="0.25">
      <c r="A2" s="61" t="s">
        <v>105</v>
      </c>
      <c r="B2" s="62">
        <v>1.0529999999999999</v>
      </c>
      <c r="D2" s="221">
        <v>1</v>
      </c>
      <c r="E2" s="221">
        <v>1</v>
      </c>
      <c r="F2" s="221">
        <v>0</v>
      </c>
      <c r="G2" s="221">
        <v>0.3</v>
      </c>
      <c r="H2" s="222">
        <f t="shared" ref="H2:H4" si="0">D2+F2-G2</f>
        <v>0.7</v>
      </c>
      <c r="I2" s="142">
        <v>5</v>
      </c>
      <c r="J2" s="142">
        <f>40-37.5+0</f>
        <v>2.5</v>
      </c>
      <c r="K2" s="223">
        <f>16320*3</f>
        <v>48960</v>
      </c>
      <c r="L2" s="224">
        <f>H2-$H$4</f>
        <v>-0.48799999999999999</v>
      </c>
      <c r="M2" s="225">
        <f>L2*16</f>
        <v>-7.8079999999999998</v>
      </c>
      <c r="N2" s="226">
        <f>M2*7</f>
        <v>-54.655999999999999</v>
      </c>
      <c r="O2" s="56"/>
      <c r="P2" s="58">
        <v>10</v>
      </c>
      <c r="Q2" s="59">
        <v>35</v>
      </c>
      <c r="R2" s="59">
        <v>25</v>
      </c>
      <c r="S2" s="60">
        <v>0.33333333333333331</v>
      </c>
      <c r="T2" s="65">
        <v>32640.000000000004</v>
      </c>
      <c r="U2" s="64">
        <v>3264.0000000000005</v>
      </c>
      <c r="W2" s="56"/>
      <c r="X2" s="56"/>
      <c r="Y2" s="56"/>
    </row>
    <row r="3" spans="1:25" x14ac:dyDescent="0.25">
      <c r="A3" s="61" t="s">
        <v>106</v>
      </c>
      <c r="B3" s="63">
        <v>1</v>
      </c>
      <c r="D3" s="214">
        <v>1.0529999999999999</v>
      </c>
      <c r="E3" s="211">
        <v>1</v>
      </c>
      <c r="F3" s="214">
        <v>0.17499999999999999</v>
      </c>
      <c r="G3" s="211">
        <v>0.3</v>
      </c>
      <c r="H3" s="217">
        <f>D3+F3-G3</f>
        <v>0.92799999999999994</v>
      </c>
      <c r="I3" s="212">
        <v>5</v>
      </c>
      <c r="J3" s="212">
        <f t="shared" ref="J3:J12" si="1">40-37.5+25</f>
        <v>27.5</v>
      </c>
      <c r="K3" s="213">
        <f t="shared" ref="K3:K12" si="2">16320*3</f>
        <v>48960</v>
      </c>
      <c r="L3" s="218">
        <f>H3-$H$4</f>
        <v>-0.26</v>
      </c>
      <c r="M3" s="219">
        <f>L3*16</f>
        <v>-4.16</v>
      </c>
      <c r="N3" s="220">
        <f>M3*7</f>
        <v>-29.12</v>
      </c>
      <c r="O3" s="56"/>
      <c r="P3" s="58">
        <v>9</v>
      </c>
      <c r="Q3" s="59">
        <v>31.5</v>
      </c>
      <c r="R3" s="59">
        <v>22.5</v>
      </c>
      <c r="S3" s="60">
        <v>0.3</v>
      </c>
      <c r="T3" s="65">
        <v>24480</v>
      </c>
      <c r="U3" s="64">
        <v>2720</v>
      </c>
      <c r="W3" s="56"/>
      <c r="X3" s="56"/>
      <c r="Y3" s="56"/>
    </row>
    <row r="4" spans="1:25" x14ac:dyDescent="0.25">
      <c r="A4" s="61" t="s">
        <v>107</v>
      </c>
      <c r="B4" s="62">
        <v>0.90900000000000003</v>
      </c>
      <c r="D4" s="227">
        <v>1</v>
      </c>
      <c r="E4" s="227">
        <v>1</v>
      </c>
      <c r="F4" s="228">
        <v>0.28799999999999998</v>
      </c>
      <c r="G4" s="227">
        <v>0.1</v>
      </c>
      <c r="H4" s="229">
        <f t="shared" si="0"/>
        <v>1.1879999999999999</v>
      </c>
      <c r="I4" s="230">
        <v>5</v>
      </c>
      <c r="J4" s="230">
        <f t="shared" ref="J4:J9" si="3">40-37.5+25</f>
        <v>27.5</v>
      </c>
      <c r="K4" s="231">
        <f t="shared" si="2"/>
        <v>48960</v>
      </c>
      <c r="L4" s="232">
        <f t="shared" ref="L4:L8" si="4">H4-$H$4</f>
        <v>0</v>
      </c>
      <c r="M4" s="233">
        <f t="shared" ref="M4:M8" si="5">L4*16</f>
        <v>0</v>
      </c>
      <c r="N4" s="234">
        <f t="shared" ref="N4:N8" si="6">M4*7</f>
        <v>0</v>
      </c>
      <c r="O4" s="56"/>
      <c r="P4" s="58">
        <v>8</v>
      </c>
      <c r="Q4" s="59">
        <v>28</v>
      </c>
      <c r="R4" s="59">
        <v>20</v>
      </c>
      <c r="S4" s="60">
        <v>0.26666666666666666</v>
      </c>
      <c r="T4" s="65">
        <v>16320.000000000002</v>
      </c>
      <c r="U4" s="64">
        <v>2040.0000000000002</v>
      </c>
      <c r="W4" s="56"/>
      <c r="X4" s="56"/>
      <c r="Y4" s="56"/>
    </row>
    <row r="5" spans="1:25" x14ac:dyDescent="0.25">
      <c r="A5" s="61" t="s">
        <v>108</v>
      </c>
      <c r="B5" s="62">
        <v>0.83299999999999996</v>
      </c>
      <c r="D5" s="71">
        <v>1</v>
      </c>
      <c r="E5" s="71">
        <v>1</v>
      </c>
      <c r="F5" s="210">
        <v>0.17499999999999999</v>
      </c>
      <c r="G5" s="71">
        <v>0.3</v>
      </c>
      <c r="H5" s="215">
        <f>D5+F5-G5</f>
        <v>0.875</v>
      </c>
      <c r="I5" s="209">
        <v>5</v>
      </c>
      <c r="J5" s="209">
        <f t="shared" si="3"/>
        <v>27.5</v>
      </c>
      <c r="K5" s="73">
        <f t="shared" si="2"/>
        <v>48960</v>
      </c>
      <c r="L5" s="216">
        <f t="shared" si="4"/>
        <v>-0.31299999999999994</v>
      </c>
      <c r="M5" s="40">
        <f t="shared" si="5"/>
        <v>-5.0079999999999991</v>
      </c>
      <c r="N5" s="35">
        <f t="shared" si="6"/>
        <v>-35.055999999999997</v>
      </c>
      <c r="O5" s="56"/>
      <c r="P5" s="58">
        <v>7</v>
      </c>
      <c r="Q5" s="59">
        <v>24.5</v>
      </c>
      <c r="R5" s="59">
        <v>17.5</v>
      </c>
      <c r="S5" s="60">
        <v>0.23333333333333334</v>
      </c>
      <c r="T5" s="65">
        <v>12240</v>
      </c>
      <c r="U5" s="64">
        <v>1748.5714285714287</v>
      </c>
      <c r="W5" s="56"/>
      <c r="X5" s="56"/>
      <c r="Y5" s="56"/>
    </row>
    <row r="6" spans="1:25" x14ac:dyDescent="0.25">
      <c r="A6" s="61" t="s">
        <v>109</v>
      </c>
      <c r="B6" s="62">
        <v>0.76900000000000002</v>
      </c>
      <c r="D6" s="210">
        <v>1.0529999999999999</v>
      </c>
      <c r="E6" s="71">
        <v>1</v>
      </c>
      <c r="F6" s="71">
        <v>0.35</v>
      </c>
      <c r="G6" s="71">
        <v>0.05</v>
      </c>
      <c r="H6" s="215">
        <f>D6+F6-G6</f>
        <v>1.353</v>
      </c>
      <c r="I6" s="209">
        <v>5</v>
      </c>
      <c r="J6" s="209">
        <f t="shared" si="3"/>
        <v>27.5</v>
      </c>
      <c r="K6" s="73">
        <f t="shared" si="2"/>
        <v>48960</v>
      </c>
      <c r="L6" s="216">
        <f t="shared" si="4"/>
        <v>0.16500000000000004</v>
      </c>
      <c r="M6" s="40">
        <f t="shared" si="5"/>
        <v>2.6400000000000006</v>
      </c>
      <c r="N6" s="35">
        <f t="shared" si="6"/>
        <v>18.480000000000004</v>
      </c>
      <c r="O6" s="56"/>
      <c r="P6" s="58">
        <v>6</v>
      </c>
      <c r="Q6" s="59">
        <v>21</v>
      </c>
      <c r="R6" s="59">
        <v>15</v>
      </c>
      <c r="S6" s="60">
        <v>0.2</v>
      </c>
      <c r="T6" s="65">
        <v>8160.0000000000009</v>
      </c>
      <c r="U6" s="64">
        <v>1360.0000000000002</v>
      </c>
      <c r="W6" s="56"/>
      <c r="X6" s="56"/>
      <c r="Y6" s="56"/>
    </row>
    <row r="7" spans="1:25" x14ac:dyDescent="0.25">
      <c r="A7" s="61" t="s">
        <v>110</v>
      </c>
      <c r="B7" s="62">
        <v>0.71399999999999997</v>
      </c>
      <c r="D7" s="71">
        <v>1</v>
      </c>
      <c r="E7" s="71">
        <v>1</v>
      </c>
      <c r="F7" s="71">
        <v>0.35</v>
      </c>
      <c r="G7" s="71">
        <v>0.1</v>
      </c>
      <c r="H7" s="215">
        <f>D7+F7-G7</f>
        <v>1.25</v>
      </c>
      <c r="I7" s="209">
        <v>5</v>
      </c>
      <c r="J7" s="209">
        <f t="shared" si="3"/>
        <v>27.5</v>
      </c>
      <c r="K7" s="73">
        <f t="shared" si="2"/>
        <v>48960</v>
      </c>
      <c r="L7" s="216">
        <f t="shared" si="4"/>
        <v>6.2000000000000055E-2</v>
      </c>
      <c r="M7" s="40">
        <f t="shared" si="5"/>
        <v>0.99200000000000088</v>
      </c>
      <c r="N7" s="35">
        <f t="shared" si="6"/>
        <v>6.9440000000000062</v>
      </c>
      <c r="O7" s="56"/>
      <c r="P7" s="58">
        <v>5</v>
      </c>
      <c r="Q7" s="59">
        <v>17.5</v>
      </c>
      <c r="R7" s="59">
        <v>12.5</v>
      </c>
      <c r="S7" s="60">
        <v>0.16666666666666666</v>
      </c>
      <c r="T7" s="65">
        <v>16320.000000000002</v>
      </c>
      <c r="U7" s="64">
        <v>3264.0000000000005</v>
      </c>
      <c r="W7" s="56"/>
      <c r="X7" s="56"/>
      <c r="Y7" s="56"/>
    </row>
    <row r="8" spans="1:25" x14ac:dyDescent="0.25">
      <c r="D8" s="210">
        <v>1.0529999999999999</v>
      </c>
      <c r="E8" s="71">
        <v>1</v>
      </c>
      <c r="F8" s="71">
        <v>0.35</v>
      </c>
      <c r="G8" s="71">
        <v>0.1</v>
      </c>
      <c r="H8" s="215">
        <f>D8+F8-G8</f>
        <v>1.3029999999999999</v>
      </c>
      <c r="I8" s="209">
        <v>5</v>
      </c>
      <c r="J8" s="209">
        <f t="shared" si="3"/>
        <v>27.5</v>
      </c>
      <c r="K8" s="73">
        <f t="shared" si="2"/>
        <v>48960</v>
      </c>
      <c r="L8" s="216">
        <f t="shared" si="4"/>
        <v>0.11499999999999999</v>
      </c>
      <c r="M8" s="40">
        <f t="shared" si="5"/>
        <v>1.8399999999999999</v>
      </c>
      <c r="N8" s="35">
        <f t="shared" si="6"/>
        <v>12.879999999999999</v>
      </c>
      <c r="O8" s="56"/>
      <c r="P8" s="58">
        <v>4</v>
      </c>
      <c r="Q8" s="59">
        <v>14</v>
      </c>
      <c r="R8" s="59">
        <v>10</v>
      </c>
      <c r="S8" s="60">
        <v>0.13333333333333333</v>
      </c>
      <c r="T8" s="65">
        <v>8160.0000000000009</v>
      </c>
      <c r="U8" s="64">
        <v>2040.0000000000002</v>
      </c>
      <c r="W8" s="56"/>
      <c r="X8" s="56"/>
      <c r="Y8" s="56"/>
    </row>
    <row r="9" spans="1:25" x14ac:dyDescent="0.25">
      <c r="D9" s="71">
        <v>1</v>
      </c>
      <c r="E9" s="71">
        <v>1</v>
      </c>
      <c r="F9" s="71">
        <v>0.35</v>
      </c>
      <c r="G9" s="71">
        <v>0.05</v>
      </c>
      <c r="H9" s="215">
        <f>D9+F9-G9</f>
        <v>1.3</v>
      </c>
      <c r="I9" s="235">
        <v>5</v>
      </c>
      <c r="J9" s="235">
        <f t="shared" si="3"/>
        <v>27.5</v>
      </c>
      <c r="K9" s="73">
        <f t="shared" si="2"/>
        <v>48960</v>
      </c>
      <c r="L9" s="216">
        <f t="shared" ref="L9" si="7">H9-$H$4</f>
        <v>0.1120000000000001</v>
      </c>
      <c r="M9" s="40">
        <f t="shared" ref="M9" si="8">L9*16</f>
        <v>1.7920000000000016</v>
      </c>
      <c r="N9" s="35">
        <f t="shared" ref="N9" si="9">M9*7</f>
        <v>12.544000000000011</v>
      </c>
      <c r="O9" s="56"/>
      <c r="P9" s="58">
        <v>3</v>
      </c>
      <c r="Q9" s="59">
        <v>10.5</v>
      </c>
      <c r="R9" s="59">
        <v>7.5</v>
      </c>
      <c r="S9" s="60">
        <v>0.1</v>
      </c>
      <c r="T9" s="65">
        <v>4080.0000000000005</v>
      </c>
      <c r="U9" s="64">
        <v>1360.0000000000002</v>
      </c>
      <c r="W9" s="56"/>
      <c r="X9" s="56"/>
      <c r="Y9" s="56"/>
    </row>
    <row r="10" spans="1:25" x14ac:dyDescent="0.25">
      <c r="D10" s="209"/>
      <c r="E10" s="71"/>
      <c r="F10" s="209"/>
      <c r="G10" s="71"/>
      <c r="H10" s="215"/>
      <c r="I10" s="209">
        <v>5</v>
      </c>
      <c r="J10" s="209">
        <f t="shared" si="1"/>
        <v>27.5</v>
      </c>
      <c r="K10" s="73">
        <f t="shared" si="2"/>
        <v>48960</v>
      </c>
      <c r="P10" s="58">
        <v>2</v>
      </c>
      <c r="Q10" s="59">
        <v>7</v>
      </c>
      <c r="R10" s="59">
        <v>5</v>
      </c>
      <c r="S10" s="60">
        <v>6.6666666666666666E-2</v>
      </c>
      <c r="T10" s="65">
        <v>2040.0000000000002</v>
      </c>
      <c r="U10" s="64">
        <v>1020.0000000000001</v>
      </c>
    </row>
    <row r="11" spans="1:25" x14ac:dyDescent="0.25">
      <c r="D11" s="209"/>
      <c r="E11" s="71"/>
      <c r="F11" s="209"/>
      <c r="G11" s="71"/>
      <c r="H11" s="215"/>
      <c r="I11" s="209">
        <v>5</v>
      </c>
      <c r="J11" s="209">
        <f t="shared" si="1"/>
        <v>27.5</v>
      </c>
      <c r="K11" s="73">
        <f t="shared" si="2"/>
        <v>48960</v>
      </c>
      <c r="P11" s="58">
        <v>1</v>
      </c>
      <c r="Q11" s="59">
        <v>3.5</v>
      </c>
      <c r="R11" s="59">
        <v>2.5</v>
      </c>
      <c r="S11" s="60">
        <v>3.3333333333333333E-2</v>
      </c>
      <c r="T11" s="65">
        <v>1020.0000000000001</v>
      </c>
      <c r="U11" s="64">
        <v>1020.0000000000001</v>
      </c>
    </row>
    <row r="12" spans="1:25" x14ac:dyDescent="0.25">
      <c r="D12" s="209"/>
      <c r="E12" s="71"/>
      <c r="F12" s="209"/>
      <c r="G12" s="71"/>
      <c r="H12" s="215"/>
      <c r="I12" s="209">
        <v>5</v>
      </c>
      <c r="J12" s="209">
        <f t="shared" si="1"/>
        <v>27.5</v>
      </c>
      <c r="K12" s="73">
        <f t="shared" si="2"/>
        <v>48960</v>
      </c>
    </row>
    <row r="14" spans="1:25" x14ac:dyDescent="0.25">
      <c r="H14" s="42"/>
      <c r="P14" s="57" t="s">
        <v>111</v>
      </c>
      <c r="Q14" s="57" t="s">
        <v>112</v>
      </c>
      <c r="R14" s="57" t="s">
        <v>113</v>
      </c>
      <c r="S14" s="57" t="s">
        <v>114</v>
      </c>
      <c r="T14" s="57" t="s">
        <v>115</v>
      </c>
      <c r="U14" s="57" t="s">
        <v>116</v>
      </c>
    </row>
    <row r="15" spans="1:25" x14ac:dyDescent="0.25">
      <c r="G15" s="50"/>
      <c r="P15" s="61">
        <v>15</v>
      </c>
      <c r="Q15" s="66">
        <v>48</v>
      </c>
      <c r="R15" s="66">
        <v>37.5</v>
      </c>
      <c r="S15" s="67">
        <v>0.5</v>
      </c>
      <c r="T15" s="68">
        <v>72000</v>
      </c>
      <c r="U15" s="68">
        <v>4800</v>
      </c>
    </row>
    <row r="16" spans="1:25" x14ac:dyDescent="0.25">
      <c r="H16" s="42"/>
      <c r="J16" s="42"/>
      <c r="K16" s="42"/>
      <c r="P16" s="61">
        <v>12</v>
      </c>
      <c r="Q16" s="66">
        <v>38.400000000000006</v>
      </c>
      <c r="R16" s="66">
        <v>30</v>
      </c>
      <c r="S16" s="67">
        <v>0.4</v>
      </c>
      <c r="T16" s="68">
        <v>36000</v>
      </c>
      <c r="U16" s="68">
        <v>3000</v>
      </c>
    </row>
    <row r="17" spans="2:21" x14ac:dyDescent="0.25">
      <c r="G17" s="209"/>
      <c r="H17" s="42"/>
      <c r="I17" s="209"/>
      <c r="J17" s="42"/>
      <c r="K17" s="42"/>
      <c r="P17" s="61">
        <v>10</v>
      </c>
      <c r="Q17" s="61">
        <f>3.2*10</f>
        <v>32</v>
      </c>
      <c r="R17" s="66">
        <f>30/12*10</f>
        <v>25</v>
      </c>
      <c r="S17" s="67">
        <f>0.4/12*10</f>
        <v>0.33333333333333331</v>
      </c>
      <c r="T17" s="68">
        <v>48000</v>
      </c>
      <c r="U17" s="68">
        <f>T17/P17</f>
        <v>4800</v>
      </c>
    </row>
    <row r="18" spans="2:21" x14ac:dyDescent="0.25">
      <c r="G18" s="209"/>
      <c r="H18" s="42"/>
      <c r="I18" s="209"/>
      <c r="J18" s="42"/>
      <c r="K18" s="42"/>
      <c r="P18" s="61">
        <v>8</v>
      </c>
      <c r="Q18" s="61">
        <f>3.2*8</f>
        <v>25.6</v>
      </c>
      <c r="R18" s="66">
        <f>30/12*8</f>
        <v>20</v>
      </c>
      <c r="S18" s="67">
        <f>0.4/12*8</f>
        <v>0.26666666666666666</v>
      </c>
      <c r="T18" s="68">
        <v>24000</v>
      </c>
      <c r="U18" s="68">
        <f>T18/P18</f>
        <v>3000</v>
      </c>
    </row>
    <row r="19" spans="2:21" x14ac:dyDescent="0.25">
      <c r="G19" s="209"/>
      <c r="H19" s="42"/>
      <c r="I19" s="209"/>
      <c r="J19" s="42"/>
      <c r="K19" s="42"/>
    </row>
    <row r="20" spans="2:21" x14ac:dyDescent="0.25">
      <c r="G20" s="209"/>
      <c r="H20" s="42"/>
      <c r="I20" s="209"/>
      <c r="J20" s="42"/>
      <c r="K20" s="42"/>
    </row>
    <row r="23" spans="2:21" x14ac:dyDescent="0.25">
      <c r="J23" s="209"/>
    </row>
    <row r="24" spans="2:21" x14ac:dyDescent="0.25">
      <c r="B24" s="4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S203"/>
  <sheetViews>
    <sheetView zoomScale="90" zoomScaleNormal="90" workbookViewId="0">
      <pane xSplit="4" ySplit="1" topLeftCell="E2" activePane="bottomRight" state="frozen"/>
      <selection pane="topRight" activeCell="D1" sqref="D1"/>
      <selection pane="bottomLeft" activeCell="A2" sqref="A2"/>
      <selection pane="bottomRight" activeCell="A3" sqref="A3"/>
    </sheetView>
  </sheetViews>
  <sheetFormatPr baseColWidth="10" defaultColWidth="11.42578125" defaultRowHeight="15" x14ac:dyDescent="0.25"/>
  <cols>
    <col min="1" max="1" width="23.42578125" bestFit="1" customWidth="1"/>
    <col min="2" max="2" width="13.85546875" bestFit="1" customWidth="1"/>
    <col min="3" max="3" width="5.42578125" bestFit="1" customWidth="1"/>
    <col min="4" max="4" width="5" bestFit="1" customWidth="1"/>
    <col min="5" max="5" width="13" bestFit="1" customWidth="1"/>
    <col min="6" max="6" width="15.42578125" bestFit="1" customWidth="1"/>
    <col min="7" max="7" width="5.42578125" bestFit="1" customWidth="1"/>
    <col min="8" max="8" width="4.7109375" bestFit="1" customWidth="1"/>
    <col min="9" max="9" width="11.5703125" bestFit="1" customWidth="1"/>
    <col min="10" max="10" width="13.28515625" bestFit="1" customWidth="1"/>
    <col min="11" max="11" width="7.7109375" bestFit="1" customWidth="1"/>
    <col min="12" max="12" width="13.28515625" bestFit="1" customWidth="1"/>
    <col min="13" max="13" width="11" bestFit="1" customWidth="1"/>
    <col min="14" max="14" width="13.85546875" bestFit="1" customWidth="1"/>
    <col min="15" max="15" width="4.85546875" style="69" bestFit="1" customWidth="1"/>
    <col min="16" max="16" width="3.85546875" style="69" bestFit="1" customWidth="1"/>
    <col min="17" max="17" width="4.5703125" style="69" bestFit="1" customWidth="1"/>
    <col min="18" max="19" width="5.42578125" bestFit="1" customWidth="1"/>
    <col min="20" max="22" width="6" bestFit="1" customWidth="1"/>
    <col min="23" max="23" width="5.42578125" bestFit="1" customWidth="1"/>
    <col min="24" max="24" width="6" bestFit="1" customWidth="1"/>
    <col min="25" max="25" width="8.85546875" bestFit="1" customWidth="1"/>
    <col min="26" max="26" width="7.28515625" bestFit="1" customWidth="1"/>
    <col min="27" max="27" width="5.5703125" customWidth="1"/>
    <col min="28" max="28" width="6.42578125" customWidth="1"/>
    <col min="29" max="30" width="5.5703125" customWidth="1"/>
    <col min="31" max="36" width="7.85546875" hidden="1" customWidth="1"/>
    <col min="37" max="37" width="7.85546875" style="56" hidden="1" customWidth="1"/>
    <col min="38" max="45" width="7.85546875" bestFit="1" customWidth="1"/>
  </cols>
  <sheetData>
    <row r="1" spans="1:45" x14ac:dyDescent="0.25">
      <c r="A1" s="77" t="s">
        <v>3</v>
      </c>
      <c r="B1" s="44" t="s">
        <v>127</v>
      </c>
      <c r="C1" s="44" t="s">
        <v>85</v>
      </c>
      <c r="D1" s="44" t="s">
        <v>5</v>
      </c>
      <c r="E1" s="44" t="s">
        <v>87</v>
      </c>
      <c r="F1" s="44" t="s">
        <v>122</v>
      </c>
      <c r="G1" s="78" t="s">
        <v>85</v>
      </c>
      <c r="H1" s="78" t="s">
        <v>5</v>
      </c>
      <c r="I1" s="78" t="s">
        <v>123</v>
      </c>
      <c r="J1" s="78" t="s">
        <v>124</v>
      </c>
      <c r="K1" s="78" t="s">
        <v>121</v>
      </c>
      <c r="L1" s="78" t="s">
        <v>128</v>
      </c>
      <c r="M1" s="79" t="s">
        <v>125</v>
      </c>
      <c r="N1" s="79" t="s">
        <v>126</v>
      </c>
      <c r="O1" s="141" t="s">
        <v>89</v>
      </c>
      <c r="P1" s="141" t="s">
        <v>186</v>
      </c>
      <c r="Q1" s="141" t="s">
        <v>86</v>
      </c>
      <c r="R1" s="11" t="s">
        <v>15</v>
      </c>
      <c r="S1" s="11" t="s">
        <v>16</v>
      </c>
      <c r="T1" s="11" t="s">
        <v>17</v>
      </c>
      <c r="U1" s="11" t="s">
        <v>18</v>
      </c>
      <c r="V1" s="11" t="s">
        <v>19</v>
      </c>
      <c r="W1" s="11" t="s">
        <v>20</v>
      </c>
      <c r="X1" s="11" t="s">
        <v>6</v>
      </c>
      <c r="Y1" s="11" t="s">
        <v>21</v>
      </c>
      <c r="Z1" s="15" t="s">
        <v>203</v>
      </c>
      <c r="AA1" s="15" t="s">
        <v>22</v>
      </c>
      <c r="AB1" s="15" t="s">
        <v>23</v>
      </c>
      <c r="AC1" s="15" t="s">
        <v>24</v>
      </c>
      <c r="AD1" s="15" t="s">
        <v>25</v>
      </c>
    </row>
    <row r="2" spans="1:45" s="98" customFormat="1" x14ac:dyDescent="0.25">
      <c r="A2" s="154" t="e">
        <f>PLANTILLA!#REF!</f>
        <v>#REF!</v>
      </c>
      <c r="B2" s="73" t="e">
        <f>(N2+F2-J2)/K2</f>
        <v>#REF!</v>
      </c>
      <c r="C2" s="139">
        <v>22</v>
      </c>
      <c r="D2" s="139">
        <v>61</v>
      </c>
      <c r="E2" s="148" t="e">
        <f>PLANTILLA!#REF!</f>
        <v>#REF!</v>
      </c>
      <c r="F2" s="140">
        <v>4265460</v>
      </c>
      <c r="G2" s="139" t="e">
        <f>PLANTILLA!#REF!</f>
        <v>#REF!</v>
      </c>
      <c r="H2" s="139" t="e">
        <f>PLANTILLA!#REF!</f>
        <v>#REF!</v>
      </c>
      <c r="I2" s="49" t="e">
        <f>E2+(H2-D2+(G2-C2)*112)</f>
        <v>#REF!</v>
      </c>
      <c r="J2" s="155">
        <v>6886000</v>
      </c>
      <c r="K2" s="40" t="e">
        <f>(I2-E2)/112</f>
        <v>#REF!</v>
      </c>
      <c r="L2" s="74">
        <f>J2-F2</f>
        <v>2620540</v>
      </c>
      <c r="M2" s="76" t="e">
        <f>PLANTILLA!#REF!</f>
        <v>#REF!</v>
      </c>
      <c r="N2" s="76" t="e">
        <f>((G2-C2)*M2*16)+(H2-D2)/7*M2</f>
        <v>#REF!</v>
      </c>
      <c r="O2" s="142" t="e">
        <f>PLANTILLA!#REF!</f>
        <v>#REF!</v>
      </c>
      <c r="P2" s="142" t="e">
        <f>PLANTILLA!#REF!</f>
        <v>#REF!</v>
      </c>
      <c r="Q2" s="142"/>
      <c r="R2" s="144" t="e">
        <f>PLANTILLA!#REF!</f>
        <v>#REF!</v>
      </c>
      <c r="S2" s="144" t="e">
        <f>PLANTILLA!#REF!</f>
        <v>#REF!</v>
      </c>
      <c r="T2" s="144" t="e">
        <f>PLANTILLA!#REF!</f>
        <v>#REF!</v>
      </c>
      <c r="U2" s="144" t="e">
        <f>PLANTILLA!#REF!</f>
        <v>#REF!</v>
      </c>
      <c r="V2" s="144" t="e">
        <f>PLANTILLA!#REF!</f>
        <v>#REF!</v>
      </c>
      <c r="W2" s="144" t="e">
        <f>PLANTILLA!#REF!</f>
        <v>#REF!</v>
      </c>
      <c r="X2" s="144" t="e">
        <f>PLANTILLA!#REF!</f>
        <v>#REF!</v>
      </c>
      <c r="Y2" s="143" t="e">
        <f>PLANTILLA!#REF!</f>
        <v>#REF!</v>
      </c>
      <c r="Z2" s="143" t="e">
        <f>O2*P2*P2</f>
        <v>#REF!</v>
      </c>
      <c r="AA2" s="9" t="e">
        <f>((S2+1)+(V2+1)*2)/8</f>
        <v>#REF!</v>
      </c>
      <c r="AB2" s="9" t="e">
        <f>X2*0.7+W2*0.3</f>
        <v>#REF!</v>
      </c>
      <c r="AC2" s="9" t="e">
        <f>(0.5*W2+ 0.3*X2)/10</f>
        <v>#REF!</v>
      </c>
      <c r="AD2" s="9" t="e">
        <f>(0.4*S2+0.3*X2)/10</f>
        <v>#REF!</v>
      </c>
      <c r="AE2" s="40" t="e">
        <f ca="1">IF(TODAY()-E2&gt;335,((S2+1+(LOG(O2)*4/3))*0.516),((S2+(((TODAY()-E2)^0.5)/(336^0.516))+(LOG(O2)*4/3))*0.516))</f>
        <v>#REF!</v>
      </c>
      <c r="AF2" s="40" t="e">
        <f ca="1">IF(TODAY()-E2&gt;335,((S2+1+(LOG(O2)*4/3))*1),((S2+(((TODAY()-E2)^0.5)/(336^0.5))+(LOG(O2)*4/3))*1))</f>
        <v>#REF!</v>
      </c>
      <c r="AG2" s="40" t="e">
        <f ca="1">IF(TODAY()-E2&gt;335,((T2+1+(LOG(O2)*4/3))*0.238),((T2+(((TODAY()-E2)^0.5)/(336^0.238))+(LOG(O2)*4/3))*0.238))</f>
        <v>#REF!</v>
      </c>
      <c r="AH2" s="40" t="e">
        <f ca="1">IF(TODAY()-E2&gt;335,((S2+1+(LOG(O2)*4/3))*0.92),((S2+(((TODAY()-E2)^0.5)/(336^0.5))+(LOG(O2)*4/3))*0.92))</f>
        <v>#REF!</v>
      </c>
      <c r="AI2" s="40" t="e">
        <f ca="1">IF(TODAY()-E2&gt;335,((S2+1+(LOG(O2)*4/3))*0.414),((S2+(((TODAY()-E2)^0.5)/(336^0.414))+(LOG(O2)*4/3))*0.414))</f>
        <v>#REF!</v>
      </c>
      <c r="AJ2" s="40" t="e">
        <f ca="1">IF(TODAY()-E2&gt;335,((T2+1+(LOG(O2)*4/3))*0.167),((T2+(((TODAY()-E2)^0.5)/(336^0.5))+(LOG(O2)*4/3))*0.167))</f>
        <v>#REF!</v>
      </c>
      <c r="AK2" s="203" t="e">
        <f ca="1">IF(TODAY()-E2&gt;335,((U2+1+(LOG(O2)*4/3))*0.588),((U2+(((TODAY()-E2)^0.5)/(336^0.5))+(LOG(O2)*4/3))*0.588))</f>
        <v>#REF!</v>
      </c>
      <c r="AL2" s="40" t="e">
        <f ca="1">IF(TODAY()-E2&gt;335,((S2+1+(LOG(O2)*4/3))*0.4),((S2+(((TODAY()-E2)^0.5)/(336^0.5))+(LOG(O2)*4/3))*0.4))</f>
        <v>#REF!</v>
      </c>
      <c r="AM2" s="40" t="e">
        <f ca="1">IF(TODAY()-E2&gt;335,((T2+1+(LOG(O2)*4/3))*1),((T2+(((TODAY()-E2)^0.5)/(336^0.5))+(LOG(O2)*4/3))*1))</f>
        <v>#REF!</v>
      </c>
      <c r="AN2" s="40" t="e">
        <f ca="1">IF(TODAY()-E2&gt;335,((W2+1+(LOG(O2)*4/3))*0.21)+((V2+1+(LOG(O2)*4/3))*0.341),((W2+(((TODAY()-E2)^0.5)/(336^0.5))+(LOG(O2)*4/3))*0.21)+((V2+(((TODAY()-E2)^0.5)/(336^0.5))+(LOG(O2)*4/3))*0.341))</f>
        <v>#REF!</v>
      </c>
      <c r="AO2" s="40" t="e">
        <f ca="1">IF(TODAY()-E2&gt;335,((T2+1+(LOG(O2)*4/3))*0.305),((T2+(((TODAY()-E2)^0.5)/(336^0.5))+(LOG(O2)*4/3))*0.305))</f>
        <v>#REF!</v>
      </c>
      <c r="AP2" s="40" t="e">
        <f ca="1">IF(TODAY()-E2&gt;335,((U2+1+(LOG(O2)*4/3))*1)+((V2+1+(LOG(O2)*4/3))*0.286),((U2+(((TODAY()-E2)^0.5)/(336^0.5))+(LOG(O2)*4/3))*1)+((V2+(((TODAY()-E2)^0.5)/(336^0.5))+(LOG(O2)*4/3))*0.286))</f>
        <v>#REF!</v>
      </c>
      <c r="AQ2" s="40" t="e">
        <f ca="1">IF(TODAY()-E2&gt;335,((T2+1+(LOG(O2)*4/3))*0.406),((T2+(((TODAY()-E2)^0.5)/(336^0.5))+(LOG(O2)*4/3))*0.406))</f>
        <v>#REF!</v>
      </c>
      <c r="AR2" s="40" t="e">
        <f ca="1">IF(Q2="TEC",IF(TODAY()-E2&gt;335,((V2+1+(LOG(O2)*4/3))*0.15)+((V2+1+(LOG(O2)*4/3))*0.324)+((W2+1+(LOG(O2)*4/3))*0.127),((U2+(((TODAY()-E2)^0.5)/(336^0.5))+(LOG(O2)*4/3))*0.15)+((V2+(((TODAY()-E2)^0.5)/(336^0.5))+(LOG(O2)*4/3))*0.324)+((W2+(((TODAY()-E2)^0.5)/(336^0.5))+(LOG(O2)*4/3))*0.127)),IF(TODAY()-E2&gt;335,((V2+1+(LOG(O2)*4/3))*0.144)+((W2+1+(LOG(O2)*4/3))*0.25)+((W2+1+(LOG(O2)*4/3))*0.127),((U2+(((TODAY()-E2)^0.5)/(336^0.5))+(LOG(O2)*4/3))*0.144)+((V2+(((TODAY()-E2)^0.5)/(336^0.5))+(LOG(O2)*4/3))*0.25)+((W2+(((TODAY()-E2)^0.5)/(336^0.5))+(LOG(O2)*4/3))*0.127)))</f>
        <v>#REF!</v>
      </c>
      <c r="AS2" s="40" t="e">
        <f ca="1">IF(Q2="TEC",IF(TODAY()-E2&gt;335,((V2+1+(LOG(O2)*4/3))*0.543)+((W2+1+(LOG(O2)*4/3))*0.583),((V2+(((TODAY()-E2)^0.5)/(336^0.5))+(LOG(O2)*4/3))*0.543)+((W2+(((TODAY()-E2)^0.5)/(336^0.5))+(LOG(O2)*4/3))*0.583)),IF(TODAY()-E2&gt;335,((V2+1+(LOG(O2)*4/3))*0.543)+((W2+1+(LOG(O2)*4/3))*0.583),((V2+(((TODAY()-E2)^0.5)/(336^0.5))+(LOG(O2)*4/3))*0.543)+((W2+(((TODAY()-E2)^0.5)/(336^0.5))+(LOG(O2)*4/3))*0.583)))</f>
        <v>#REF!</v>
      </c>
    </row>
    <row r="3" spans="1:45" s="98" customFormat="1" x14ac:dyDescent="0.25">
      <c r="A3" s="154" t="str">
        <f>PLANTILLA!D18</f>
        <v>Mario Omarini</v>
      </c>
      <c r="B3" s="73">
        <f t="shared" ref="B3:B16" ca="1" si="0">(N3+F3-J3)/K3</f>
        <v>116826.70866141721</v>
      </c>
      <c r="C3" s="139">
        <v>29</v>
      </c>
      <c r="D3" s="139">
        <v>99</v>
      </c>
      <c r="E3" s="148">
        <f>PLANTILLA!M18</f>
        <v>42828</v>
      </c>
      <c r="F3" s="140">
        <v>2789000</v>
      </c>
      <c r="G3" s="139">
        <f>PLANTILLA!E18</f>
        <v>32</v>
      </c>
      <c r="H3" s="139">
        <f ca="1">PLANTILLA!F18</f>
        <v>17</v>
      </c>
      <c r="I3" s="49">
        <f t="shared" ref="I3:I16" ca="1" si="1">E3+(H3-D3+(G3-C3)*112)</f>
        <v>43082</v>
      </c>
      <c r="J3" s="155">
        <v>3074000</v>
      </c>
      <c r="K3" s="40">
        <f t="shared" ref="K3:K16" ca="1" si="2">(I3-E3)/112</f>
        <v>2.2678571428571428</v>
      </c>
      <c r="L3" s="74">
        <f t="shared" ref="L3:L16" si="3">J3-F3</f>
        <v>285000</v>
      </c>
      <c r="M3" s="76">
        <f>PLANTILLA!V18</f>
        <v>15156</v>
      </c>
      <c r="N3" s="76">
        <f t="shared" ref="N3:N16" ca="1" si="4">((G3-C3)*M3*16)+(H3-D3)/7*M3</f>
        <v>549946.28571428568</v>
      </c>
      <c r="O3" s="142">
        <f>PLANTILLA!I18</f>
        <v>9.6999999999999993</v>
      </c>
      <c r="P3" s="142">
        <f>PLANTILLA!H18</f>
        <v>3</v>
      </c>
      <c r="Q3" s="142" t="str">
        <f>PLANTILLA!G18</f>
        <v>TEC</v>
      </c>
      <c r="R3" s="144">
        <f>PLANTILLA!X18</f>
        <v>0</v>
      </c>
      <c r="S3" s="144">
        <f>PLANTILLA!Y18</f>
        <v>14</v>
      </c>
      <c r="T3" s="144">
        <f>PLANTILLA!Z18</f>
        <v>7.1099999999999994</v>
      </c>
      <c r="U3" s="144">
        <f>PLANTILLA!AA18</f>
        <v>11.035714285714286</v>
      </c>
      <c r="V3" s="144">
        <f>PLANTILLA!AB18</f>
        <v>7.0499999999999989</v>
      </c>
      <c r="W3" s="144">
        <f>PLANTILLA!AC18</f>
        <v>2.0099999999999998</v>
      </c>
      <c r="X3" s="144">
        <f>PLANTILLA!AD18</f>
        <v>15.83333333333333</v>
      </c>
      <c r="Y3" s="143">
        <f>PLANTILLA!AE18</f>
        <v>1650</v>
      </c>
      <c r="Z3" s="143">
        <f t="shared" ref="Z3:Z16" si="5">O3*P3*P3</f>
        <v>87.3</v>
      </c>
      <c r="AA3" s="9">
        <f t="shared" ref="AA3:AA16" si="6">((S3+1)+(V3+1)*2)/8</f>
        <v>3.8874999999999997</v>
      </c>
      <c r="AB3" s="9">
        <f t="shared" ref="AB3:AB16" si="7">X3*0.7+W3*0.3</f>
        <v>11.68633333333333</v>
      </c>
      <c r="AC3" s="9">
        <f t="shared" ref="AC3:AC16" si="8">(0.5*W3+ 0.3*X3)/10</f>
        <v>0.5754999999999999</v>
      </c>
      <c r="AD3" s="9">
        <f t="shared" ref="AD3:AD16" si="9">(0.4*S3+0.3*X3)/10</f>
        <v>1.0349999999999999</v>
      </c>
      <c r="AE3" s="40">
        <f t="shared" ref="AE3:AE16" ca="1" si="10">IF(TODAY()-E3&gt;335,((S3+1+(LOG(O3)*4/3))*0.516),((S3+(((TODAY()-E3)^0.5)/(336^0.516))+(LOG(O3)*4/3))*0.516))</f>
        <v>8.3116656379706253</v>
      </c>
      <c r="AF3" s="40">
        <f t="shared" ref="AF3:AF16" ca="1" si="11">IF(TODAY()-E3&gt;335,((S3+1+(LOG(O3)*4/3))*1),((S3+(((TODAY()-E3)^0.5)/(336^0.5))+(LOG(O3)*4/3))*1))</f>
        <v>16.185150866474526</v>
      </c>
      <c r="AG3" s="40">
        <f ca="1">IF(TODAY()-E3&gt;335,((T3+1+(LOG(O3)*4/3))*0.238),((T3+(((TODAY()-E3)^0.5)/(336^0.238))+(LOG(O3)*4/3))*0.238))</f>
        <v>2.9553187618683729</v>
      </c>
      <c r="AH3" s="40">
        <f ca="1">IF(TODAY()-E3&gt;335,((S3+1+(LOG(O3)*4/3))*0.92),((S3+(((TODAY()-E3)^0.5)/(336^0.5))+(LOG(O3)*4/3))*0.92))</f>
        <v>14.890338797156565</v>
      </c>
      <c r="AI3" s="40">
        <f ca="1">IF(TODAY()-E3&gt;335,((S3+1+(LOG(O3)*4/3))*0.414),((S3+(((TODAY()-E3)^0.5)/(336^0.414))+(LOG(O3)*4/3))*0.414))</f>
        <v>6.9343237572982384</v>
      </c>
      <c r="AJ3" s="40">
        <f ca="1">IF(TODAY()-E3&gt;335,((T3+1+(LOG(O3)*4/3))*0.167),((T3+(((TODAY()-E3)^0.5)/(336^0.5))+(LOG(O3)*4/3))*0.167))</f>
        <v>1.5522901947012457</v>
      </c>
      <c r="AK3" s="203">
        <f ca="1">IF(TODAY()-E3&gt;335,((U3+1+(LOG(O3)*4/3))*0.588),((U3+(((TODAY()-E3)^0.5)/(336^0.5))+(LOG(O3)*4/3))*0.588))</f>
        <v>7.7738687094870214</v>
      </c>
      <c r="AL3" s="40">
        <f ca="1">IF(TODAY()-E3&gt;335,((S3+1+(LOG(O3)*4/3))*0.4),((S3+(((TODAY()-E3)^0.5)/(336^0.5))+(LOG(O3)*4/3))*0.4))</f>
        <v>6.4740603465898108</v>
      </c>
      <c r="AM3" s="40">
        <f ca="1">IF(TODAY()-E3&gt;335,((T3+1+(LOG(O3)*4/3))*1),((T3+(((TODAY()-E3)^0.5)/(336^0.5))+(LOG(O3)*4/3))*1))</f>
        <v>9.2951508664745255</v>
      </c>
      <c r="AN3" s="40">
        <f ca="1">IF(TODAY()-E3&gt;335,((W3+1+(LOG(O3)*4/3))*0.21)+((V3+1+(LOG(O3)*4/3))*0.341),((W3+(((TODAY()-E3)^0.5)/(336^0.5))+(LOG(O3)*4/3))*0.21)+((V3+(((TODAY()-E3)^0.5)/(336^0.5))+(LOG(O3)*4/3))*0.341))</f>
        <v>4.0301681274274639</v>
      </c>
      <c r="AO3" s="40">
        <f ca="1">IF(TODAY()-E3&gt;335,((T3+1+(LOG(O3)*4/3))*0.305),((T3+(((TODAY()-E3)^0.5)/(336^0.5))+(LOG(O3)*4/3))*0.305))</f>
        <v>2.8350210142747301</v>
      </c>
      <c r="AP3" s="40">
        <f ca="1">IF(TODAY()-E3&gt;335,((U3+1+(LOG(O3)*4/3))*1)+((V3+1+(LOG(O3)*4/3))*0.286),((U3+(((TODAY()-E3)^0.5)/(336^0.5))+(LOG(O3)*4/3))*1)+((V3+(((TODAY()-E3)^0.5)/(336^0.5))+(LOG(O3)*4/3))*0.286))</f>
        <v>15.862118300000526</v>
      </c>
      <c r="AQ3" s="40">
        <f ca="1">IF(TODAY()-E3&gt;335,((T3+1+(LOG(O3)*4/3))*0.406),((T3+(((TODAY()-E3)^0.5)/(336^0.5))+(LOG(O3)*4/3))*0.406))</f>
        <v>3.7738312517886574</v>
      </c>
      <c r="AR3" s="40">
        <f ca="1">IF(Q3="TEC",IF(TODAY()-E3&gt;335,((V3+1+(LOG(O3)*4/3))*0.15)+((V3+1+(LOG(O3)*4/3))*0.324)+((W3+1+(LOG(O3)*4/3))*0.127),((U3+(((TODAY()-E3)^0.5)/(336^0.5))+(LOG(O3)*4/3))*0.15)+((V3+(((TODAY()-E3)^0.5)/(336^0.5))+(LOG(O3)*4/3))*0.324)+((W3+(((TODAY()-E3)^0.5)/(336^0.5))+(LOG(O3)*4/3))*0.127)),IF(TODAY()-E3&gt;335,((V3+1+(LOG(O3)*4/3))*0.144)+((W3+1+(LOG(O3)*4/3))*0.25)+((W3+1+(LOG(O3)*4/3))*0.127),((U3+(((TODAY()-E3)^0.5)/(336^0.5))+(LOG(O3)*4/3))*0.144)+((V3+(((TODAY()-E3)^0.5)/(336^0.5))+(LOG(O3)*4/3))*0.25)+((W3+(((TODAY()-E3)^0.5)/(336^0.5))+(LOG(O3)*4/3))*0.127)))</f>
        <v>5.5081028136083336</v>
      </c>
      <c r="AS3" s="40">
        <f ca="1">IF(Q3="TEC",IF(TODAY()-E3&gt;335,((V3+1+(LOG(O3)*4/3))*0.543)+((W3+1+(LOG(O3)*4/3))*0.583),((V3+(((TODAY()-E3)^0.5)/(336^0.5))+(LOG(O3)*4/3))*0.543)+((W3+(((TODAY()-E3)^0.5)/(336^0.5))+(LOG(O3)*4/3))*0.583)),IF(TODAY()-E3&gt;335,((V3+1+(LOG(O3)*4/3))*0.543)+((W3+1+(LOG(O3)*4/3))*0.583),((V3+(((TODAY()-E3)^0.5)/(336^0.5))+(LOG(O3)*4/3))*0.543)+((W3+(((TODAY()-E3)^0.5)/(336^0.5))+(LOG(O3)*4/3))*0.583)))</f>
        <v>7.4604598756503169</v>
      </c>
    </row>
    <row r="4" spans="1:45" s="98" customFormat="1" x14ac:dyDescent="0.25">
      <c r="A4" s="154" t="e">
        <f>PLANTILLA!#REF!</f>
        <v>#REF!</v>
      </c>
      <c r="B4" s="73" t="e">
        <f t="shared" ca="1" si="0"/>
        <v>#REF!</v>
      </c>
      <c r="C4" s="139">
        <v>29</v>
      </c>
      <c r="D4" s="139">
        <v>41</v>
      </c>
      <c r="E4" s="148" t="e">
        <f>PLANTILLA!#REF!</f>
        <v>#REF!</v>
      </c>
      <c r="F4" s="140">
        <v>2700000</v>
      </c>
      <c r="G4" s="139" t="e">
        <f>PLANTILLA!#REF!</f>
        <v>#REF!</v>
      </c>
      <c r="H4" s="139" t="e">
        <f>PLANTILLA!#REF!</f>
        <v>#REF!</v>
      </c>
      <c r="I4" s="49">
        <f ca="1">TODAY()</f>
        <v>43082</v>
      </c>
      <c r="J4" s="155">
        <v>2867000</v>
      </c>
      <c r="K4" s="40" t="e">
        <f t="shared" ca="1" si="2"/>
        <v>#REF!</v>
      </c>
      <c r="L4" s="74">
        <f t="shared" si="3"/>
        <v>167000</v>
      </c>
      <c r="M4" s="76" t="e">
        <f>PLANTILLA!#REF!</f>
        <v>#REF!</v>
      </c>
      <c r="N4" s="76" t="e">
        <f t="shared" si="4"/>
        <v>#REF!</v>
      </c>
      <c r="O4" s="142" t="e">
        <f>PLANTILLA!#REF!</f>
        <v>#REF!</v>
      </c>
      <c r="P4" s="142" t="e">
        <f>PLANTILLA!#REF!</f>
        <v>#REF!</v>
      </c>
      <c r="Q4" s="142"/>
      <c r="R4" s="144" t="e">
        <f>PLANTILLA!#REF!</f>
        <v>#REF!</v>
      </c>
      <c r="S4" s="144" t="e">
        <f>PLANTILLA!#REF!</f>
        <v>#REF!</v>
      </c>
      <c r="T4" s="144" t="e">
        <f>PLANTILLA!#REF!</f>
        <v>#REF!</v>
      </c>
      <c r="U4" s="144" t="e">
        <f>PLANTILLA!#REF!</f>
        <v>#REF!</v>
      </c>
      <c r="V4" s="144" t="e">
        <f>PLANTILLA!#REF!</f>
        <v>#REF!</v>
      </c>
      <c r="W4" s="144" t="e">
        <f>PLANTILLA!#REF!</f>
        <v>#REF!</v>
      </c>
      <c r="X4" s="144" t="e">
        <f>PLANTILLA!#REF!</f>
        <v>#REF!</v>
      </c>
      <c r="Y4" s="143" t="e">
        <f>PLANTILLA!#REF!</f>
        <v>#REF!</v>
      </c>
      <c r="Z4" s="143" t="e">
        <f t="shared" si="5"/>
        <v>#REF!</v>
      </c>
      <c r="AA4" s="9" t="e">
        <f t="shared" si="6"/>
        <v>#REF!</v>
      </c>
      <c r="AB4" s="9" t="e">
        <f t="shared" si="7"/>
        <v>#REF!</v>
      </c>
      <c r="AC4" s="9" t="e">
        <f t="shared" si="8"/>
        <v>#REF!</v>
      </c>
      <c r="AD4" s="9" t="e">
        <f t="shared" si="9"/>
        <v>#REF!</v>
      </c>
      <c r="AE4" s="40" t="e">
        <f t="shared" ca="1" si="10"/>
        <v>#REF!</v>
      </c>
      <c r="AF4" s="40" t="e">
        <f t="shared" ca="1" si="11"/>
        <v>#REF!</v>
      </c>
      <c r="AG4" s="40" t="e">
        <f ca="1">IF(TODAY()-E4&gt;335,((T4+1+(LOG(O4)*4/3))*0.238),((T4+(((TODAY()-E4)^0.5)/(336^0.238))+(LOG(O4)*4/3))*0.238))</f>
        <v>#REF!</v>
      </c>
      <c r="AH4" s="40" t="e">
        <f ca="1">IF(TODAY()-E4&gt;335,((S4+1+(LOG(O4)*4/3))*0.92),((S4+(((TODAY()-E4)^0.5)/(336^0.5))+(LOG(O4)*4/3))*0.92))</f>
        <v>#REF!</v>
      </c>
      <c r="AI4" s="40" t="e">
        <f ca="1">IF(TODAY()-E4&gt;335,((S4+1+(LOG(O4)*4/3))*0.414),((S4+(((TODAY()-E4)^0.5)/(336^0.414))+(LOG(O4)*4/3))*0.414))</f>
        <v>#REF!</v>
      </c>
      <c r="AJ4" s="40" t="e">
        <f ca="1">IF(TODAY()-E4&gt;335,((T4+1+(LOG(O4)*4/3))*0.167),((T4+(((TODAY()-E4)^0.5)/(336^0.5))+(LOG(O4)*4/3))*0.167))</f>
        <v>#REF!</v>
      </c>
      <c r="AK4" s="203" t="e">
        <f ca="1">IF(TODAY()-E4&gt;335,((U4+1+(LOG(O4)*4/3))*0.588),((U4+(((TODAY()-E4)^0.5)/(336^0.5))+(LOG(O4)*4/3))*0.588))</f>
        <v>#REF!</v>
      </c>
      <c r="AL4" s="40" t="e">
        <f ca="1">IF(TODAY()-E4&gt;335,((S4+1+(LOG(O4)*4/3))*0.4),((S4+(((TODAY()-E4)^0.5)/(336^0.5))+(LOG(O4)*4/3))*0.4))</f>
        <v>#REF!</v>
      </c>
      <c r="AM4" s="40" t="e">
        <f ca="1">IF(TODAY()-E4&gt;335,((T4+1+(LOG(O4)*4/3))*1),((T4+(((TODAY()-E4)^0.5)/(336^0.5))+(LOG(O4)*4/3))*1))</f>
        <v>#REF!</v>
      </c>
      <c r="AN4" s="40" t="e">
        <f ca="1">IF(TODAY()-E4&gt;335,((W4+1+(LOG(O4)*4/3))*0.21)+((V4+1+(LOG(O4)*4/3))*0.341),((W4+(((TODAY()-E4)^0.5)/(336^0.5))+(LOG(O4)*4/3))*0.21)+((V4+(((TODAY()-E4)^0.5)/(336^0.5))+(LOG(O4)*4/3))*0.341))</f>
        <v>#REF!</v>
      </c>
      <c r="AO4" s="40" t="e">
        <f ca="1">IF(TODAY()-E4&gt;335,((T4+1+(LOG(O4)*4/3))*0.305),((T4+(((TODAY()-E4)^0.5)/(336^0.5))+(LOG(O4)*4/3))*0.305))</f>
        <v>#REF!</v>
      </c>
      <c r="AP4" s="40" t="e">
        <f ca="1">IF(TODAY()-E4&gt;335,((U4+1+(LOG(O4)*4/3))*1)+((V4+1+(LOG(O4)*4/3))*0.286),((U4+(((TODAY()-E4)^0.5)/(336^0.5))+(LOG(O4)*4/3))*1)+((V4+(((TODAY()-E4)^0.5)/(336^0.5))+(LOG(O4)*4/3))*0.286))</f>
        <v>#REF!</v>
      </c>
      <c r="AQ4" s="40" t="e">
        <f ca="1">IF(TODAY()-E4&gt;335,((T4+1+(LOG(O4)*4/3))*0.406),((T4+(((TODAY()-E4)^0.5)/(336^0.5))+(LOG(O4)*4/3))*0.406))</f>
        <v>#REF!</v>
      </c>
      <c r="AR4" s="40" t="e">
        <f ca="1">IF(Q4="TEC",IF(TODAY()-E4&gt;335,((V4+1+(LOG(O4)*4/3))*0.15)+((V4+1+(LOG(O4)*4/3))*0.324)+((W4+1+(LOG(O4)*4/3))*0.127),((U4+(((TODAY()-E4)^0.5)/(336^0.5))+(LOG(O4)*4/3))*0.15)+((V4+(((TODAY()-E4)^0.5)/(336^0.5))+(LOG(O4)*4/3))*0.324)+((W4+(((TODAY()-E4)^0.5)/(336^0.5))+(LOG(O4)*4/3))*0.127)),IF(TODAY()-E4&gt;335,((V4+1+(LOG(O4)*4/3))*0.144)+((W4+1+(LOG(O4)*4/3))*0.25)+((W4+1+(LOG(O4)*4/3))*0.127),((U4+(((TODAY()-E4)^0.5)/(336^0.5))+(LOG(O4)*4/3))*0.144)+((V4+(((TODAY()-E4)^0.5)/(336^0.5))+(LOG(O4)*4/3))*0.25)+((W4+(((TODAY()-E4)^0.5)/(336^0.5))+(LOG(O4)*4/3))*0.127)))</f>
        <v>#REF!</v>
      </c>
      <c r="AS4" s="40" t="e">
        <f ca="1">IF(Q4="TEC",IF(TODAY()-E4&gt;335,((V4+1+(LOG(O4)*4/3))*0.543)+((W4+1+(LOG(O4)*4/3))*0.583),((V4+(((TODAY()-E4)^0.5)/(336^0.5))+(LOG(O4)*4/3))*0.543)+((W4+(((TODAY()-E4)^0.5)/(336^0.5))+(LOG(O4)*4/3))*0.583)),IF(TODAY()-E4&gt;335,((V4+1+(LOG(O4)*4/3))*0.543)+((W4+1+(LOG(O4)*4/3))*0.583),((V4+(((TODAY()-E4)^0.5)/(336^0.5))+(LOG(O4)*4/3))*0.543)+((W4+(((TODAY()-E4)^0.5)/(336^0.5))+(LOG(O4)*4/3))*0.583)))</f>
        <v>#REF!</v>
      </c>
    </row>
    <row r="5" spans="1:45" s="98" customFormat="1" x14ac:dyDescent="0.25">
      <c r="A5" s="154" t="str">
        <f>PLANTILLA!D19</f>
        <v>Mateuz Brzostowski</v>
      </c>
      <c r="B5" s="73">
        <f t="shared" ca="1" si="0"/>
        <v>-646027.58208955242</v>
      </c>
      <c r="C5" s="139">
        <v>30</v>
      </c>
      <c r="D5" s="139">
        <v>29</v>
      </c>
      <c r="E5" s="148">
        <v>42948</v>
      </c>
      <c r="F5" s="140">
        <v>2678987</v>
      </c>
      <c r="G5" s="139">
        <f>PLANTILLA!E19</f>
        <v>31</v>
      </c>
      <c r="H5" s="139">
        <f ca="1">PLANTILLA!F19</f>
        <v>51</v>
      </c>
      <c r="I5" s="49">
        <f t="shared" ca="1" si="1"/>
        <v>43082</v>
      </c>
      <c r="J5" s="155">
        <v>3864250</v>
      </c>
      <c r="K5" s="40">
        <f t="shared" ca="1" si="2"/>
        <v>1.1964285714285714</v>
      </c>
      <c r="L5" s="74">
        <f t="shared" si="3"/>
        <v>1185263</v>
      </c>
      <c r="M5" s="76">
        <f>PLANTILLA!V19</f>
        <v>21540</v>
      </c>
      <c r="N5" s="76">
        <f t="shared" ca="1" si="4"/>
        <v>412337.14285714284</v>
      </c>
      <c r="O5" s="142">
        <f>PLANTILLA!I19</f>
        <v>8.9</v>
      </c>
      <c r="P5" s="142">
        <f>PLANTILLA!H19</f>
        <v>2</v>
      </c>
      <c r="Q5" s="142">
        <f>PLANTILLA!G19</f>
        <v>0</v>
      </c>
      <c r="R5" s="144">
        <f>PLANTILLA!X19</f>
        <v>0</v>
      </c>
      <c r="S5" s="144">
        <f>PLANTILLA!Y19</f>
        <v>14</v>
      </c>
      <c r="T5" s="144">
        <f>PLANTILLA!Z19</f>
        <v>5.0199999999999996</v>
      </c>
      <c r="U5" s="144">
        <f>PLANTILLA!AA19</f>
        <v>10.01</v>
      </c>
      <c r="V5" s="144">
        <f>PLANTILLA!AB19</f>
        <v>9.0399999999999991</v>
      </c>
      <c r="W5" s="144">
        <f>PLANTILLA!AC19</f>
        <v>1.01</v>
      </c>
      <c r="X5" s="144">
        <f>PLANTILLA!AD19</f>
        <v>14.224444444444442</v>
      </c>
      <c r="Y5" s="143">
        <f>PLANTILLA!AE19</f>
        <v>1570</v>
      </c>
      <c r="Z5" s="143">
        <f t="shared" ref="Z5" si="12">O5*P5*P5</f>
        <v>35.6</v>
      </c>
      <c r="AA5" s="9">
        <f t="shared" ref="AA5" si="13">((S5+1)+(V5+1)*2)/8</f>
        <v>4.3849999999999998</v>
      </c>
      <c r="AB5" s="9">
        <f t="shared" ref="AB5" si="14">X5*0.7+W5*0.3</f>
        <v>10.26011111111111</v>
      </c>
      <c r="AC5" s="9">
        <f t="shared" ref="AC5" si="15">(0.5*W5+ 0.3*X5)/10</f>
        <v>0.47723333333333323</v>
      </c>
      <c r="AD5" s="9">
        <f t="shared" ref="AD5" si="16">(0.4*S5+0.3*X5)/10</f>
        <v>0.98673333333333324</v>
      </c>
      <c r="AE5" s="40">
        <f t="shared" ref="AE5" ca="1" si="17">IF(TODAY()-E5&gt;335,((S5+1+(LOG(O5)*4/3))*0.516),((S5+(((TODAY()-E5)^0.5)/(336^0.516))+(LOG(O5)*4/3))*0.516))</f>
        <v>8.1740808961481832</v>
      </c>
      <c r="AF5" s="40">
        <f t="shared" ref="AF5" ca="1" si="18">IF(TODAY()-E5&gt;335,((S5+1+(LOG(O5)*4/3))*1),((S5+(((TODAY()-E5)^0.5)/(336^0.5))+(LOG(O5)*4/3))*1))</f>
        <v>15.897367018853924</v>
      </c>
      <c r="AG5" s="40">
        <f ca="1">IF(TODAY()-E5&gt;335,((T5+1+(LOG(O5)*4/3))*0.238),((T5+(((TODAY()-E5)^0.5)/(336^0.238))+(LOG(O5)*4/3))*0.238))</f>
        <v>2.186051394473854</v>
      </c>
      <c r="AH5" s="40">
        <f ca="1">IF(TODAY()-E5&gt;335,((S5+1+(LOG(O5)*4/3))*0.92),((S5+(((TODAY()-E5)^0.5)/(336^0.5))+(LOG(O5)*4/3))*0.92))</f>
        <v>14.625577657345611</v>
      </c>
      <c r="AI5" s="40">
        <f ca="1">IF(TODAY()-E5&gt;335,((S5+1+(LOG(O5)*4/3))*0.414),((S5+(((TODAY()-E5)^0.5)/(336^0.414))+(LOG(O5)*4/3))*0.414))</f>
        <v>6.7512330291421234</v>
      </c>
      <c r="AJ5" s="40">
        <f ca="1">IF(TODAY()-E5&gt;335,((T5+1+(LOG(O5)*4/3))*0.167),((T5+(((TODAY()-E5)^0.5)/(336^0.5))+(LOG(O5)*4/3))*0.167))</f>
        <v>1.1552002921486053</v>
      </c>
      <c r="AK5" s="203">
        <f ca="1">IF(TODAY()-E5&gt;335,((U5+1+(LOG(O5)*4/3))*0.588),((U5+(((TODAY()-E5)^0.5)/(336^0.5))+(LOG(O5)*4/3))*0.588))</f>
        <v>7.0015318070861063</v>
      </c>
      <c r="AL5" s="40">
        <f ca="1">IF(TODAY()-E5&gt;335,((S5+1+(LOG(O5)*4/3))*0.4),((S5+(((TODAY()-E5)^0.5)/(336^0.5))+(LOG(O5)*4/3))*0.4))</f>
        <v>6.35894680754157</v>
      </c>
      <c r="AM5" s="40">
        <f ca="1">IF(TODAY()-E5&gt;335,((T5+1+(LOG(O5)*4/3))*1),((T5+(((TODAY()-E5)^0.5)/(336^0.5))+(LOG(O5)*4/3))*1))</f>
        <v>6.9173670188539234</v>
      </c>
      <c r="AN5" s="40">
        <f ca="1">IF(TODAY()-E5&gt;335,((W5+1+(LOG(O5)*4/3))*0.21)+((V5+1+(LOG(O5)*4/3))*0.341),((W5+(((TODAY()-E5)^0.5)/(336^0.5))+(LOG(O5)*4/3))*0.21)+((V5+(((TODAY()-E5)^0.5)/(336^0.5))+(LOG(O5)*4/3))*0.341))</f>
        <v>4.3401892273885121</v>
      </c>
      <c r="AO5" s="40">
        <f ca="1">IF(TODAY()-E5&gt;335,((T5+1+(LOG(O5)*4/3))*0.305),((T5+(((TODAY()-E5)^0.5)/(336^0.5))+(LOG(O5)*4/3))*0.305))</f>
        <v>2.1097969407504467</v>
      </c>
      <c r="AP5" s="40">
        <f ca="1">IF(TODAY()-E5&gt;335,((U5+1+(LOG(O5)*4/3))*1)+((V5+1+(LOG(O5)*4/3))*0.286),((U5+(((TODAY()-E5)^0.5)/(336^0.5))+(LOG(O5)*4/3))*1)+((V5+(((TODAY()-E5)^0.5)/(336^0.5))+(LOG(O5)*4/3))*0.286))</f>
        <v>15.035453986246145</v>
      </c>
      <c r="AQ5" s="40">
        <f ca="1">IF(TODAY()-E5&gt;335,((T5+1+(LOG(O5)*4/3))*0.406),((T5+(((TODAY()-E5)^0.5)/(336^0.5))+(LOG(O5)*4/3))*0.406))</f>
        <v>2.8084510096546929</v>
      </c>
      <c r="AR5" s="40">
        <f ca="1">IF(Q5="TEC",IF(TODAY()-E5&gt;335,((V5+1+(LOG(O5)*4/3))*0.15)+((V5+1+(LOG(O5)*4/3))*0.324)+((W5+1+(LOG(O5)*4/3))*0.127),((U5+(((TODAY()-E5)^0.5)/(336^0.5))+(LOG(O5)*4/3))*0.15)+((V5+(((TODAY()-E5)^0.5)/(336^0.5))+(LOG(O5)*4/3))*0.324)+((W5+(((TODAY()-E5)^0.5)/(336^0.5))+(LOG(O5)*4/3))*0.127)),IF(TODAY()-E5&gt;335,((V5+1+(LOG(O5)*4/3))*0.144)+((W5+1+(LOG(O5)*4/3))*0.25)+((W5+1+(LOG(O5)*4/3))*0.127),((U5+(((TODAY()-E5)^0.5)/(336^0.5))+(LOG(O5)*4/3))*0.144)+((V5+(((TODAY()-E5)^0.5)/(336^0.5))+(LOG(O5)*4/3))*0.25)+((W5+(((TODAY()-E5)^0.5)/(336^0.5))+(LOG(O5)*4/3))*0.127)))</f>
        <v>4.8182382168228939</v>
      </c>
      <c r="AS5" s="40">
        <f ca="1">IF(Q5="TEC",IF(TODAY()-E5&gt;335,((V5+1+(LOG(O5)*4/3))*0.543)+((W5+1+(LOG(O5)*4/3))*0.583),((V5+(((TODAY()-E5)^0.5)/(336^0.5))+(LOG(O5)*4/3))*0.543)+((W5+(((TODAY()-E5)^0.5)/(336^0.5))+(LOG(O5)*4/3))*0.583)),IF(TODAY()-E5&gt;335,((V5+1+(LOG(O5)*4/3))*0.543)+((W5+1+(LOG(O5)*4/3))*0.583),((V5+(((TODAY()-E5)^0.5)/(336^0.5))+(LOG(O5)*4/3))*0.543)+((W5+(((TODAY()-E5)^0.5)/(336^0.5))+(LOG(O5)*4/3))*0.583)))</f>
        <v>7.6339852632295182</v>
      </c>
    </row>
    <row r="6" spans="1:45" s="98" customFormat="1" x14ac:dyDescent="0.25">
      <c r="A6" s="154" t="str">
        <f>PLANTILLA!D20</f>
        <v>Andrea Califano</v>
      </c>
      <c r="B6" s="73">
        <f t="shared" ref="B6" ca="1" si="19">(N6+F6-J6)/K6</f>
        <v>591826.92957746482</v>
      </c>
      <c r="C6" s="139">
        <v>29</v>
      </c>
      <c r="D6" s="139">
        <v>45</v>
      </c>
      <c r="E6" s="148">
        <v>42869</v>
      </c>
      <c r="F6" s="140">
        <v>2346000</v>
      </c>
      <c r="G6" s="139">
        <f>PLANTILLA!E20</f>
        <v>31</v>
      </c>
      <c r="H6" s="139">
        <f ca="1">PLANTILLA!F20</f>
        <v>34</v>
      </c>
      <c r="I6" s="49">
        <f t="shared" ref="I6" ca="1" si="20">E6+(H6-D6+(G6-C6)*112)</f>
        <v>43082</v>
      </c>
      <c r="J6" s="155">
        <v>1854360</v>
      </c>
      <c r="K6" s="40">
        <f t="shared" ref="K6" ca="1" si="21">(I6-E6)/112</f>
        <v>1.9017857142857142</v>
      </c>
      <c r="L6" s="74">
        <f t="shared" ref="L6" si="22">J6-F6</f>
        <v>-491640</v>
      </c>
      <c r="M6" s="76">
        <f>PLANTILLA!V20</f>
        <v>20832</v>
      </c>
      <c r="N6" s="76">
        <f t="shared" ref="N6" ca="1" si="23">((G6-C6)*M6*16)+(H6-D6)/7*M6</f>
        <v>633888</v>
      </c>
      <c r="O6" s="142">
        <f>PLANTILLA!I20</f>
        <v>8.3000000000000007</v>
      </c>
      <c r="P6" s="142">
        <f>PLANTILLA!H20</f>
        <v>3</v>
      </c>
      <c r="Q6" s="142">
        <f>PLANTILLA!G20</f>
        <v>0</v>
      </c>
      <c r="R6" s="144">
        <f>PLANTILLA!X20</f>
        <v>0</v>
      </c>
      <c r="S6" s="144">
        <f>PLANTILLA!Y20</f>
        <v>14</v>
      </c>
      <c r="T6" s="144">
        <f>PLANTILLA!Z20</f>
        <v>3.02</v>
      </c>
      <c r="U6" s="144">
        <f>PLANTILLA!AA20</f>
        <v>3.01</v>
      </c>
      <c r="V6" s="144">
        <f>PLANTILLA!AB20</f>
        <v>10.01</v>
      </c>
      <c r="W6" s="144">
        <f>PLANTILLA!AC20</f>
        <v>3</v>
      </c>
      <c r="X6" s="144">
        <f>PLANTILLA!AD20</f>
        <v>17.500000000000004</v>
      </c>
      <c r="Y6" s="143">
        <f>PLANTILLA!AE20</f>
        <v>1493</v>
      </c>
      <c r="Z6" s="143">
        <f t="shared" ref="Z6" si="24">O6*P6*P6</f>
        <v>74.7</v>
      </c>
      <c r="AA6" s="9">
        <f t="shared" ref="AA6" si="25">((S6+1)+(V6+1)*2)/8</f>
        <v>4.6274999999999995</v>
      </c>
      <c r="AB6" s="9">
        <f t="shared" ref="AB6" si="26">X6*0.7+W6*0.3</f>
        <v>13.150000000000002</v>
      </c>
      <c r="AC6" s="9">
        <f t="shared" ref="AC6" si="27">(0.5*W6+ 0.3*X6)/10</f>
        <v>0.67500000000000004</v>
      </c>
      <c r="AD6" s="9">
        <f t="shared" ref="AD6" si="28">(0.4*S6+0.3*X6)/10</f>
        <v>1.0850000000000002</v>
      </c>
      <c r="AE6" s="40">
        <f t="shared" ref="AE6" ca="1" si="29">IF(TODAY()-E6&gt;335,((S6+1+(LOG(O6)*4/3))*0.516),((S6+(((TODAY()-E6)^0.5)/(336^0.516))+(LOG(O6)*4/3))*0.516))</f>
        <v>8.230650385336304</v>
      </c>
      <c r="AF6" s="40">
        <f t="shared" ref="AF6" ca="1" si="30">IF(TODAY()-E6&gt;335,((S6+1+(LOG(O6)*4/3))*1),((S6+(((TODAY()-E6)^0.5)/(336^0.5))+(LOG(O6)*4/3))*1))</f>
        <v>16.021633771130286</v>
      </c>
      <c r="AG6" s="40">
        <f ca="1">IF(TODAY()-E6&gt;335,((T6+1+(LOG(O6)*4/3))*0.238),((T6+(((TODAY()-E6)^0.5)/(336^0.238))+(LOG(O6)*4/3))*0.238))</f>
        <v>1.8803715629494706</v>
      </c>
      <c r="AH6" s="40">
        <f ca="1">IF(TODAY()-E6&gt;335,((S6+1+(LOG(O6)*4/3))*0.92),((S6+(((TODAY()-E6)^0.5)/(336^0.5))+(LOG(O6)*4/3))*0.92))</f>
        <v>14.739903069439864</v>
      </c>
      <c r="AI6" s="40">
        <f ca="1">IF(TODAY()-E6&gt;335,((S6+1+(LOG(O6)*4/3))*0.414),((S6+(((TODAY()-E6)^0.5)/(336^0.414))+(LOG(O6)*4/3))*0.414))</f>
        <v>6.8469389099789035</v>
      </c>
      <c r="AJ6" s="40">
        <f ca="1">IF(TODAY()-E6&gt;335,((T6+1+(LOG(O6)*4/3))*0.167),((T6+(((TODAY()-E6)^0.5)/(336^0.5))+(LOG(O6)*4/3))*0.167))</f>
        <v>0.84195283977875812</v>
      </c>
      <c r="AK6" s="203">
        <f ca="1">IF(TODAY()-E6&gt;335,((U6+1+(LOG(O6)*4/3))*0.588),((U6+(((TODAY()-E6)^0.5)/(336^0.5))+(LOG(O6)*4/3))*0.588))</f>
        <v>2.9586006574246086</v>
      </c>
      <c r="AL6" s="40">
        <f ca="1">IF(TODAY()-E6&gt;335,((S6+1+(LOG(O6)*4/3))*0.4),((S6+(((TODAY()-E6)^0.5)/(336^0.5))+(LOG(O6)*4/3))*0.4))</f>
        <v>6.4086535084521152</v>
      </c>
      <c r="AM6" s="40">
        <f ca="1">IF(TODAY()-E6&gt;335,((T6+1+(LOG(O6)*4/3))*1),((T6+(((TODAY()-E6)^0.5)/(336^0.5))+(LOG(O6)*4/3))*1))</f>
        <v>5.0416337711302877</v>
      </c>
      <c r="AN6" s="40">
        <f ca="1">IF(TODAY()-E6&gt;335,((W6+1+(LOG(O6)*4/3))*0.21)+((V6+1+(LOG(O6)*4/3))*0.341),((W6+(((TODAY()-E6)^0.5)/(336^0.5))+(LOG(O6)*4/3))*0.21)+((V6+(((TODAY()-E6)^0.5)/(336^0.5))+(LOG(O6)*4/3))*0.341))</f>
        <v>5.1573302078927874</v>
      </c>
      <c r="AO6" s="40">
        <f ca="1">IF(TODAY()-E6&gt;335,((T6+1+(LOG(O6)*4/3))*0.305),((T6+(((TODAY()-E6)^0.5)/(336^0.5))+(LOG(O6)*4/3))*0.305))</f>
        <v>1.5376983001947377</v>
      </c>
      <c r="AP6" s="40">
        <f ca="1">IF(TODAY()-E6&gt;335,((U6+1+(LOG(O6)*4/3))*1)+((V6+1+(LOG(O6)*4/3))*0.286),((U6+(((TODAY()-E6)^0.5)/(336^0.5))+(LOG(O6)*4/3))*1)+((V6+(((TODAY()-E6)^0.5)/(336^0.5))+(LOG(O6)*4/3))*0.286))</f>
        <v>8.4726810296735486</v>
      </c>
      <c r="AQ6" s="40">
        <f ca="1">IF(TODAY()-E6&gt;335,((T6+1+(LOG(O6)*4/3))*0.406),((T6+(((TODAY()-E6)^0.5)/(336^0.5))+(LOG(O6)*4/3))*0.406))</f>
        <v>2.0469033110788968</v>
      </c>
      <c r="AR6" s="40">
        <f ca="1">IF(Q6="TEC",IF(TODAY()-E6&gt;335,((V6+1+(LOG(O6)*4/3))*0.15)+((V6+1+(LOG(O6)*4/3))*0.324)+((W6+1+(LOG(O6)*4/3))*0.127),((U6+(((TODAY()-E6)^0.5)/(336^0.5))+(LOG(O6)*4/3))*0.15)+((V6+(((TODAY()-E6)^0.5)/(336^0.5))+(LOG(O6)*4/3))*0.324)+((W6+(((TODAY()-E6)^0.5)/(336^0.5))+(LOG(O6)*4/3))*0.127)),IF(TODAY()-E6&gt;335,((V6+1+(LOG(O6)*4/3))*0.144)+((W6+1+(LOG(O6)*4/3))*0.25)+((W6+1+(LOG(O6)*4/3))*0.127),((U6+(((TODAY()-E6)^0.5)/(336^0.5))+(LOG(O6)*4/3))*0.144)+((V6+(((TODAY()-E6)^0.5)/(336^0.5))+(LOG(O6)*4/3))*0.25)+((W6+(((TODAY()-E6)^0.5)/(336^0.5))+(LOG(O6)*4/3))*0.127)))</f>
        <v>4.3702111947588795</v>
      </c>
      <c r="AS6" s="40">
        <f ca="1">IF(Q6="TEC",IF(TODAY()-E6&gt;335,((V6+1+(LOG(O6)*4/3))*0.543)+((W6+1+(LOG(O6)*4/3))*0.583),((V6+(((TODAY()-E6)^0.5)/(336^0.5))+(LOG(O6)*4/3))*0.543)+((W6+(((TODAY()-E6)^0.5)/(336^0.5))+(LOG(O6)*4/3))*0.583)),IF(TODAY()-E6&gt;335,((V6+1+(LOG(O6)*4/3))*0.543)+((W6+1+(LOG(O6)*4/3))*0.583),((V6+(((TODAY()-E6)^0.5)/(336^0.5))+(LOG(O6)*4/3))*0.543)+((W6+(((TODAY()-E6)^0.5)/(336^0.5))+(LOG(O6)*4/3))*0.583)))</f>
        <v>9.4607896262927031</v>
      </c>
    </row>
    <row r="7" spans="1:45" s="98" customFormat="1" x14ac:dyDescent="0.25">
      <c r="A7" s="154" t="str">
        <f>PLANTILLA!D21</f>
        <v>Ibiur Altxakoa</v>
      </c>
      <c r="B7" s="73">
        <f t="shared" ca="1" si="0"/>
        <v>496959.99999999983</v>
      </c>
      <c r="C7" s="139">
        <v>29</v>
      </c>
      <c r="D7" s="139">
        <v>82</v>
      </c>
      <c r="E7" s="148">
        <f>PLANTILLA!M21</f>
        <v>42742</v>
      </c>
      <c r="F7" s="140">
        <v>3642000</v>
      </c>
      <c r="G7" s="139">
        <f>PLANTILLA!E21</f>
        <v>32</v>
      </c>
      <c r="H7" s="156">
        <f ca="1">PLANTILLA!F21</f>
        <v>86</v>
      </c>
      <c r="I7" s="49">
        <f t="shared" ca="1" si="1"/>
        <v>43082</v>
      </c>
      <c r="J7" s="155">
        <v>3200000</v>
      </c>
      <c r="K7" s="40">
        <f t="shared" ca="1" si="2"/>
        <v>3.0357142857142856</v>
      </c>
      <c r="L7" s="74">
        <f t="shared" si="3"/>
        <v>-442000</v>
      </c>
      <c r="M7" s="76">
        <f>PLANTILLA!V21</f>
        <v>21960</v>
      </c>
      <c r="N7" s="76">
        <f t="shared" ca="1" si="4"/>
        <v>1066628.5714285714</v>
      </c>
      <c r="O7" s="142">
        <f>PLANTILLA!I21</f>
        <v>10.9</v>
      </c>
      <c r="P7" s="142">
        <f>PLANTILLA!H21</f>
        <v>3</v>
      </c>
      <c r="Q7" s="142" t="str">
        <f>PLANTILLA!G21</f>
        <v>CAB</v>
      </c>
      <c r="R7" s="144">
        <f>PLANTILLA!X21</f>
        <v>0</v>
      </c>
      <c r="S7" s="144">
        <f>PLANTILLA!Y21</f>
        <v>15.028571428571428</v>
      </c>
      <c r="T7" s="144">
        <f>PLANTILLA!Z21</f>
        <v>12</v>
      </c>
      <c r="U7" s="144">
        <f>PLANTILLA!AA21</f>
        <v>2.0099999999999998</v>
      </c>
      <c r="V7" s="144">
        <f>PLANTILLA!AB21</f>
        <v>7.1828571428571424</v>
      </c>
      <c r="W7" s="144">
        <f>PLANTILLA!AC21</f>
        <v>3.99</v>
      </c>
      <c r="X7" s="144">
        <f>PLANTILLA!AD21</f>
        <v>15.2</v>
      </c>
      <c r="Y7" s="143">
        <f>PLANTILLA!AE21</f>
        <v>1825</v>
      </c>
      <c r="Z7" s="143">
        <f t="shared" si="5"/>
        <v>98.100000000000009</v>
      </c>
      <c r="AA7" s="9">
        <f t="shared" si="6"/>
        <v>4.0492857142857144</v>
      </c>
      <c r="AB7" s="9">
        <f t="shared" si="7"/>
        <v>11.837</v>
      </c>
      <c r="AC7" s="9">
        <f t="shared" si="8"/>
        <v>0.65549999999999997</v>
      </c>
      <c r="AD7" s="9">
        <f t="shared" si="9"/>
        <v>1.0571428571428572</v>
      </c>
      <c r="AE7" s="40">
        <f t="shared" ca="1" si="10"/>
        <v>8.9844922877260078</v>
      </c>
      <c r="AF7" s="40">
        <f t="shared" ca="1" si="11"/>
        <v>17.411806759158928</v>
      </c>
      <c r="AG7" s="40">
        <f t="shared" ref="AG7:AG16" ca="1" si="31">IF(TODAY()-E7&gt;335,((T7+1+(LOG(O7)*4/3))*0.238),((T7+(((TODAY()-E7)^0.5)/(336^0.238))+(LOG(O7)*4/3))*0.238))</f>
        <v>3.4232100086798245</v>
      </c>
      <c r="AH7" s="40">
        <f t="shared" ref="AH7:AH16" ca="1" si="32">IF(TODAY()-E7&gt;335,((S7+1+(LOG(O7)*4/3))*0.92),((S7+(((TODAY()-E7)^0.5)/(336^0.5))+(LOG(O7)*4/3))*0.92))</f>
        <v>16.018862218426214</v>
      </c>
      <c r="AI7" s="40">
        <f t="shared" ref="AI7:AI16" ca="1" si="33">IF(TODAY()-E7&gt;335,((S7+1+(LOG(O7)*4/3))*0.414),((S7+(((TODAY()-E7)^0.5)/(336^0.414))+(LOG(O7)*4/3))*0.414))</f>
        <v>7.2084879982917958</v>
      </c>
      <c r="AJ7" s="40">
        <f t="shared" ref="AJ7:AJ16" ca="1" si="34">IF(TODAY()-E7&gt;335,((T7+1+(LOG(O7)*4/3))*0.167),((T7+(((TODAY()-E7)^0.5)/(336^0.5))+(LOG(O7)*4/3))*0.167))</f>
        <v>2.4020003002081123</v>
      </c>
      <c r="AK7" s="203">
        <f t="shared" ref="AK7:AK16" ca="1" si="35">IF(TODAY()-E7&gt;335,((U7+1+(LOG(O7)*4/3))*0.588),((U7+(((TODAY()-E7)^0.5)/(336^0.5))+(LOG(O7)*4/3))*0.588))</f>
        <v>2.5832223743854485</v>
      </c>
      <c r="AL7" s="40">
        <f t="shared" ref="AL7:AL16" ca="1" si="36">IF(TODAY()-E7&gt;335,((S7+1+(LOG(O7)*4/3))*0.4),((S7+(((TODAY()-E7)^0.5)/(336^0.5))+(LOG(O7)*4/3))*0.4))</f>
        <v>6.9647227036635719</v>
      </c>
      <c r="AM7" s="40">
        <f t="shared" ref="AM7:AM16" ca="1" si="37">IF(TODAY()-E7&gt;335,((T7+1+(LOG(O7)*4/3))*1),((T7+(((TODAY()-E7)^0.5)/(336^0.5))+(LOG(O7)*4/3))*1))</f>
        <v>14.383235330587498</v>
      </c>
      <c r="AN7" s="40">
        <f t="shared" ref="AN7:AN16" ca="1" si="38">IF(TODAY()-E7&gt;335,((W7+1+(LOG(O7)*4/3))*0.21)+((V7+1+(LOG(O7)*4/3))*0.341),((W7+(((TODAY()-E7)^0.5)/(336^0.5))+(LOG(O7)*4/3))*0.21)+((V7+(((TODAY()-E7)^0.5)/(336^0.5))+(LOG(O7)*4/3))*0.341))</f>
        <v>4.600416952867997</v>
      </c>
      <c r="AO7" s="40">
        <f t="shared" ref="AO7:AO16" ca="1" si="39">IF(TODAY()-E7&gt;335,((T7+1+(LOG(O7)*4/3))*0.305),((T7+(((TODAY()-E7)^0.5)/(336^0.5))+(LOG(O7)*4/3))*0.305))</f>
        <v>4.3868867758291872</v>
      </c>
      <c r="AP7" s="40">
        <f t="shared" ref="AP7:AP16" ca="1" si="40">IF(TODAY()-E7&gt;335,((U7+1+(LOG(O7)*4/3))*1)+((V7+1+(LOG(O7)*4/3))*0.286),((U7+(((TODAY()-E7)^0.5)/(336^0.5))+(LOG(O7)*4/3))*1)+((V7+(((TODAY()-E7)^0.5)/(336^0.5))+(LOG(O7)*4/3))*0.286))</f>
        <v>7.1291377779926641</v>
      </c>
      <c r="AQ7" s="40">
        <f t="shared" ref="AQ7:AQ16" ca="1" si="41">IF(TODAY()-E7&gt;335,((T7+1+(LOG(O7)*4/3))*0.406),((T7+(((TODAY()-E7)^0.5)/(336^0.5))+(LOG(O7)*4/3))*0.406))</f>
        <v>5.8395935442185243</v>
      </c>
      <c r="AR7" s="40">
        <f t="shared" ref="AR7:AR16" ca="1" si="42">IF(Q7="TEC",IF(TODAY()-E7&gt;335,((V7+1+(LOG(O7)*4/3))*0.15)+((V7+1+(LOG(O7)*4/3))*0.324)+((W7+1+(LOG(O7)*4/3))*0.127),((U7+(((TODAY()-E7)^0.5)/(336^0.5))+(LOG(O7)*4/3))*0.15)+((V7+(((TODAY()-E7)^0.5)/(336^0.5))+(LOG(O7)*4/3))*0.324)+((W7+(((TODAY()-E7)^0.5)/(336^0.5))+(LOG(O7)*4/3))*0.127)),IF(TODAY()-E7&gt;335,((V7+1+(LOG(O7)*4/3))*0.144)+((W7+1+(LOG(O7)*4/3))*0.25)+((W7+1+(LOG(O7)*4/3))*0.127),((U7+(((TODAY()-E7)^0.5)/(336^0.5))+(LOG(O7)*4/3))*0.144)+((V7+(((TODAY()-E7)^0.5)/(336^0.5))+(LOG(O7)*4/3))*0.25)+((W7+(((TODAY()-E7)^0.5)/(336^0.5))+(LOG(O7)*4/3))*0.127)))</f>
        <v>3.7802270358075143</v>
      </c>
      <c r="AS7" s="40">
        <f t="shared" ref="AS7:AS16" ca="1" si="43">IF(Q7="TEC",IF(TODAY()-E7&gt;335,((V7+1+(LOG(O7)*4/3))*0.543)+((W7+1+(LOG(O7)*4/3))*0.583),((V7+(((TODAY()-E7)^0.5)/(336^0.5))+(LOG(O7)*4/3))*0.543)+((W7+(((TODAY()-E7)^0.5)/(336^0.5))+(LOG(O7)*4/3))*0.583)),IF(TODAY()-E7&gt;335,((V7+1+(LOG(O7)*4/3))*0.543)+((W7+1+(LOG(O7)*4/3))*0.583),((V7+(((TODAY()-E7)^0.5)/(336^0.5))+(LOG(O7)*4/3))*0.543)+((W7+(((TODAY()-E7)^0.5)/(336^0.5))+(LOG(O7)*4/3))*0.583)))</f>
        <v>8.9099844108129496</v>
      </c>
    </row>
    <row r="8" spans="1:45" s="98" customFormat="1" x14ac:dyDescent="0.25">
      <c r="A8" s="154" t="e">
        <f>PLANTILLA!#REF!</f>
        <v>#REF!</v>
      </c>
      <c r="B8" s="73" t="e">
        <f>(N8+F8-J8)/K8</f>
        <v>#REF!</v>
      </c>
      <c r="C8" s="139">
        <v>30</v>
      </c>
      <c r="D8" s="139">
        <v>16</v>
      </c>
      <c r="E8" s="148" t="e">
        <f>PLANTILLA!#REF!</f>
        <v>#REF!</v>
      </c>
      <c r="F8" s="140">
        <v>3250000</v>
      </c>
      <c r="G8" s="139" t="e">
        <f>PLANTILLA!#REF!</f>
        <v>#REF!</v>
      </c>
      <c r="H8" s="139" t="e">
        <f>PLANTILLA!#REF!</f>
        <v>#REF!</v>
      </c>
      <c r="I8" s="49" t="e">
        <f>E8+(H8-D8+(G8-C8)*112)</f>
        <v>#REF!</v>
      </c>
      <c r="J8" s="155">
        <v>3160050</v>
      </c>
      <c r="K8" s="40" t="e">
        <f>(I8-E8)/112</f>
        <v>#REF!</v>
      </c>
      <c r="L8" s="74">
        <f>J8-F8</f>
        <v>-89950</v>
      </c>
      <c r="M8" s="76" t="e">
        <f>PLANTILLA!#REF!</f>
        <v>#REF!</v>
      </c>
      <c r="N8" s="76" t="e">
        <f>((G8-C8)*M8*16)+(H8-D8)/7*M8</f>
        <v>#REF!</v>
      </c>
      <c r="O8" s="142" t="e">
        <f>PLANTILLA!#REF!</f>
        <v>#REF!</v>
      </c>
      <c r="P8" s="142" t="e">
        <f>PLANTILLA!#REF!</f>
        <v>#REF!</v>
      </c>
      <c r="Q8" s="142" t="e">
        <f>PLANTILLA!#REF!</f>
        <v>#REF!</v>
      </c>
      <c r="R8" s="144" t="e">
        <f>PLANTILLA!#REF!</f>
        <v>#REF!</v>
      </c>
      <c r="S8" s="144" t="e">
        <f>PLANTILLA!#REF!</f>
        <v>#REF!</v>
      </c>
      <c r="T8" s="144" t="e">
        <f>PLANTILLA!#REF!</f>
        <v>#REF!</v>
      </c>
      <c r="U8" s="144" t="e">
        <f>PLANTILLA!#REF!</f>
        <v>#REF!</v>
      </c>
      <c r="V8" s="144" t="e">
        <f>PLANTILLA!#REF!</f>
        <v>#REF!</v>
      </c>
      <c r="W8" s="144" t="e">
        <f>PLANTILLA!#REF!</f>
        <v>#REF!</v>
      </c>
      <c r="X8" s="144" t="e">
        <f>PLANTILLA!#REF!</f>
        <v>#REF!</v>
      </c>
      <c r="Y8" s="143" t="e">
        <f>PLANTILLA!#REF!</f>
        <v>#REF!</v>
      </c>
      <c r="Z8" s="143" t="e">
        <f>O8*P8*P8</f>
        <v>#REF!</v>
      </c>
      <c r="AA8" s="9" t="e">
        <f>((S8+1)+(V8+1)*2)/8</f>
        <v>#REF!</v>
      </c>
      <c r="AB8" s="9" t="e">
        <f>X8*0.7+W8*0.3</f>
        <v>#REF!</v>
      </c>
      <c r="AC8" s="9" t="e">
        <f>(0.5*W8+ 0.3*X8)/10</f>
        <v>#REF!</v>
      </c>
      <c r="AD8" s="9" t="e">
        <f>(0.4*S8+0.3*X8)/10</f>
        <v>#REF!</v>
      </c>
      <c r="AE8" s="40" t="e">
        <f ca="1">IF(TODAY()-E8&gt;335,((S8+1+(LOG(O8)*4/3))*0.516),((S8+(((TODAY()-E8)^0.5)/(336^0.516))+(LOG(O8)*4/3))*0.516))</f>
        <v>#REF!</v>
      </c>
      <c r="AF8" s="40" t="e">
        <f ca="1">IF(TODAY()-E8&gt;335,((S8+1+(LOG(O8)*4/3))*1),((S8+(((TODAY()-E8)^0.5)/(336^0.5))+(LOG(O8)*4/3))*1))</f>
        <v>#REF!</v>
      </c>
      <c r="AG8" s="40" t="e">
        <f ca="1">IF(TODAY()-E8&gt;335,((T8+1+(LOG(O8)*4/3))*0.238),((T8+(((TODAY()-E8)^0.5)/(336^0.238))+(LOG(O8)*4/3))*0.238))</f>
        <v>#REF!</v>
      </c>
      <c r="AH8" s="40" t="e">
        <f ca="1">IF(TODAY()-E8&gt;335,((S8+1+(LOG(O8)*4/3))*0.92),((S8+(((TODAY()-E8)^0.5)/(336^0.5))+(LOG(O8)*4/3))*0.92))</f>
        <v>#REF!</v>
      </c>
      <c r="AI8" s="40" t="e">
        <f ca="1">IF(TODAY()-E8&gt;335,((S8+1+(LOG(O8)*4/3))*0.414),((S8+(((TODAY()-E8)^0.5)/(336^0.414))+(LOG(O8)*4/3))*0.414))</f>
        <v>#REF!</v>
      </c>
      <c r="AJ8" s="40" t="e">
        <f ca="1">IF(TODAY()-E8&gt;335,((T8+1+(LOG(O8)*4/3))*0.167),((T8+(((TODAY()-E8)^0.5)/(336^0.5))+(LOG(O8)*4/3))*0.167))</f>
        <v>#REF!</v>
      </c>
      <c r="AK8" s="203" t="e">
        <f ca="1">IF(TODAY()-E8&gt;335,((U8+1+(LOG(O8)*4/3))*0.588),((U8+(((TODAY()-E8)^0.5)/(336^0.5))+(LOG(O8)*4/3))*0.588))</f>
        <v>#REF!</v>
      </c>
      <c r="AL8" s="40" t="e">
        <f ca="1">IF(TODAY()-E8&gt;335,((S8+1+(LOG(O8)*4/3))*0.4),((S8+(((TODAY()-E8)^0.5)/(336^0.5))+(LOG(O8)*4/3))*0.4))</f>
        <v>#REF!</v>
      </c>
      <c r="AM8" s="40" t="e">
        <f ca="1">IF(TODAY()-E8&gt;335,((T8+1+(LOG(O8)*4/3))*1),((T8+(((TODAY()-E8)^0.5)/(336^0.5))+(LOG(O8)*4/3))*1))</f>
        <v>#REF!</v>
      </c>
      <c r="AN8" s="40" t="e">
        <f ca="1">IF(TODAY()-E8&gt;335,((W8+1+(LOG(O8)*4/3))*0.21)+((V8+1+(LOG(O8)*4/3))*0.341),((W8+(((TODAY()-E8)^0.5)/(336^0.5))+(LOG(O8)*4/3))*0.21)+((V8+(((TODAY()-E8)^0.5)/(336^0.5))+(LOG(O8)*4/3))*0.341))</f>
        <v>#REF!</v>
      </c>
      <c r="AO8" s="40" t="e">
        <f ca="1">IF(TODAY()-E8&gt;335,((T8+1+(LOG(O8)*4/3))*0.305),((T8+(((TODAY()-E8)^0.5)/(336^0.5))+(LOG(O8)*4/3))*0.305))</f>
        <v>#REF!</v>
      </c>
      <c r="AP8" s="40" t="e">
        <f ca="1">IF(TODAY()-E8&gt;335,((U8+1+(LOG(O8)*4/3))*1)+((V8+1+(LOG(O8)*4/3))*0.286),((U8+(((TODAY()-E8)^0.5)/(336^0.5))+(LOG(O8)*4/3))*1)+((V8+(((TODAY()-E8)^0.5)/(336^0.5))+(LOG(O8)*4/3))*0.286))</f>
        <v>#REF!</v>
      </c>
      <c r="AQ8" s="40" t="e">
        <f ca="1">IF(TODAY()-E8&gt;335,((T8+1+(LOG(O8)*4/3))*0.406),((T8+(((TODAY()-E8)^0.5)/(336^0.5))+(LOG(O8)*4/3))*0.406))</f>
        <v>#REF!</v>
      </c>
      <c r="AR8" s="40" t="e">
        <f ca="1">IF(Q8="TEC",IF(TODAY()-E8&gt;335,((V8+1+(LOG(O8)*4/3))*0.15)+((V8+1+(LOG(O8)*4/3))*0.324)+((W8+1+(LOG(O8)*4/3))*0.127),((U8+(((TODAY()-E8)^0.5)/(336^0.5))+(LOG(O8)*4/3))*0.15)+((V8+(((TODAY()-E8)^0.5)/(336^0.5))+(LOG(O8)*4/3))*0.324)+((W8+(((TODAY()-E8)^0.5)/(336^0.5))+(LOG(O8)*4/3))*0.127)),IF(TODAY()-E8&gt;335,((V8+1+(LOG(O8)*4/3))*0.144)+((W8+1+(LOG(O8)*4/3))*0.25)+((W8+1+(LOG(O8)*4/3))*0.127),((U8+(((TODAY()-E8)^0.5)/(336^0.5))+(LOG(O8)*4/3))*0.144)+((V8+(((TODAY()-E8)^0.5)/(336^0.5))+(LOG(O8)*4/3))*0.25)+((W8+(((TODAY()-E8)^0.5)/(336^0.5))+(LOG(O8)*4/3))*0.127)))</f>
        <v>#REF!</v>
      </c>
      <c r="AS8" s="40" t="e">
        <f ca="1">IF(Q8="TEC",IF(TODAY()-E8&gt;335,((V8+1+(LOG(O8)*4/3))*0.543)+((W8+1+(LOG(O8)*4/3))*0.583),((V8+(((TODAY()-E8)^0.5)/(336^0.5))+(LOG(O8)*4/3))*0.543)+((W8+(((TODAY()-E8)^0.5)/(336^0.5))+(LOG(O8)*4/3))*0.583)),IF(TODAY()-E8&gt;335,((V8+1+(LOG(O8)*4/3))*0.543)+((W8+1+(LOG(O8)*4/3))*0.583),((V8+(((TODAY()-E8)^0.5)/(336^0.5))+(LOG(O8)*4/3))*0.543)+((W8+(((TODAY()-E8)^0.5)/(336^0.5))+(LOG(O8)*4/3))*0.583)))</f>
        <v>#REF!</v>
      </c>
    </row>
    <row r="9" spans="1:45" s="98" customFormat="1" x14ac:dyDescent="0.25">
      <c r="A9" s="154" t="e">
        <f>PLANTILLA!#REF!</f>
        <v>#REF!</v>
      </c>
      <c r="B9" s="73" t="e">
        <f t="shared" si="0"/>
        <v>#REF!</v>
      </c>
      <c r="C9" s="139">
        <v>29</v>
      </c>
      <c r="D9" s="139">
        <v>30</v>
      </c>
      <c r="E9" s="148" t="e">
        <f>PLANTILLA!#REF!</f>
        <v>#REF!</v>
      </c>
      <c r="F9" s="140">
        <v>2168000</v>
      </c>
      <c r="G9" s="139" t="e">
        <f>PLANTILLA!#REF!</f>
        <v>#REF!</v>
      </c>
      <c r="H9" s="156" t="e">
        <f>PLANTILLA!#REF!</f>
        <v>#REF!</v>
      </c>
      <c r="I9" s="49" t="e">
        <f t="shared" si="1"/>
        <v>#REF!</v>
      </c>
      <c r="J9" s="155">
        <v>1640000</v>
      </c>
      <c r="K9" s="40" t="e">
        <f t="shared" si="2"/>
        <v>#REF!</v>
      </c>
      <c r="L9" s="74">
        <f t="shared" si="3"/>
        <v>-528000</v>
      </c>
      <c r="M9" s="76" t="e">
        <f>PLANTILLA!#REF!</f>
        <v>#REF!</v>
      </c>
      <c r="N9" s="76" t="e">
        <f t="shared" si="4"/>
        <v>#REF!</v>
      </c>
      <c r="O9" s="142" t="e">
        <f>PLANTILLA!#REF!</f>
        <v>#REF!</v>
      </c>
      <c r="P9" s="142" t="e">
        <f>PLANTILLA!#REF!</f>
        <v>#REF!</v>
      </c>
      <c r="Q9" s="142" t="e">
        <f>PLANTILLA!#REF!</f>
        <v>#REF!</v>
      </c>
      <c r="R9" s="144" t="e">
        <f>PLANTILLA!#REF!</f>
        <v>#REF!</v>
      </c>
      <c r="S9" s="144" t="e">
        <f>PLANTILLA!#REF!</f>
        <v>#REF!</v>
      </c>
      <c r="T9" s="144" t="e">
        <f>PLANTILLA!#REF!</f>
        <v>#REF!</v>
      </c>
      <c r="U9" s="144" t="e">
        <f>PLANTILLA!#REF!</f>
        <v>#REF!</v>
      </c>
      <c r="V9" s="144" t="e">
        <f>PLANTILLA!#REF!</f>
        <v>#REF!</v>
      </c>
      <c r="W9" s="144" t="e">
        <f>PLANTILLA!#REF!</f>
        <v>#REF!</v>
      </c>
      <c r="X9" s="144" t="e">
        <f>PLANTILLA!#REF!</f>
        <v>#REF!</v>
      </c>
      <c r="Y9" s="143" t="e">
        <f>PLANTILLA!#REF!</f>
        <v>#REF!</v>
      </c>
      <c r="Z9" s="143" t="e">
        <f t="shared" si="5"/>
        <v>#REF!</v>
      </c>
      <c r="AA9" s="9" t="e">
        <f t="shared" si="6"/>
        <v>#REF!</v>
      </c>
      <c r="AB9" s="9" t="e">
        <f t="shared" si="7"/>
        <v>#REF!</v>
      </c>
      <c r="AC9" s="9" t="e">
        <f t="shared" si="8"/>
        <v>#REF!</v>
      </c>
      <c r="AD9" s="9" t="e">
        <f t="shared" si="9"/>
        <v>#REF!</v>
      </c>
      <c r="AE9" s="40" t="e">
        <f t="shared" ca="1" si="10"/>
        <v>#REF!</v>
      </c>
      <c r="AF9" s="40" t="e">
        <f t="shared" ca="1" si="11"/>
        <v>#REF!</v>
      </c>
      <c r="AG9" s="40" t="e">
        <f t="shared" ca="1" si="31"/>
        <v>#REF!</v>
      </c>
      <c r="AH9" s="40" t="e">
        <f t="shared" ca="1" si="32"/>
        <v>#REF!</v>
      </c>
      <c r="AI9" s="40" t="e">
        <f t="shared" ca="1" si="33"/>
        <v>#REF!</v>
      </c>
      <c r="AJ9" s="40" t="e">
        <f t="shared" ca="1" si="34"/>
        <v>#REF!</v>
      </c>
      <c r="AK9" s="203" t="e">
        <f t="shared" ca="1" si="35"/>
        <v>#REF!</v>
      </c>
      <c r="AL9" s="40" t="e">
        <f t="shared" ca="1" si="36"/>
        <v>#REF!</v>
      </c>
      <c r="AM9" s="40" t="e">
        <f t="shared" ca="1" si="37"/>
        <v>#REF!</v>
      </c>
      <c r="AN9" s="40" t="e">
        <f t="shared" ca="1" si="38"/>
        <v>#REF!</v>
      </c>
      <c r="AO9" s="40" t="e">
        <f t="shared" ca="1" si="39"/>
        <v>#REF!</v>
      </c>
      <c r="AP9" s="40" t="e">
        <f t="shared" ca="1" si="40"/>
        <v>#REF!</v>
      </c>
      <c r="AQ9" s="40" t="e">
        <f t="shared" ca="1" si="41"/>
        <v>#REF!</v>
      </c>
      <c r="AR9" s="40" t="e">
        <f t="shared" ca="1" si="42"/>
        <v>#REF!</v>
      </c>
      <c r="AS9" s="40" t="e">
        <f t="shared" ca="1" si="43"/>
        <v>#REF!</v>
      </c>
    </row>
    <row r="10" spans="1:45" s="98" customFormat="1" x14ac:dyDescent="0.25">
      <c r="A10" s="154" t="e">
        <f>PLANTILLA!#REF!</f>
        <v>#REF!</v>
      </c>
      <c r="B10" s="73" t="e">
        <f t="shared" si="0"/>
        <v>#REF!</v>
      </c>
      <c r="C10" s="139">
        <v>29</v>
      </c>
      <c r="D10" s="139">
        <v>24</v>
      </c>
      <c r="E10" s="148">
        <v>42975</v>
      </c>
      <c r="F10" s="140">
        <v>3850000</v>
      </c>
      <c r="G10" s="139" t="e">
        <f>PLANTILLA!#REF!</f>
        <v>#REF!</v>
      </c>
      <c r="H10" s="156" t="e">
        <f>PLANTILLA!#REF!</f>
        <v>#REF!</v>
      </c>
      <c r="I10" s="49" t="e">
        <f t="shared" si="1"/>
        <v>#REF!</v>
      </c>
      <c r="J10" s="155">
        <v>4125000</v>
      </c>
      <c r="K10" s="40" t="e">
        <f t="shared" si="2"/>
        <v>#REF!</v>
      </c>
      <c r="L10" s="74">
        <f t="shared" si="3"/>
        <v>275000</v>
      </c>
      <c r="M10" s="76" t="e">
        <f>PLANTILLA!#REF!</f>
        <v>#REF!</v>
      </c>
      <c r="N10" s="76" t="e">
        <f t="shared" si="4"/>
        <v>#REF!</v>
      </c>
      <c r="O10" s="142" t="e">
        <f>PLANTILLA!#REF!</f>
        <v>#REF!</v>
      </c>
      <c r="P10" s="142" t="e">
        <f>PLANTILLA!#REF!</f>
        <v>#REF!</v>
      </c>
      <c r="Q10" s="142" t="e">
        <f>PLANTILLA!#REF!</f>
        <v>#REF!</v>
      </c>
      <c r="R10" s="144" t="e">
        <f>PLANTILLA!#REF!</f>
        <v>#REF!</v>
      </c>
      <c r="S10" s="144" t="e">
        <f>PLANTILLA!#REF!</f>
        <v>#REF!</v>
      </c>
      <c r="T10" s="144" t="e">
        <f>PLANTILLA!#REF!</f>
        <v>#REF!</v>
      </c>
      <c r="U10" s="144" t="e">
        <f>PLANTILLA!#REF!</f>
        <v>#REF!</v>
      </c>
      <c r="V10" s="144" t="e">
        <f>PLANTILLA!#REF!</f>
        <v>#REF!</v>
      </c>
      <c r="W10" s="144" t="e">
        <f>PLANTILLA!#REF!</f>
        <v>#REF!</v>
      </c>
      <c r="X10" s="144" t="e">
        <f>PLANTILLA!#REF!</f>
        <v>#REF!</v>
      </c>
      <c r="Y10" s="143" t="e">
        <f>PLANTILLA!#REF!</f>
        <v>#REF!</v>
      </c>
      <c r="Z10" s="143" t="e">
        <f t="shared" si="5"/>
        <v>#REF!</v>
      </c>
      <c r="AA10" s="9" t="e">
        <f t="shared" si="6"/>
        <v>#REF!</v>
      </c>
      <c r="AB10" s="9" t="e">
        <f t="shared" si="7"/>
        <v>#REF!</v>
      </c>
      <c r="AC10" s="9" t="e">
        <f t="shared" si="8"/>
        <v>#REF!</v>
      </c>
      <c r="AD10" s="9" t="e">
        <f t="shared" si="9"/>
        <v>#REF!</v>
      </c>
      <c r="AE10" s="40" t="e">
        <f t="shared" ca="1" si="10"/>
        <v>#REF!</v>
      </c>
      <c r="AF10" s="40" t="e">
        <f t="shared" ca="1" si="11"/>
        <v>#REF!</v>
      </c>
      <c r="AG10" s="40" t="e">
        <f t="shared" ca="1" si="31"/>
        <v>#REF!</v>
      </c>
      <c r="AH10" s="40" t="e">
        <f t="shared" ca="1" si="32"/>
        <v>#REF!</v>
      </c>
      <c r="AI10" s="40" t="e">
        <f t="shared" ca="1" si="33"/>
        <v>#REF!</v>
      </c>
      <c r="AJ10" s="40" t="e">
        <f t="shared" ca="1" si="34"/>
        <v>#REF!</v>
      </c>
      <c r="AK10" s="203" t="e">
        <f t="shared" ca="1" si="35"/>
        <v>#REF!</v>
      </c>
      <c r="AL10" s="40" t="e">
        <f t="shared" ca="1" si="36"/>
        <v>#REF!</v>
      </c>
      <c r="AM10" s="40" t="e">
        <f t="shared" ca="1" si="37"/>
        <v>#REF!</v>
      </c>
      <c r="AN10" s="40" t="e">
        <f t="shared" ca="1" si="38"/>
        <v>#REF!</v>
      </c>
      <c r="AO10" s="40" t="e">
        <f t="shared" ca="1" si="39"/>
        <v>#REF!</v>
      </c>
      <c r="AP10" s="40" t="e">
        <f t="shared" ca="1" si="40"/>
        <v>#REF!</v>
      </c>
      <c r="AQ10" s="40" t="e">
        <f t="shared" ca="1" si="41"/>
        <v>#REF!</v>
      </c>
      <c r="AR10" s="40" t="e">
        <f t="shared" ca="1" si="42"/>
        <v>#REF!</v>
      </c>
      <c r="AS10" s="40" t="e">
        <f t="shared" ca="1" si="43"/>
        <v>#REF!</v>
      </c>
    </row>
    <row r="11" spans="1:45" s="98" customFormat="1" x14ac:dyDescent="0.25">
      <c r="A11" s="154" t="e">
        <f>PLANTILLA!#REF!</f>
        <v>#REF!</v>
      </c>
      <c r="B11" s="73" t="e">
        <f t="shared" si="0"/>
        <v>#REF!</v>
      </c>
      <c r="C11" s="139">
        <v>30</v>
      </c>
      <c r="D11" s="139">
        <v>4</v>
      </c>
      <c r="E11" s="148" t="e">
        <f>PLANTILLA!#REF!</f>
        <v>#REF!</v>
      </c>
      <c r="F11" s="140">
        <v>2410000</v>
      </c>
      <c r="G11" s="139" t="e">
        <f>PLANTILLA!#REF!</f>
        <v>#REF!</v>
      </c>
      <c r="H11" s="156" t="e">
        <f>PLANTILLA!#REF!</f>
        <v>#REF!</v>
      </c>
      <c r="I11" s="49" t="e">
        <f t="shared" si="1"/>
        <v>#REF!</v>
      </c>
      <c r="J11" s="155">
        <v>3110000</v>
      </c>
      <c r="K11" s="40" t="e">
        <f t="shared" si="2"/>
        <v>#REF!</v>
      </c>
      <c r="L11" s="74">
        <f t="shared" si="3"/>
        <v>700000</v>
      </c>
      <c r="M11" s="76" t="e">
        <f>PLANTILLA!#REF!</f>
        <v>#REF!</v>
      </c>
      <c r="N11" s="76" t="e">
        <f t="shared" si="4"/>
        <v>#REF!</v>
      </c>
      <c r="O11" s="142" t="e">
        <f>PLANTILLA!#REF!</f>
        <v>#REF!</v>
      </c>
      <c r="P11" s="142" t="e">
        <f>PLANTILLA!#REF!</f>
        <v>#REF!</v>
      </c>
      <c r="Q11" s="142" t="e">
        <f>PLANTILLA!#REF!</f>
        <v>#REF!</v>
      </c>
      <c r="R11" s="144" t="e">
        <f>PLANTILLA!#REF!</f>
        <v>#REF!</v>
      </c>
      <c r="S11" s="144" t="e">
        <f>PLANTILLA!#REF!</f>
        <v>#REF!</v>
      </c>
      <c r="T11" s="144" t="e">
        <f>PLANTILLA!#REF!</f>
        <v>#REF!</v>
      </c>
      <c r="U11" s="144" t="e">
        <f>PLANTILLA!#REF!</f>
        <v>#REF!</v>
      </c>
      <c r="V11" s="144" t="e">
        <f>PLANTILLA!#REF!</f>
        <v>#REF!</v>
      </c>
      <c r="W11" s="144" t="e">
        <f>PLANTILLA!#REF!</f>
        <v>#REF!</v>
      </c>
      <c r="X11" s="144" t="e">
        <f>PLANTILLA!#REF!</f>
        <v>#REF!</v>
      </c>
      <c r="Y11" s="143" t="e">
        <f>PLANTILLA!#REF!</f>
        <v>#REF!</v>
      </c>
      <c r="Z11" s="143" t="e">
        <f t="shared" si="5"/>
        <v>#REF!</v>
      </c>
      <c r="AA11" s="9" t="e">
        <f t="shared" si="6"/>
        <v>#REF!</v>
      </c>
      <c r="AB11" s="9" t="e">
        <f t="shared" si="7"/>
        <v>#REF!</v>
      </c>
      <c r="AC11" s="9" t="e">
        <f t="shared" si="8"/>
        <v>#REF!</v>
      </c>
      <c r="AD11" s="9" t="e">
        <f t="shared" si="9"/>
        <v>#REF!</v>
      </c>
      <c r="AE11" s="40" t="e">
        <f t="shared" ca="1" si="10"/>
        <v>#REF!</v>
      </c>
      <c r="AF11" s="40" t="e">
        <f t="shared" ca="1" si="11"/>
        <v>#REF!</v>
      </c>
      <c r="AG11" s="40" t="e">
        <f t="shared" ca="1" si="31"/>
        <v>#REF!</v>
      </c>
      <c r="AH11" s="40" t="e">
        <f t="shared" ca="1" si="32"/>
        <v>#REF!</v>
      </c>
      <c r="AI11" s="40" t="e">
        <f t="shared" ca="1" si="33"/>
        <v>#REF!</v>
      </c>
      <c r="AJ11" s="40" t="e">
        <f t="shared" ca="1" si="34"/>
        <v>#REF!</v>
      </c>
      <c r="AK11" s="203" t="e">
        <f t="shared" ca="1" si="35"/>
        <v>#REF!</v>
      </c>
      <c r="AL11" s="40" t="e">
        <f t="shared" ca="1" si="36"/>
        <v>#REF!</v>
      </c>
      <c r="AM11" s="40" t="e">
        <f t="shared" ca="1" si="37"/>
        <v>#REF!</v>
      </c>
      <c r="AN11" s="40" t="e">
        <f t="shared" ca="1" si="38"/>
        <v>#REF!</v>
      </c>
      <c r="AO11" s="40" t="e">
        <f t="shared" ca="1" si="39"/>
        <v>#REF!</v>
      </c>
      <c r="AP11" s="40" t="e">
        <f t="shared" ca="1" si="40"/>
        <v>#REF!</v>
      </c>
      <c r="AQ11" s="40" t="e">
        <f t="shared" ca="1" si="41"/>
        <v>#REF!</v>
      </c>
      <c r="AR11" s="40" t="e">
        <f t="shared" ca="1" si="42"/>
        <v>#REF!</v>
      </c>
      <c r="AS11" s="40" t="e">
        <f t="shared" ca="1" si="43"/>
        <v>#REF!</v>
      </c>
    </row>
    <row r="12" spans="1:45" s="98" customFormat="1" x14ac:dyDescent="0.25">
      <c r="A12" s="154" t="str">
        <f>PLANTILLA!D22</f>
        <v>Morgan Thomas</v>
      </c>
      <c r="B12" s="73">
        <f t="shared" ref="B12" ca="1" si="44">(N12+F12-J12)/K12</f>
        <v>241968.43243243246</v>
      </c>
      <c r="C12" s="139">
        <v>29</v>
      </c>
      <c r="D12" s="139">
        <v>93</v>
      </c>
      <c r="E12" s="148">
        <f>PLANTILLA!M22</f>
        <v>42712</v>
      </c>
      <c r="F12" s="140">
        <v>3049000</v>
      </c>
      <c r="G12" s="139">
        <f>PLANTILLA!E22</f>
        <v>33</v>
      </c>
      <c r="H12" s="156">
        <f ca="1">PLANTILLA!F22</f>
        <v>15</v>
      </c>
      <c r="I12" s="49">
        <f t="shared" ref="I12" ca="1" si="45">E12+(H12-D12+(G12-C12)*112)</f>
        <v>43082</v>
      </c>
      <c r="J12" s="155">
        <v>3000000</v>
      </c>
      <c r="K12" s="40">
        <f t="shared" ref="K12" ca="1" si="46">(I12-E12)/112</f>
        <v>3.3035714285714284</v>
      </c>
      <c r="L12" s="74">
        <f t="shared" ref="L12" si="47">J12-F12</f>
        <v>-49000</v>
      </c>
      <c r="M12" s="76">
        <f>PLANTILLA!V22</f>
        <v>14196</v>
      </c>
      <c r="N12" s="76">
        <f t="shared" ref="N12" ca="1" si="48">((G12-C12)*M12*16)+(H12-D12)/7*M12</f>
        <v>750360</v>
      </c>
      <c r="O12" s="142">
        <f>PLANTILLA!I22</f>
        <v>10.199999999999999</v>
      </c>
      <c r="P12" s="142">
        <f>PLANTILLA!H22</f>
        <v>1</v>
      </c>
      <c r="Q12" s="142" t="str">
        <f>PLANTILLA!G22</f>
        <v>CAB</v>
      </c>
      <c r="R12" s="144">
        <f>PLANTILLA!X22</f>
        <v>0</v>
      </c>
      <c r="S12" s="144">
        <f>PLANTILLA!Y22</f>
        <v>1.037037037037037</v>
      </c>
      <c r="T12" s="144">
        <f>PLANTILLA!Z22</f>
        <v>13.230909090909091</v>
      </c>
      <c r="U12" s="144">
        <f>PLANTILLA!AA22</f>
        <v>14.058518518518518</v>
      </c>
      <c r="V12" s="144">
        <f>PLANTILLA!AB22</f>
        <v>10.936666666666666</v>
      </c>
      <c r="W12" s="144">
        <f>PLANTILLA!AC22</f>
        <v>2.95</v>
      </c>
      <c r="X12" s="144">
        <f>PLANTILLA!AD22</f>
        <v>11</v>
      </c>
      <c r="Y12" s="143">
        <f>PLANTILLA!AE22</f>
        <v>1514</v>
      </c>
      <c r="Z12" s="143">
        <f t="shared" ref="Z12" si="49">O12*P12*P12</f>
        <v>10.199999999999999</v>
      </c>
      <c r="AA12" s="9">
        <f t="shared" ref="AA12" si="50">((S12+1)+(V12+1)*2)/8</f>
        <v>3.2387962962962962</v>
      </c>
      <c r="AB12" s="9">
        <f t="shared" ref="AB12" si="51">X12*0.7+W12*0.3</f>
        <v>8.5849999999999991</v>
      </c>
      <c r="AC12" s="9">
        <f t="shared" ref="AC12" si="52">(0.5*W12+ 0.3*X12)/10</f>
        <v>0.47750000000000004</v>
      </c>
      <c r="AD12" s="9">
        <f t="shared" ref="AD12" si="53">(0.4*S12+0.3*X12)/10</f>
        <v>0.37148148148148147</v>
      </c>
      <c r="AE12" s="40">
        <f t="shared" ref="AE12" ca="1" si="54">IF(TODAY()-E12&gt;335,((S12+1+(LOG(O12)*4/3))*0.516),((S12+(((TODAY()-E12)^0.5)/(336^0.516))+(LOG(O12)*4/3))*0.516))</f>
        <v>1.7450280292833105</v>
      </c>
      <c r="AF12" s="40">
        <f t="shared" ref="AF12" ca="1" si="55">IF(TODAY()-E12&gt;335,((S12+1+(LOG(O12)*4/3))*1),((S12+(((TODAY()-E12)^0.5)/(336^0.5))+(LOG(O12)*4/3))*1))</f>
        <v>3.3818372660529272</v>
      </c>
      <c r="AG12" s="40">
        <f t="shared" ref="AG12" ca="1" si="56">IF(TODAY()-E12&gt;335,((T12+1+(LOG(O12)*4/3))*0.238),((T12+(((TODAY()-E12)^0.5)/(336^0.238))+(LOG(O12)*4/3))*0.238))</f>
        <v>3.7070188181421453</v>
      </c>
      <c r="AH12" s="40">
        <f t="shared" ref="AH12" ca="1" si="57">IF(TODAY()-E12&gt;335,((S12+1+(LOG(O12)*4/3))*0.92),((S12+(((TODAY()-E12)^0.5)/(336^0.5))+(LOG(O12)*4/3))*0.92))</f>
        <v>3.1112902847686934</v>
      </c>
      <c r="AI12" s="40">
        <f t="shared" ref="AI12" ca="1" si="58">IF(TODAY()-E12&gt;335,((S12+1+(LOG(O12)*4/3))*0.414),((S12+(((TODAY()-E12)^0.5)/(336^0.414))+(LOG(O12)*4/3))*0.414))</f>
        <v>1.4000806281459117</v>
      </c>
      <c r="AJ12" s="40">
        <f t="shared" ref="AJ12" ca="1" si="59">IF(TODAY()-E12&gt;335,((T12+1+(LOG(O12)*4/3))*0.167),((T12+(((TODAY()-E12)^0.5)/(336^0.5))+(LOG(O12)*4/3))*0.167))</f>
        <v>2.6011434564274718</v>
      </c>
      <c r="AK12" s="203">
        <f t="shared" ref="AK12" ca="1" si="60">IF(TODAY()-E12&gt;335,((U12+1+(LOG(O12)*4/3))*0.588),((U12+(((TODAY()-E12)^0.5)/(336^0.5))+(LOG(O12)*4/3))*0.588))</f>
        <v>9.6451514235502298</v>
      </c>
      <c r="AL12" s="40">
        <f t="shared" ref="AL12" ca="1" si="61">IF(TODAY()-E12&gt;335,((S12+1+(LOG(O12)*4/3))*0.4),((S12+(((TODAY()-E12)^0.5)/(336^0.5))+(LOG(O12)*4/3))*0.4))</f>
        <v>1.3527349064211709</v>
      </c>
      <c r="AM12" s="40">
        <f t="shared" ref="AM12" ca="1" si="62">IF(TODAY()-E12&gt;335,((T12+1+(LOG(O12)*4/3))*1),((T12+(((TODAY()-E12)^0.5)/(336^0.5))+(LOG(O12)*4/3))*1))</f>
        <v>15.575709319924981</v>
      </c>
      <c r="AN12" s="40">
        <f t="shared" ref="AN12" ca="1" si="63">IF(TODAY()-E12&gt;335,((W12+1+(LOG(O12)*4/3))*0.21)+((V12+1+(LOG(O12)*4/3))*0.341),((W12+(((TODAY()-E12)^0.5)/(336^0.5))+(LOG(O12)*4/3))*0.21)+((V12+(((TODAY()-E12)^0.5)/(336^0.5))+(LOG(O12)*4/3))*0.341))</f>
        <v>5.6408882595210885</v>
      </c>
      <c r="AO12" s="40">
        <f t="shared" ref="AO12" ca="1" si="64">IF(TODAY()-E12&gt;335,((T12+1+(LOG(O12)*4/3))*0.305),((T12+(((TODAY()-E12)^0.5)/(336^0.5))+(LOG(O12)*4/3))*0.305))</f>
        <v>4.7505913425771187</v>
      </c>
      <c r="AP12" s="40">
        <f t="shared" ref="AP12" ca="1" si="65">IF(TODAY()-E12&gt;335,((U12+1+(LOG(O12)*4/3))*1)+((V12+1+(LOG(O12)*4/3))*0.286),((U12+(((TODAY()-E12)^0.5)/(336^0.5))+(LOG(O12)*4/3))*1)+((V12+(((TODAY()-E12)^0.5)/(336^0.5))+(LOG(O12)*4/3))*0.286))</f>
        <v>20.201818279699616</v>
      </c>
      <c r="AQ12" s="40">
        <f t="shared" ref="AQ12" ca="1" si="66">IF(TODAY()-E12&gt;335,((T12+1+(LOG(O12)*4/3))*0.406),((T12+(((TODAY()-E12)^0.5)/(336^0.5))+(LOG(O12)*4/3))*0.406))</f>
        <v>6.3237379838895427</v>
      </c>
      <c r="AR12" s="40">
        <f t="shared" ref="AR12" ca="1" si="67">IF(Q12="TEC",IF(TODAY()-E12&gt;335,((V12+1+(LOG(O12)*4/3))*0.15)+((V12+1+(LOG(O12)*4/3))*0.324)+((W12+1+(LOG(O12)*4/3))*0.127),((U12+(((TODAY()-E12)^0.5)/(336^0.5))+(LOG(O12)*4/3))*0.15)+((V12+(((TODAY()-E12)^0.5)/(336^0.5))+(LOG(O12)*4/3))*0.324)+((W12+(((TODAY()-E12)^0.5)/(336^0.5))+(LOG(O12)*4/3))*0.127)),IF(TODAY()-E12&gt;335,((V12+1+(LOG(O12)*4/3))*0.144)+((W12+1+(LOG(O12)*4/3))*0.25)+((W12+1+(LOG(O12)*4/3))*0.127),((U12+(((TODAY()-E12)^0.5)/(336^0.5))+(LOG(O12)*4/3))*0.144)+((V12+(((TODAY()-E12)^0.5)/(336^0.5))+(LOG(O12)*4/3))*0.25)+((W12+(((TODAY()-E12)^0.5)/(336^0.5))+(LOG(O12)*4/3))*0.127)))</f>
        <v>3.9086709193172786</v>
      </c>
      <c r="AS12" s="40">
        <f t="shared" ref="AS12" ca="1" si="68">IF(Q12="TEC",IF(TODAY()-E12&gt;335,((V12+1+(LOG(O12)*4/3))*0.543)+((W12+1+(LOG(O12)*4/3))*0.583),((V12+(((TODAY()-E12)^0.5)/(336^0.5))+(LOG(O12)*4/3))*0.543)+((W12+(((TODAY()-E12)^0.5)/(336^0.5))+(LOG(O12)*4/3))*0.583)),IF(TODAY()-E12&gt;335,((V12+1+(LOG(O12)*4/3))*0.543)+((W12+1+(LOG(O12)*4/3))*0.583),((V12+(((TODAY()-E12)^0.5)/(336^0.5))+(LOG(O12)*4/3))*0.543)+((W12+(((TODAY()-E12)^0.5)/(336^0.5))+(LOG(O12)*4/3))*0.583)))</f>
        <v>10.298705057871892</v>
      </c>
    </row>
    <row r="13" spans="1:45" s="98" customFormat="1" x14ac:dyDescent="0.25">
      <c r="A13" s="154" t="e">
        <f>PLANTILLA!#REF!</f>
        <v>#REF!</v>
      </c>
      <c r="B13" s="73" t="e">
        <f t="shared" si="0"/>
        <v>#REF!</v>
      </c>
      <c r="C13" s="139">
        <v>24</v>
      </c>
      <c r="D13" s="139">
        <v>30</v>
      </c>
      <c r="E13" s="148" t="e">
        <f>PLANTILLA!#REF!</f>
        <v>#REF!</v>
      </c>
      <c r="F13" s="140">
        <v>2399000</v>
      </c>
      <c r="G13" s="139" t="e">
        <f>PLANTILLA!#REF!</f>
        <v>#REF!</v>
      </c>
      <c r="H13" s="156" t="e">
        <f>PLANTILLA!#REF!</f>
        <v>#REF!</v>
      </c>
      <c r="I13" s="49" t="e">
        <f t="shared" si="1"/>
        <v>#REF!</v>
      </c>
      <c r="J13" s="155">
        <v>5200000</v>
      </c>
      <c r="K13" s="40" t="e">
        <f t="shared" si="2"/>
        <v>#REF!</v>
      </c>
      <c r="L13" s="74">
        <f t="shared" si="3"/>
        <v>2801000</v>
      </c>
      <c r="M13" s="76" t="e">
        <f>PLANTILLA!#REF!</f>
        <v>#REF!</v>
      </c>
      <c r="N13" s="76" t="e">
        <f t="shared" si="4"/>
        <v>#REF!</v>
      </c>
      <c r="O13" s="142" t="e">
        <f>PLANTILLA!#REF!</f>
        <v>#REF!</v>
      </c>
      <c r="P13" s="142" t="e">
        <f>PLANTILLA!#REF!</f>
        <v>#REF!</v>
      </c>
      <c r="Q13" s="142" t="e">
        <f>PLANTILLA!#REF!</f>
        <v>#REF!</v>
      </c>
      <c r="R13" s="144" t="e">
        <f>PLANTILLA!#REF!</f>
        <v>#REF!</v>
      </c>
      <c r="S13" s="144" t="e">
        <f>PLANTILLA!#REF!</f>
        <v>#REF!</v>
      </c>
      <c r="T13" s="144" t="e">
        <f>PLANTILLA!#REF!</f>
        <v>#REF!</v>
      </c>
      <c r="U13" s="144" t="e">
        <f>PLANTILLA!#REF!</f>
        <v>#REF!</v>
      </c>
      <c r="V13" s="144" t="e">
        <f>PLANTILLA!#REF!</f>
        <v>#REF!</v>
      </c>
      <c r="W13" s="144" t="e">
        <f>PLANTILLA!#REF!</f>
        <v>#REF!</v>
      </c>
      <c r="X13" s="144" t="e">
        <f>PLANTILLA!#REF!</f>
        <v>#REF!</v>
      </c>
      <c r="Y13" s="143" t="e">
        <f>PLANTILLA!#REF!</f>
        <v>#REF!</v>
      </c>
      <c r="Z13" s="143" t="e">
        <f t="shared" si="5"/>
        <v>#REF!</v>
      </c>
      <c r="AA13" s="9" t="e">
        <f t="shared" si="6"/>
        <v>#REF!</v>
      </c>
      <c r="AB13" s="9" t="e">
        <f t="shared" si="7"/>
        <v>#REF!</v>
      </c>
      <c r="AC13" s="9" t="e">
        <f t="shared" si="8"/>
        <v>#REF!</v>
      </c>
      <c r="AD13" s="9" t="e">
        <f t="shared" si="9"/>
        <v>#REF!</v>
      </c>
      <c r="AE13" s="40" t="e">
        <f t="shared" ca="1" si="10"/>
        <v>#REF!</v>
      </c>
      <c r="AF13" s="40" t="e">
        <f t="shared" ca="1" si="11"/>
        <v>#REF!</v>
      </c>
      <c r="AG13" s="40" t="e">
        <f t="shared" ca="1" si="31"/>
        <v>#REF!</v>
      </c>
      <c r="AH13" s="40" t="e">
        <f t="shared" ca="1" si="32"/>
        <v>#REF!</v>
      </c>
      <c r="AI13" s="40" t="e">
        <f t="shared" ca="1" si="33"/>
        <v>#REF!</v>
      </c>
      <c r="AJ13" s="40" t="e">
        <f t="shared" ca="1" si="34"/>
        <v>#REF!</v>
      </c>
      <c r="AK13" s="203" t="e">
        <f t="shared" ca="1" si="35"/>
        <v>#REF!</v>
      </c>
      <c r="AL13" s="40" t="e">
        <f t="shared" ca="1" si="36"/>
        <v>#REF!</v>
      </c>
      <c r="AM13" s="40" t="e">
        <f t="shared" ca="1" si="37"/>
        <v>#REF!</v>
      </c>
      <c r="AN13" s="40" t="e">
        <f t="shared" ca="1" si="38"/>
        <v>#REF!</v>
      </c>
      <c r="AO13" s="40" t="e">
        <f t="shared" ca="1" si="39"/>
        <v>#REF!</v>
      </c>
      <c r="AP13" s="40" t="e">
        <f t="shared" ca="1" si="40"/>
        <v>#REF!</v>
      </c>
      <c r="AQ13" s="40" t="e">
        <f t="shared" ca="1" si="41"/>
        <v>#REF!</v>
      </c>
      <c r="AR13" s="40" t="e">
        <f t="shared" ca="1" si="42"/>
        <v>#REF!</v>
      </c>
      <c r="AS13" s="40" t="e">
        <f t="shared" ca="1" si="43"/>
        <v>#REF!</v>
      </c>
    </row>
    <row r="14" spans="1:45" s="98" customFormat="1" x14ac:dyDescent="0.25">
      <c r="A14" s="154" t="e">
        <f>PLANTILLA!#REF!</f>
        <v>#REF!</v>
      </c>
      <c r="B14" s="73" t="e">
        <f t="shared" si="0"/>
        <v>#REF!</v>
      </c>
      <c r="C14" s="139">
        <v>22</v>
      </c>
      <c r="D14" s="139">
        <v>91</v>
      </c>
      <c r="E14" s="148" t="e">
        <f>PLANTILLA!#REF!</f>
        <v>#REF!</v>
      </c>
      <c r="F14" s="140">
        <v>2862000</v>
      </c>
      <c r="G14" s="139" t="e">
        <f>PLANTILLA!#REF!</f>
        <v>#REF!</v>
      </c>
      <c r="H14" s="156" t="e">
        <f>PLANTILLA!#REF!</f>
        <v>#REF!</v>
      </c>
      <c r="I14" s="49" t="e">
        <f t="shared" si="1"/>
        <v>#REF!</v>
      </c>
      <c r="J14" s="155">
        <v>4910000</v>
      </c>
      <c r="K14" s="40" t="e">
        <f t="shared" si="2"/>
        <v>#REF!</v>
      </c>
      <c r="L14" s="74">
        <f t="shared" si="3"/>
        <v>2048000</v>
      </c>
      <c r="M14" s="76" t="e">
        <f>PLANTILLA!#REF!</f>
        <v>#REF!</v>
      </c>
      <c r="N14" s="76" t="e">
        <f t="shared" si="4"/>
        <v>#REF!</v>
      </c>
      <c r="O14" s="142" t="e">
        <f>PLANTILLA!#REF!</f>
        <v>#REF!</v>
      </c>
      <c r="P14" s="142" t="e">
        <f>PLANTILLA!#REF!</f>
        <v>#REF!</v>
      </c>
      <c r="Q14" s="142" t="e">
        <f>PLANTILLA!#REF!</f>
        <v>#REF!</v>
      </c>
      <c r="R14" s="144" t="e">
        <f>PLANTILLA!#REF!</f>
        <v>#REF!</v>
      </c>
      <c r="S14" s="144" t="e">
        <f>PLANTILLA!#REF!</f>
        <v>#REF!</v>
      </c>
      <c r="T14" s="144" t="e">
        <f>PLANTILLA!#REF!</f>
        <v>#REF!</v>
      </c>
      <c r="U14" s="144" t="e">
        <f>PLANTILLA!#REF!</f>
        <v>#REF!</v>
      </c>
      <c r="V14" s="144" t="e">
        <f>PLANTILLA!#REF!</f>
        <v>#REF!</v>
      </c>
      <c r="W14" s="144" t="e">
        <f>PLANTILLA!#REF!</f>
        <v>#REF!</v>
      </c>
      <c r="X14" s="144" t="e">
        <f>PLANTILLA!#REF!</f>
        <v>#REF!</v>
      </c>
      <c r="Y14" s="143" t="e">
        <f>PLANTILLA!#REF!</f>
        <v>#REF!</v>
      </c>
      <c r="Z14" s="143" t="e">
        <f t="shared" si="5"/>
        <v>#REF!</v>
      </c>
      <c r="AA14" s="9" t="e">
        <f t="shared" si="6"/>
        <v>#REF!</v>
      </c>
      <c r="AB14" s="9" t="e">
        <f t="shared" si="7"/>
        <v>#REF!</v>
      </c>
      <c r="AC14" s="9" t="e">
        <f t="shared" si="8"/>
        <v>#REF!</v>
      </c>
      <c r="AD14" s="9" t="e">
        <f t="shared" si="9"/>
        <v>#REF!</v>
      </c>
      <c r="AE14" s="40" t="e">
        <f t="shared" ca="1" si="10"/>
        <v>#REF!</v>
      </c>
      <c r="AF14" s="40" t="e">
        <f t="shared" ca="1" si="11"/>
        <v>#REF!</v>
      </c>
      <c r="AG14" s="40" t="e">
        <f t="shared" ca="1" si="31"/>
        <v>#REF!</v>
      </c>
      <c r="AH14" s="40" t="e">
        <f t="shared" ca="1" si="32"/>
        <v>#REF!</v>
      </c>
      <c r="AI14" s="40" t="e">
        <f t="shared" ca="1" si="33"/>
        <v>#REF!</v>
      </c>
      <c r="AJ14" s="40" t="e">
        <f t="shared" ca="1" si="34"/>
        <v>#REF!</v>
      </c>
      <c r="AK14" s="203" t="e">
        <f t="shared" ca="1" si="35"/>
        <v>#REF!</v>
      </c>
      <c r="AL14" s="40" t="e">
        <f t="shared" ca="1" si="36"/>
        <v>#REF!</v>
      </c>
      <c r="AM14" s="40" t="e">
        <f t="shared" ca="1" si="37"/>
        <v>#REF!</v>
      </c>
      <c r="AN14" s="40" t="e">
        <f t="shared" ca="1" si="38"/>
        <v>#REF!</v>
      </c>
      <c r="AO14" s="40" t="e">
        <f t="shared" ca="1" si="39"/>
        <v>#REF!</v>
      </c>
      <c r="AP14" s="40" t="e">
        <f t="shared" ca="1" si="40"/>
        <v>#REF!</v>
      </c>
      <c r="AQ14" s="40" t="e">
        <f t="shared" ca="1" si="41"/>
        <v>#REF!</v>
      </c>
      <c r="AR14" s="40" t="e">
        <f t="shared" ca="1" si="42"/>
        <v>#REF!</v>
      </c>
      <c r="AS14" s="40" t="e">
        <f t="shared" ca="1" si="43"/>
        <v>#REF!</v>
      </c>
    </row>
    <row r="15" spans="1:45" s="98" customFormat="1" x14ac:dyDescent="0.25">
      <c r="A15" s="154" t="str">
        <f>PLANTILLA!D23</f>
        <v>Adam Moss</v>
      </c>
      <c r="B15" s="73">
        <f t="shared" ca="1" si="0"/>
        <v>165680.87562189053</v>
      </c>
      <c r="C15" s="139">
        <v>23</v>
      </c>
      <c r="D15" s="139">
        <v>11</v>
      </c>
      <c r="E15" s="148">
        <f>PLANTILLA!M23</f>
        <v>42278</v>
      </c>
      <c r="F15" s="140">
        <v>2540000</v>
      </c>
      <c r="G15" s="139">
        <f>PLANTILLA!E23</f>
        <v>30</v>
      </c>
      <c r="H15" s="156">
        <f ca="1">PLANTILLA!F23</f>
        <v>31</v>
      </c>
      <c r="I15" s="49">
        <f t="shared" ca="1" si="1"/>
        <v>43082</v>
      </c>
      <c r="J15" s="155">
        <v>4910760</v>
      </c>
      <c r="K15" s="40">
        <f t="shared" ca="1" si="2"/>
        <v>7.1785714285714288</v>
      </c>
      <c r="L15" s="74">
        <f t="shared" si="3"/>
        <v>2370760</v>
      </c>
      <c r="M15" s="76">
        <f>PLANTILLA!V23</f>
        <v>30996</v>
      </c>
      <c r="N15" s="76">
        <f t="shared" ca="1" si="4"/>
        <v>3560112</v>
      </c>
      <c r="O15" s="142">
        <f>PLANTILLA!I23</f>
        <v>9.8000000000000007</v>
      </c>
      <c r="P15" s="142">
        <f>PLANTILLA!H23</f>
        <v>1</v>
      </c>
      <c r="Q15" s="142" t="str">
        <f>PLANTILLA!G23</f>
        <v>RAP</v>
      </c>
      <c r="R15" s="144">
        <f>PLANTILLA!X23</f>
        <v>0</v>
      </c>
      <c r="S15" s="144">
        <f>PLANTILLA!Y23</f>
        <v>3.2</v>
      </c>
      <c r="T15" s="144">
        <f>PLANTILLA!Z23</f>
        <v>14.399999999999999</v>
      </c>
      <c r="U15" s="144">
        <f>PLANTILLA!AA23</f>
        <v>2.2999999999999998</v>
      </c>
      <c r="V15" s="144">
        <f>PLANTILLA!AB23</f>
        <v>14.266</v>
      </c>
      <c r="W15" s="144">
        <f>PLANTILLA!AC23</f>
        <v>9.0999999999999961</v>
      </c>
      <c r="X15" s="144">
        <f>PLANTILLA!AD23</f>
        <v>16.299999999999997</v>
      </c>
      <c r="Y15" s="143">
        <f>PLANTILLA!AE23</f>
        <v>1881</v>
      </c>
      <c r="Z15" s="143">
        <f t="shared" si="5"/>
        <v>9.8000000000000007</v>
      </c>
      <c r="AA15" s="9">
        <f t="shared" si="6"/>
        <v>4.3414999999999999</v>
      </c>
      <c r="AB15" s="9">
        <f t="shared" si="7"/>
        <v>14.139999999999995</v>
      </c>
      <c r="AC15" s="9">
        <f t="shared" si="8"/>
        <v>0.94399999999999973</v>
      </c>
      <c r="AD15" s="9">
        <f t="shared" si="9"/>
        <v>0.61699999999999988</v>
      </c>
      <c r="AE15" s="40">
        <f t="shared" ca="1" si="10"/>
        <v>2.8491635400764364</v>
      </c>
      <c r="AF15" s="40">
        <f t="shared" ca="1" si="11"/>
        <v>5.5216347675899931</v>
      </c>
      <c r="AG15" s="40">
        <f t="shared" ca="1" si="31"/>
        <v>3.9797490746864184</v>
      </c>
      <c r="AH15" s="40">
        <f t="shared" ca="1" si="32"/>
        <v>5.0799039861827939</v>
      </c>
      <c r="AI15" s="40">
        <f t="shared" ca="1" si="33"/>
        <v>2.2859567937822569</v>
      </c>
      <c r="AJ15" s="40">
        <f t="shared" ca="1" si="34"/>
        <v>2.7925130061875292</v>
      </c>
      <c r="AK15" s="203">
        <f t="shared" ca="1" si="35"/>
        <v>2.7175212433429157</v>
      </c>
      <c r="AL15" s="40">
        <f t="shared" ca="1" si="36"/>
        <v>2.2086539070359974</v>
      </c>
      <c r="AM15" s="40">
        <f t="shared" ca="1" si="37"/>
        <v>16.721634767589993</v>
      </c>
      <c r="AN15" s="40">
        <f t="shared" ca="1" si="38"/>
        <v>8.0549267569420842</v>
      </c>
      <c r="AO15" s="40">
        <f t="shared" ca="1" si="39"/>
        <v>5.1000986041149474</v>
      </c>
      <c r="AP15" s="40">
        <f t="shared" ca="1" si="40"/>
        <v>9.365698311120731</v>
      </c>
      <c r="AQ15" s="40">
        <f t="shared" ca="1" si="41"/>
        <v>6.788983715641538</v>
      </c>
      <c r="AR15" s="40">
        <f t="shared" ca="1" si="42"/>
        <v>6.694575713914384</v>
      </c>
      <c r="AS15" s="40">
        <f t="shared" ca="1" si="43"/>
        <v>15.665898748306329</v>
      </c>
    </row>
    <row r="16" spans="1:45" s="98" customFormat="1" x14ac:dyDescent="0.25">
      <c r="A16" s="154" t="str">
        <f>PLANTILLA!D24</f>
        <v>Rasheed Da'na</v>
      </c>
      <c r="B16" s="73">
        <f t="shared" ca="1" si="0"/>
        <v>-104916.8098159509</v>
      </c>
      <c r="C16" s="139">
        <v>22</v>
      </c>
      <c r="D16" s="139">
        <v>57</v>
      </c>
      <c r="E16" s="148">
        <f>PLANTILLA!M24</f>
        <v>42267</v>
      </c>
      <c r="F16" s="140">
        <v>2652000</v>
      </c>
      <c r="G16" s="139">
        <f>PLANTILLA!E24</f>
        <v>29</v>
      </c>
      <c r="H16" s="156">
        <f ca="1">PLANTILLA!F24</f>
        <v>88</v>
      </c>
      <c r="I16" s="49">
        <f t="shared" ca="1" si="1"/>
        <v>43082</v>
      </c>
      <c r="J16" s="155">
        <v>7062000</v>
      </c>
      <c r="K16" s="40">
        <f t="shared" ca="1" si="2"/>
        <v>7.2767857142857144</v>
      </c>
      <c r="L16" s="74">
        <f t="shared" si="3"/>
        <v>4410000</v>
      </c>
      <c r="M16" s="76">
        <f>PLANTILLA!V24</f>
        <v>31320</v>
      </c>
      <c r="N16" s="76">
        <f t="shared" ca="1" si="4"/>
        <v>3646542.8571428573</v>
      </c>
      <c r="O16" s="142">
        <f>PLANTILLA!I24</f>
        <v>9.5</v>
      </c>
      <c r="P16" s="142">
        <f>PLANTILLA!H24</f>
        <v>1</v>
      </c>
      <c r="Q16" s="142" t="str">
        <f>PLANTILLA!G24</f>
        <v>RAP</v>
      </c>
      <c r="R16" s="144">
        <f>PLANTILLA!X24</f>
        <v>0</v>
      </c>
      <c r="S16" s="144">
        <f>PLANTILLA!Y24</f>
        <v>2.0384615384615383</v>
      </c>
      <c r="T16" s="144">
        <f>PLANTILLA!Z24</f>
        <v>13.499999999999998</v>
      </c>
      <c r="U16" s="144">
        <f>PLANTILLA!AA24</f>
        <v>4.0999999999999996</v>
      </c>
      <c r="V16" s="144">
        <f>PLANTILLA!AB24</f>
        <v>14.352222222222222</v>
      </c>
      <c r="W16" s="144">
        <f>PLANTILLA!AC24</f>
        <v>10.095333333333334</v>
      </c>
      <c r="X16" s="144">
        <f>PLANTILLA!AD24</f>
        <v>15.399999999999999</v>
      </c>
      <c r="Y16" s="143">
        <f>PLANTILLA!AE24</f>
        <v>1804</v>
      </c>
      <c r="Z16" s="143">
        <f t="shared" si="5"/>
        <v>9.5</v>
      </c>
      <c r="AA16" s="9">
        <f t="shared" si="6"/>
        <v>4.2178632478632476</v>
      </c>
      <c r="AB16" s="9">
        <f t="shared" si="7"/>
        <v>13.808599999999998</v>
      </c>
      <c r="AC16" s="9">
        <f t="shared" si="8"/>
        <v>0.96676666666666655</v>
      </c>
      <c r="AD16" s="9">
        <f t="shared" si="9"/>
        <v>0.54353846153846141</v>
      </c>
      <c r="AE16" s="40">
        <f t="shared" ca="1" si="10"/>
        <v>2.240519994284881</v>
      </c>
      <c r="AF16" s="40">
        <f t="shared" ca="1" si="11"/>
        <v>4.3420930121800021</v>
      </c>
      <c r="AG16" s="40">
        <f t="shared" ca="1" si="31"/>
        <v>3.7612642907449936</v>
      </c>
      <c r="AH16" s="40">
        <f t="shared" ca="1" si="32"/>
        <v>3.9947255712056022</v>
      </c>
      <c r="AI16" s="40">
        <f t="shared" ca="1" si="33"/>
        <v>1.7976265070425208</v>
      </c>
      <c r="AJ16" s="40">
        <f t="shared" ca="1" si="34"/>
        <v>2.6392064561109834</v>
      </c>
      <c r="AK16" s="203">
        <f t="shared" ca="1" si="35"/>
        <v>3.7653353065464561</v>
      </c>
      <c r="AL16" s="40">
        <f t="shared" ca="1" si="36"/>
        <v>1.7368372048720009</v>
      </c>
      <c r="AM16" s="40">
        <f t="shared" ca="1" si="37"/>
        <v>15.803631473718461</v>
      </c>
      <c r="AN16" s="40">
        <f t="shared" ca="1" si="38"/>
        <v>8.2834287197966514</v>
      </c>
      <c r="AO16" s="40">
        <f t="shared" ca="1" si="39"/>
        <v>4.8201075994841309</v>
      </c>
      <c r="AP16" s="40">
        <f t="shared" ca="1" si="40"/>
        <v>11.167205630757499</v>
      </c>
      <c r="AQ16" s="40">
        <f t="shared" ca="1" si="41"/>
        <v>6.416274378329696</v>
      </c>
      <c r="AR16" s="40">
        <f t="shared" ca="1" si="42"/>
        <v>7.0728526644739853</v>
      </c>
      <c r="AS16" s="40">
        <f t="shared" ca="1" si="43"/>
        <v>16.272725039406989</v>
      </c>
    </row>
    <row r="17" spans="1:45" x14ac:dyDescent="0.25">
      <c r="O17"/>
      <c r="P17"/>
      <c r="Q17"/>
      <c r="AE17" t="s">
        <v>196</v>
      </c>
      <c r="AH17" t="s">
        <v>197</v>
      </c>
      <c r="AL17" t="s">
        <v>80</v>
      </c>
      <c r="AM17" s="40"/>
      <c r="AN17" s="40"/>
      <c r="AO17" t="s">
        <v>82</v>
      </c>
      <c r="AP17" s="40"/>
      <c r="AQ17" t="s">
        <v>84</v>
      </c>
      <c r="AR17" s="40"/>
      <c r="AS17" s="40"/>
    </row>
    <row r="18" spans="1:45" x14ac:dyDescent="0.25">
      <c r="O18"/>
      <c r="P18"/>
      <c r="Q18"/>
      <c r="AE18" s="48" t="s">
        <v>95</v>
      </c>
      <c r="AF18" s="48" t="s">
        <v>96</v>
      </c>
      <c r="AG18" s="48" t="s">
        <v>97</v>
      </c>
      <c r="AH18" s="202" t="s">
        <v>95</v>
      </c>
      <c r="AI18" s="202" t="s">
        <v>96</v>
      </c>
      <c r="AJ18" s="202" t="s">
        <v>97</v>
      </c>
      <c r="AK18" s="202" t="s">
        <v>98</v>
      </c>
      <c r="AL18" s="47" t="s">
        <v>96</v>
      </c>
      <c r="AM18" s="47" t="s">
        <v>97</v>
      </c>
      <c r="AN18" s="47" t="s">
        <v>99</v>
      </c>
      <c r="AO18" s="47" t="s">
        <v>97</v>
      </c>
      <c r="AP18" s="47" t="s">
        <v>98</v>
      </c>
      <c r="AQ18" s="48" t="s">
        <v>97</v>
      </c>
      <c r="AR18" s="48" t="s">
        <v>98</v>
      </c>
      <c r="AS18" s="48" t="s">
        <v>99</v>
      </c>
    </row>
    <row r="19" spans="1:45" x14ac:dyDescent="0.25">
      <c r="A19" s="154"/>
      <c r="B19" s="73">
        <f t="shared" ref="B19:B28" si="69">(N19+F19-J19)/K19</f>
        <v>-59090.909090909088</v>
      </c>
      <c r="E19" s="148">
        <v>42826</v>
      </c>
      <c r="G19" s="139">
        <v>33</v>
      </c>
      <c r="H19" s="139">
        <v>0</v>
      </c>
      <c r="I19" s="49">
        <f t="shared" ref="I19:I28" si="70">E19+(H19-D19+(G19-C19)*112)</f>
        <v>46522</v>
      </c>
      <c r="J19" s="76">
        <v>1950000</v>
      </c>
      <c r="K19" s="40">
        <f t="shared" ref="K19:K28" si="71">(I19-E19)/112</f>
        <v>33</v>
      </c>
      <c r="L19" s="74">
        <f t="shared" ref="L19:L28" si="72">J19-F19</f>
        <v>1950000</v>
      </c>
      <c r="M19" s="76"/>
      <c r="N19" s="76">
        <f t="shared" ref="N19:N28" si="73">((G19-C19)*M19*16)+(H19-D19)/7*M19</f>
        <v>0</v>
      </c>
      <c r="O19" s="142"/>
      <c r="P19" s="142"/>
      <c r="Q19" s="142"/>
      <c r="R19" s="144"/>
      <c r="S19" s="144"/>
      <c r="T19" s="144"/>
      <c r="U19" s="144"/>
      <c r="V19" s="144"/>
      <c r="W19" s="144"/>
      <c r="X19" s="144"/>
      <c r="Y19" s="143"/>
      <c r="Z19" s="143">
        <f t="shared" ref="Z19:Z28" si="74">O19*P19*P19</f>
        <v>0</v>
      </c>
      <c r="AA19" s="9">
        <f t="shared" ref="AA19:AA28" si="75">((S19+1)+(V19+1)*2)/8</f>
        <v>0.375</v>
      </c>
      <c r="AB19" s="9">
        <f t="shared" ref="AB19:AB28" si="76">X19*0.7+W19*0.3</f>
        <v>0</v>
      </c>
      <c r="AC19" s="9">
        <f t="shared" ref="AC19:AC28" si="77">(0.5*W19+ 0.3*X19)/10</f>
        <v>0</v>
      </c>
      <c r="AD19" s="9">
        <f t="shared" ref="AD19:AD28" si="78">(0.4*S19+0.3*X19)/10</f>
        <v>0</v>
      </c>
      <c r="AE19" s="40" t="e">
        <f t="shared" ref="AE19:AE28" ca="1" si="79">IF(TODAY()-E19&gt;335,((S19+1+(LOG(O19)*4/3))*0.516),((S19+(((TODAY()-E19)^0.5)/(336^0.516))+(LOG(O19)*4/3))*0.516))</f>
        <v>#NUM!</v>
      </c>
      <c r="AF19" s="40" t="e">
        <f t="shared" ref="AF19:AF28" ca="1" si="80">IF(TODAY()-E19&gt;335,((S19+1+(LOG(O19)*4/3))*1),((S19+(((TODAY()-E19)^0.5)/(336^0.5))+(LOG(O19)*4/3))*1))</f>
        <v>#NUM!</v>
      </c>
      <c r="AG19" s="40" t="e">
        <f t="shared" ref="AG19:AG28" ca="1" si="81">IF(TODAY()-E19&gt;335,((T19+1+(LOG(O19)*4/3))*0.238),((T19+(((TODAY()-E19)^0.5)/(336^0.238))+(LOG(O19)*4/3))*0.238))</f>
        <v>#NUM!</v>
      </c>
      <c r="AH19" s="40" t="e">
        <f t="shared" ref="AH19:AH28" ca="1" si="82">IF(TODAY()-E19&gt;335,((S19+1+(LOG(O19)*4/3))*0.92),((S19+(((TODAY()-E19)^0.5)/(336^0.5))+(LOG(O19)*4/3))*0.92))</f>
        <v>#NUM!</v>
      </c>
      <c r="AI19" s="40" t="e">
        <f t="shared" ref="AI19:AI28" ca="1" si="83">IF(TODAY()-E19&gt;335,((S19+1+(LOG(O19)*4/3))*0.414),((S19+(((TODAY()-E19)^0.5)/(336^0.414))+(LOG(O19)*4/3))*0.414))</f>
        <v>#NUM!</v>
      </c>
      <c r="AJ19" s="40" t="e">
        <f t="shared" ref="AJ19:AJ28" ca="1" si="84">IF(TODAY()-E19&gt;335,((T19+1+(LOG(O19)*4/3))*0.167),((T19+(((TODAY()-E19)^0.5)/(336^0.5))+(LOG(O19)*4/3))*0.167))</f>
        <v>#NUM!</v>
      </c>
      <c r="AK19" s="203" t="e">
        <f t="shared" ref="AK19:AK28" ca="1" si="85">IF(TODAY()-E19&gt;335,((U19+1+(LOG(O19)*4/3))*0.588),((U19+(((TODAY()-E19)^0.5)/(336^0.5))+(LOG(O19)*4/3))*0.588))</f>
        <v>#NUM!</v>
      </c>
      <c r="AL19" s="40" t="e">
        <f t="shared" ref="AL19:AL28" ca="1" si="86">IF(TODAY()-E19&gt;335,((S19+1+(LOG(O19)*4/3))*0.4),((S19+(((TODAY()-E19)^0.5)/(336^0.5))+(LOG(O19)*4/3))*0.4))</f>
        <v>#NUM!</v>
      </c>
      <c r="AM19" s="40" t="e">
        <f t="shared" ref="AM19:AM28" ca="1" si="87">IF(TODAY()-E19&gt;335,((T19+1+(LOG(O19)*4/3))*1),((T19+(((TODAY()-E19)^0.5)/(336^0.5))+(LOG(O19)*4/3))*1))</f>
        <v>#NUM!</v>
      </c>
      <c r="AN19" s="40" t="e">
        <f t="shared" ref="AN19:AN28" ca="1" si="88">IF(TODAY()-E19&gt;335,((W19+1+(LOG(O19)*4/3))*0.21)+((V19+1+(LOG(O19)*4/3))*0.341),((W19+(((TODAY()-E19)^0.5)/(336^0.5))+(LOG(O19)*4/3))*0.21)+((V19+(((TODAY()-E19)^0.5)/(336^0.5))+(LOG(O19)*4/3))*0.341))</f>
        <v>#NUM!</v>
      </c>
      <c r="AO19" s="40" t="e">
        <f t="shared" ref="AO19:AO28" ca="1" si="89">IF(TODAY()-E19&gt;335,((T19+1+(LOG(O19)*4/3))*0.305),((T19+(((TODAY()-E19)^0.5)/(336^0.5))+(LOG(O19)*4/3))*0.305))</f>
        <v>#NUM!</v>
      </c>
      <c r="AP19" s="40" t="e">
        <f t="shared" ref="AP19:AP28" ca="1" si="90">IF(TODAY()-E19&gt;335,((U19+1+(LOG(O19)*4/3))*1)+((V19+1+(LOG(O19)*4/3))*0.286),((U19+(((TODAY()-E19)^0.5)/(336^0.5))+(LOG(O19)*4/3))*1)+((V19+(((TODAY()-E19)^0.5)/(336^0.5))+(LOG(O19)*4/3))*0.286))</f>
        <v>#NUM!</v>
      </c>
      <c r="AQ19" s="40" t="e">
        <f t="shared" ref="AQ19:AQ28" ca="1" si="91">IF(TODAY()-E19&gt;335,((T19+1+(LOG(O19)*4/3))*0.406),((T19+(((TODAY()-E19)^0.5)/(336^0.5))+(LOG(O19)*4/3))*0.406))</f>
        <v>#NUM!</v>
      </c>
      <c r="AR19" s="40" t="e">
        <f t="shared" ref="AR19:AR28" ca="1" si="92">IF(Q19="TEC",IF(TODAY()-E19&gt;335,((V19+1+(LOG(O19)*4/3))*0.15)+((V19+1+(LOG(O19)*4/3))*0.324)+((W19+1+(LOG(O19)*4/3))*0.127),((U19+(((TODAY()-E19)^0.5)/(336^0.5))+(LOG(O19)*4/3))*0.15)+((V19+(((TODAY()-E19)^0.5)/(336^0.5))+(LOG(O19)*4/3))*0.324)+((W19+(((TODAY()-E19)^0.5)/(336^0.5))+(LOG(O19)*4/3))*0.127)),IF(TODAY()-E19&gt;335,((V19+1+(LOG(O19)*4/3))*0.144)+((W19+1+(LOG(O19)*4/3))*0.25)+((W19+1+(LOG(O19)*4/3))*0.127),((U19+(((TODAY()-E19)^0.5)/(336^0.5))+(LOG(O19)*4/3))*0.144)+((V19+(((TODAY()-E19)^0.5)/(336^0.5))+(LOG(O19)*4/3))*0.25)+((W19+(((TODAY()-E19)^0.5)/(336^0.5))+(LOG(O19)*4/3))*0.127)))</f>
        <v>#NUM!</v>
      </c>
      <c r="AS19" s="40" t="e">
        <f t="shared" ref="AS19:AS28" ca="1" si="93">IF(Q19="TEC",IF(TODAY()-E19&gt;335,((V19+1+(LOG(O19)*4/3))*0.543)+((W19+1+(LOG(O19)*4/3))*0.583),((V19+(((TODAY()-E19)^0.5)/(336^0.5))+(LOG(O19)*4/3))*0.543)+((W19+(((TODAY()-E19)^0.5)/(336^0.5))+(LOG(O19)*4/3))*0.583)),IF(TODAY()-E19&gt;335,((V19+1+(LOG(O19)*4/3))*0.543)+((W19+1+(LOG(O19)*4/3))*0.583),((V19+(((TODAY()-E19)^0.5)/(336^0.5))+(LOG(O19)*4/3))*0.543)+((W19+(((TODAY()-E19)^0.5)/(336^0.5))+(LOG(O19)*4/3))*0.583)))</f>
        <v>#NUM!</v>
      </c>
    </row>
    <row r="20" spans="1:45" x14ac:dyDescent="0.25">
      <c r="A20" s="154"/>
      <c r="B20" s="73">
        <f t="shared" si="69"/>
        <v>-59090.909090909088</v>
      </c>
      <c r="E20" s="148">
        <v>42826</v>
      </c>
      <c r="G20" s="139">
        <v>33</v>
      </c>
      <c r="H20" s="139">
        <v>0</v>
      </c>
      <c r="I20" s="49">
        <f t="shared" si="70"/>
        <v>46522</v>
      </c>
      <c r="J20" s="76">
        <v>1950000</v>
      </c>
      <c r="K20" s="40">
        <f t="shared" si="71"/>
        <v>33</v>
      </c>
      <c r="L20" s="74">
        <f t="shared" si="72"/>
        <v>1950000</v>
      </c>
      <c r="M20" s="76"/>
      <c r="N20" s="76">
        <f t="shared" si="73"/>
        <v>0</v>
      </c>
      <c r="O20" s="142"/>
      <c r="P20" s="142"/>
      <c r="Q20" s="142"/>
      <c r="R20" s="144"/>
      <c r="S20" s="144"/>
      <c r="T20" s="144"/>
      <c r="U20" s="144"/>
      <c r="V20" s="144"/>
      <c r="W20" s="144"/>
      <c r="X20" s="144"/>
      <c r="Y20" s="143"/>
      <c r="Z20" s="143">
        <f t="shared" si="74"/>
        <v>0</v>
      </c>
      <c r="AA20" s="9">
        <f t="shared" si="75"/>
        <v>0.375</v>
      </c>
      <c r="AB20" s="9">
        <f t="shared" si="76"/>
        <v>0</v>
      </c>
      <c r="AC20" s="9">
        <f t="shared" si="77"/>
        <v>0</v>
      </c>
      <c r="AD20" s="9">
        <f t="shared" si="78"/>
        <v>0</v>
      </c>
      <c r="AE20" s="40" t="e">
        <f t="shared" ca="1" si="79"/>
        <v>#NUM!</v>
      </c>
      <c r="AF20" s="40" t="e">
        <f t="shared" ca="1" si="80"/>
        <v>#NUM!</v>
      </c>
      <c r="AG20" s="40" t="e">
        <f t="shared" ca="1" si="81"/>
        <v>#NUM!</v>
      </c>
      <c r="AH20" s="40" t="e">
        <f t="shared" ca="1" si="82"/>
        <v>#NUM!</v>
      </c>
      <c r="AI20" s="40" t="e">
        <f t="shared" ca="1" si="83"/>
        <v>#NUM!</v>
      </c>
      <c r="AJ20" s="40" t="e">
        <f t="shared" ca="1" si="84"/>
        <v>#NUM!</v>
      </c>
      <c r="AK20" s="203" t="e">
        <f t="shared" ca="1" si="85"/>
        <v>#NUM!</v>
      </c>
      <c r="AL20" s="40" t="e">
        <f t="shared" ca="1" si="86"/>
        <v>#NUM!</v>
      </c>
      <c r="AM20" s="40" t="e">
        <f t="shared" ca="1" si="87"/>
        <v>#NUM!</v>
      </c>
      <c r="AN20" s="40" t="e">
        <f t="shared" ca="1" si="88"/>
        <v>#NUM!</v>
      </c>
      <c r="AO20" s="40" t="e">
        <f t="shared" ca="1" si="89"/>
        <v>#NUM!</v>
      </c>
      <c r="AP20" s="40" t="e">
        <f t="shared" ca="1" si="90"/>
        <v>#NUM!</v>
      </c>
      <c r="AQ20" s="40" t="e">
        <f t="shared" ca="1" si="91"/>
        <v>#NUM!</v>
      </c>
      <c r="AR20" s="40" t="e">
        <f t="shared" ca="1" si="92"/>
        <v>#NUM!</v>
      </c>
      <c r="AS20" s="40" t="e">
        <f t="shared" ca="1" si="93"/>
        <v>#NUM!</v>
      </c>
    </row>
    <row r="21" spans="1:45" x14ac:dyDescent="0.25">
      <c r="A21" s="154"/>
      <c r="B21" s="73">
        <f t="shared" si="69"/>
        <v>-59090.909090909088</v>
      </c>
      <c r="E21" s="148">
        <v>42826</v>
      </c>
      <c r="G21" s="139">
        <v>33</v>
      </c>
      <c r="H21" s="139">
        <v>0</v>
      </c>
      <c r="I21" s="49">
        <f t="shared" si="70"/>
        <v>46522</v>
      </c>
      <c r="J21" s="76">
        <v>1950000</v>
      </c>
      <c r="K21" s="40">
        <f t="shared" si="71"/>
        <v>33</v>
      </c>
      <c r="L21" s="74">
        <f t="shared" si="72"/>
        <v>1950000</v>
      </c>
      <c r="M21" s="76"/>
      <c r="N21" s="76">
        <f t="shared" si="73"/>
        <v>0</v>
      </c>
      <c r="O21" s="142"/>
      <c r="P21" s="142"/>
      <c r="Q21" s="142"/>
      <c r="R21" s="144"/>
      <c r="S21" s="144"/>
      <c r="T21" s="144"/>
      <c r="U21" s="144"/>
      <c r="V21" s="144"/>
      <c r="W21" s="144"/>
      <c r="X21" s="144"/>
      <c r="Y21" s="143"/>
      <c r="Z21" s="143">
        <f t="shared" si="74"/>
        <v>0</v>
      </c>
      <c r="AA21" s="9">
        <f t="shared" si="75"/>
        <v>0.375</v>
      </c>
      <c r="AB21" s="9">
        <f t="shared" si="76"/>
        <v>0</v>
      </c>
      <c r="AC21" s="9">
        <f t="shared" si="77"/>
        <v>0</v>
      </c>
      <c r="AD21" s="9">
        <f t="shared" si="78"/>
        <v>0</v>
      </c>
      <c r="AE21" s="40" t="e">
        <f t="shared" ca="1" si="79"/>
        <v>#NUM!</v>
      </c>
      <c r="AF21" s="40" t="e">
        <f t="shared" ca="1" si="80"/>
        <v>#NUM!</v>
      </c>
      <c r="AG21" s="40" t="e">
        <f t="shared" ca="1" si="81"/>
        <v>#NUM!</v>
      </c>
      <c r="AH21" s="40" t="e">
        <f t="shared" ca="1" si="82"/>
        <v>#NUM!</v>
      </c>
      <c r="AI21" s="40" t="e">
        <f t="shared" ca="1" si="83"/>
        <v>#NUM!</v>
      </c>
      <c r="AJ21" s="40" t="e">
        <f t="shared" ca="1" si="84"/>
        <v>#NUM!</v>
      </c>
      <c r="AK21" s="203" t="e">
        <f t="shared" ca="1" si="85"/>
        <v>#NUM!</v>
      </c>
      <c r="AL21" s="40" t="e">
        <f t="shared" ca="1" si="86"/>
        <v>#NUM!</v>
      </c>
      <c r="AM21" s="40" t="e">
        <f t="shared" ca="1" si="87"/>
        <v>#NUM!</v>
      </c>
      <c r="AN21" s="40" t="e">
        <f t="shared" ca="1" si="88"/>
        <v>#NUM!</v>
      </c>
      <c r="AO21" s="40" t="e">
        <f t="shared" ca="1" si="89"/>
        <v>#NUM!</v>
      </c>
      <c r="AP21" s="40" t="e">
        <f t="shared" ca="1" si="90"/>
        <v>#NUM!</v>
      </c>
      <c r="AQ21" s="40" t="e">
        <f t="shared" ca="1" si="91"/>
        <v>#NUM!</v>
      </c>
      <c r="AR21" s="40" t="e">
        <f t="shared" ca="1" si="92"/>
        <v>#NUM!</v>
      </c>
      <c r="AS21" s="40" t="e">
        <f t="shared" ca="1" si="93"/>
        <v>#NUM!</v>
      </c>
    </row>
    <row r="22" spans="1:45" x14ac:dyDescent="0.25">
      <c r="A22" s="154"/>
      <c r="B22" s="73">
        <f t="shared" si="69"/>
        <v>-59090.909090909088</v>
      </c>
      <c r="E22" s="148">
        <v>42826</v>
      </c>
      <c r="G22" s="139">
        <v>33</v>
      </c>
      <c r="H22" s="139">
        <v>0</v>
      </c>
      <c r="I22" s="49">
        <f t="shared" si="70"/>
        <v>46522</v>
      </c>
      <c r="J22" s="76">
        <v>1950000</v>
      </c>
      <c r="K22" s="40">
        <f t="shared" si="71"/>
        <v>33</v>
      </c>
      <c r="L22" s="74">
        <f t="shared" si="72"/>
        <v>1950000</v>
      </c>
      <c r="M22" s="76"/>
      <c r="N22" s="76">
        <f t="shared" si="73"/>
        <v>0</v>
      </c>
      <c r="O22" s="142"/>
      <c r="P22" s="142"/>
      <c r="Q22" s="142"/>
      <c r="R22" s="144"/>
      <c r="S22" s="144"/>
      <c r="T22" s="144"/>
      <c r="U22" s="144"/>
      <c r="V22" s="144"/>
      <c r="W22" s="144"/>
      <c r="X22" s="144"/>
      <c r="Y22" s="143"/>
      <c r="Z22" s="143">
        <f t="shared" si="74"/>
        <v>0</v>
      </c>
      <c r="AA22" s="9">
        <f t="shared" si="75"/>
        <v>0.375</v>
      </c>
      <c r="AB22" s="9">
        <f t="shared" si="76"/>
        <v>0</v>
      </c>
      <c r="AC22" s="9">
        <f t="shared" si="77"/>
        <v>0</v>
      </c>
      <c r="AD22" s="9">
        <f t="shared" si="78"/>
        <v>0</v>
      </c>
      <c r="AE22" s="40" t="e">
        <f t="shared" ca="1" si="79"/>
        <v>#NUM!</v>
      </c>
      <c r="AF22" s="40" t="e">
        <f t="shared" ca="1" si="80"/>
        <v>#NUM!</v>
      </c>
      <c r="AG22" s="40" t="e">
        <f t="shared" ca="1" si="81"/>
        <v>#NUM!</v>
      </c>
      <c r="AH22" s="40" t="e">
        <f t="shared" ca="1" si="82"/>
        <v>#NUM!</v>
      </c>
      <c r="AI22" s="40" t="e">
        <f t="shared" ca="1" si="83"/>
        <v>#NUM!</v>
      </c>
      <c r="AJ22" s="40" t="e">
        <f t="shared" ca="1" si="84"/>
        <v>#NUM!</v>
      </c>
      <c r="AK22" s="203" t="e">
        <f t="shared" ca="1" si="85"/>
        <v>#NUM!</v>
      </c>
      <c r="AL22" s="40" t="e">
        <f t="shared" ca="1" si="86"/>
        <v>#NUM!</v>
      </c>
      <c r="AM22" s="40" t="e">
        <f t="shared" ca="1" si="87"/>
        <v>#NUM!</v>
      </c>
      <c r="AN22" s="40" t="e">
        <f t="shared" ca="1" si="88"/>
        <v>#NUM!</v>
      </c>
      <c r="AO22" s="40" t="e">
        <f t="shared" ca="1" si="89"/>
        <v>#NUM!</v>
      </c>
      <c r="AP22" s="40" t="e">
        <f t="shared" ca="1" si="90"/>
        <v>#NUM!</v>
      </c>
      <c r="AQ22" s="40" t="e">
        <f t="shared" ca="1" si="91"/>
        <v>#NUM!</v>
      </c>
      <c r="AR22" s="40" t="e">
        <f t="shared" ca="1" si="92"/>
        <v>#NUM!</v>
      </c>
      <c r="AS22" s="40" t="e">
        <f t="shared" ca="1" si="93"/>
        <v>#NUM!</v>
      </c>
    </row>
    <row r="23" spans="1:45" x14ac:dyDescent="0.25">
      <c r="A23" s="154"/>
      <c r="B23" s="73">
        <f t="shared" si="69"/>
        <v>-59090.909090909088</v>
      </c>
      <c r="E23" s="148">
        <v>42826</v>
      </c>
      <c r="G23" s="139">
        <v>33</v>
      </c>
      <c r="H23" s="139">
        <v>0</v>
      </c>
      <c r="I23" s="49">
        <f t="shared" si="70"/>
        <v>46522</v>
      </c>
      <c r="J23" s="76">
        <v>1950000</v>
      </c>
      <c r="K23" s="40">
        <f t="shared" si="71"/>
        <v>33</v>
      </c>
      <c r="L23" s="74">
        <f t="shared" si="72"/>
        <v>1950000</v>
      </c>
      <c r="M23" s="76"/>
      <c r="N23" s="76">
        <f t="shared" si="73"/>
        <v>0</v>
      </c>
      <c r="O23" s="142"/>
      <c r="P23" s="142"/>
      <c r="Q23" s="142"/>
      <c r="R23" s="144"/>
      <c r="S23" s="144"/>
      <c r="T23" s="144"/>
      <c r="U23" s="144"/>
      <c r="V23" s="144"/>
      <c r="W23" s="144"/>
      <c r="X23" s="144"/>
      <c r="Y23" s="143"/>
      <c r="Z23" s="143">
        <f t="shared" si="74"/>
        <v>0</v>
      </c>
      <c r="AA23" s="9">
        <f t="shared" si="75"/>
        <v>0.375</v>
      </c>
      <c r="AB23" s="9">
        <f t="shared" si="76"/>
        <v>0</v>
      </c>
      <c r="AC23" s="9">
        <f t="shared" si="77"/>
        <v>0</v>
      </c>
      <c r="AD23" s="9">
        <f t="shared" si="78"/>
        <v>0</v>
      </c>
      <c r="AE23" s="40" t="e">
        <f t="shared" ca="1" si="79"/>
        <v>#NUM!</v>
      </c>
      <c r="AF23" s="40" t="e">
        <f t="shared" ca="1" si="80"/>
        <v>#NUM!</v>
      </c>
      <c r="AG23" s="40" t="e">
        <f t="shared" ca="1" si="81"/>
        <v>#NUM!</v>
      </c>
      <c r="AH23" s="40" t="e">
        <f t="shared" ca="1" si="82"/>
        <v>#NUM!</v>
      </c>
      <c r="AI23" s="40" t="e">
        <f t="shared" ca="1" si="83"/>
        <v>#NUM!</v>
      </c>
      <c r="AJ23" s="40" t="e">
        <f t="shared" ca="1" si="84"/>
        <v>#NUM!</v>
      </c>
      <c r="AK23" s="203" t="e">
        <f t="shared" ca="1" si="85"/>
        <v>#NUM!</v>
      </c>
      <c r="AL23" s="40" t="e">
        <f t="shared" ca="1" si="86"/>
        <v>#NUM!</v>
      </c>
      <c r="AM23" s="40" t="e">
        <f t="shared" ca="1" si="87"/>
        <v>#NUM!</v>
      </c>
      <c r="AN23" s="40" t="e">
        <f t="shared" ca="1" si="88"/>
        <v>#NUM!</v>
      </c>
      <c r="AO23" s="40" t="e">
        <f t="shared" ca="1" si="89"/>
        <v>#NUM!</v>
      </c>
      <c r="AP23" s="40" t="e">
        <f t="shared" ca="1" si="90"/>
        <v>#NUM!</v>
      </c>
      <c r="AQ23" s="40" t="e">
        <f t="shared" ca="1" si="91"/>
        <v>#NUM!</v>
      </c>
      <c r="AR23" s="40" t="e">
        <f t="shared" ca="1" si="92"/>
        <v>#NUM!</v>
      </c>
      <c r="AS23" s="40" t="e">
        <f t="shared" ca="1" si="93"/>
        <v>#NUM!</v>
      </c>
    </row>
    <row r="24" spans="1:45" x14ac:dyDescent="0.25">
      <c r="A24" s="154"/>
      <c r="B24" s="73">
        <f t="shared" si="69"/>
        <v>-59090.909090909088</v>
      </c>
      <c r="E24" s="148">
        <v>42826</v>
      </c>
      <c r="G24" s="139">
        <v>33</v>
      </c>
      <c r="H24" s="139">
        <v>0</v>
      </c>
      <c r="I24" s="49">
        <f t="shared" si="70"/>
        <v>46522</v>
      </c>
      <c r="J24" s="76">
        <v>1950000</v>
      </c>
      <c r="K24" s="40">
        <f t="shared" si="71"/>
        <v>33</v>
      </c>
      <c r="L24" s="74">
        <f t="shared" si="72"/>
        <v>1950000</v>
      </c>
      <c r="M24" s="76"/>
      <c r="N24" s="76">
        <f t="shared" si="73"/>
        <v>0</v>
      </c>
      <c r="O24" s="142"/>
      <c r="P24" s="142"/>
      <c r="Q24" s="142"/>
      <c r="R24" s="144"/>
      <c r="S24" s="144"/>
      <c r="T24" s="144"/>
      <c r="U24" s="144"/>
      <c r="V24" s="144"/>
      <c r="W24" s="144"/>
      <c r="X24" s="144"/>
      <c r="Y24" s="143"/>
      <c r="Z24" s="143">
        <f t="shared" si="74"/>
        <v>0</v>
      </c>
      <c r="AA24" s="9">
        <f t="shared" si="75"/>
        <v>0.375</v>
      </c>
      <c r="AB24" s="9">
        <f t="shared" si="76"/>
        <v>0</v>
      </c>
      <c r="AC24" s="9">
        <f t="shared" si="77"/>
        <v>0</v>
      </c>
      <c r="AD24" s="9">
        <f t="shared" si="78"/>
        <v>0</v>
      </c>
      <c r="AE24" s="40" t="e">
        <f t="shared" ca="1" si="79"/>
        <v>#NUM!</v>
      </c>
      <c r="AF24" s="40" t="e">
        <f t="shared" ca="1" si="80"/>
        <v>#NUM!</v>
      </c>
      <c r="AG24" s="40" t="e">
        <f t="shared" ca="1" si="81"/>
        <v>#NUM!</v>
      </c>
      <c r="AH24" s="40" t="e">
        <f t="shared" ca="1" si="82"/>
        <v>#NUM!</v>
      </c>
      <c r="AI24" s="40" t="e">
        <f t="shared" ca="1" si="83"/>
        <v>#NUM!</v>
      </c>
      <c r="AJ24" s="40" t="e">
        <f t="shared" ca="1" si="84"/>
        <v>#NUM!</v>
      </c>
      <c r="AK24" s="203" t="e">
        <f t="shared" ca="1" si="85"/>
        <v>#NUM!</v>
      </c>
      <c r="AL24" s="40" t="e">
        <f t="shared" ca="1" si="86"/>
        <v>#NUM!</v>
      </c>
      <c r="AM24" s="40" t="e">
        <f t="shared" ca="1" si="87"/>
        <v>#NUM!</v>
      </c>
      <c r="AN24" s="40" t="e">
        <f t="shared" ca="1" si="88"/>
        <v>#NUM!</v>
      </c>
      <c r="AO24" s="40" t="e">
        <f t="shared" ca="1" si="89"/>
        <v>#NUM!</v>
      </c>
      <c r="AP24" s="40" t="e">
        <f t="shared" ca="1" si="90"/>
        <v>#NUM!</v>
      </c>
      <c r="AQ24" s="40" t="e">
        <f t="shared" ca="1" si="91"/>
        <v>#NUM!</v>
      </c>
      <c r="AR24" s="40" t="e">
        <f t="shared" ca="1" si="92"/>
        <v>#NUM!</v>
      </c>
      <c r="AS24" s="40" t="e">
        <f t="shared" ca="1" si="93"/>
        <v>#NUM!</v>
      </c>
    </row>
    <row r="25" spans="1:45" x14ac:dyDescent="0.25">
      <c r="A25" s="154"/>
      <c r="B25" s="73">
        <f t="shared" si="69"/>
        <v>-59090.909090909088</v>
      </c>
      <c r="E25" s="148">
        <v>42826</v>
      </c>
      <c r="G25" s="139">
        <v>33</v>
      </c>
      <c r="H25" s="139">
        <v>0</v>
      </c>
      <c r="I25" s="49">
        <f t="shared" si="70"/>
        <v>46522</v>
      </c>
      <c r="J25" s="76">
        <v>1950000</v>
      </c>
      <c r="K25" s="40">
        <f t="shared" si="71"/>
        <v>33</v>
      </c>
      <c r="L25" s="74">
        <f t="shared" si="72"/>
        <v>1950000</v>
      </c>
      <c r="M25" s="76"/>
      <c r="N25" s="76">
        <f t="shared" si="73"/>
        <v>0</v>
      </c>
      <c r="O25" s="142"/>
      <c r="P25" s="142"/>
      <c r="Q25" s="142"/>
      <c r="R25" s="144"/>
      <c r="S25" s="144"/>
      <c r="T25" s="144"/>
      <c r="U25" s="144"/>
      <c r="V25" s="144"/>
      <c r="W25" s="144"/>
      <c r="X25" s="144"/>
      <c r="Y25" s="143"/>
      <c r="Z25" s="143">
        <f t="shared" si="74"/>
        <v>0</v>
      </c>
      <c r="AA25" s="9">
        <f t="shared" si="75"/>
        <v>0.375</v>
      </c>
      <c r="AB25" s="9">
        <f t="shared" si="76"/>
        <v>0</v>
      </c>
      <c r="AC25" s="9">
        <f t="shared" si="77"/>
        <v>0</v>
      </c>
      <c r="AD25" s="9">
        <f t="shared" si="78"/>
        <v>0</v>
      </c>
      <c r="AE25" s="40" t="e">
        <f t="shared" ca="1" si="79"/>
        <v>#NUM!</v>
      </c>
      <c r="AF25" s="40" t="e">
        <f t="shared" ca="1" si="80"/>
        <v>#NUM!</v>
      </c>
      <c r="AG25" s="40" t="e">
        <f t="shared" ca="1" si="81"/>
        <v>#NUM!</v>
      </c>
      <c r="AH25" s="40" t="e">
        <f t="shared" ca="1" si="82"/>
        <v>#NUM!</v>
      </c>
      <c r="AI25" s="40" t="e">
        <f t="shared" ca="1" si="83"/>
        <v>#NUM!</v>
      </c>
      <c r="AJ25" s="40" t="e">
        <f t="shared" ca="1" si="84"/>
        <v>#NUM!</v>
      </c>
      <c r="AK25" s="203" t="e">
        <f t="shared" ca="1" si="85"/>
        <v>#NUM!</v>
      </c>
      <c r="AL25" s="40" t="e">
        <f t="shared" ca="1" si="86"/>
        <v>#NUM!</v>
      </c>
      <c r="AM25" s="40" t="e">
        <f t="shared" ca="1" si="87"/>
        <v>#NUM!</v>
      </c>
      <c r="AN25" s="40" t="e">
        <f t="shared" ca="1" si="88"/>
        <v>#NUM!</v>
      </c>
      <c r="AO25" s="40" t="e">
        <f t="shared" ca="1" si="89"/>
        <v>#NUM!</v>
      </c>
      <c r="AP25" s="40" t="e">
        <f t="shared" ca="1" si="90"/>
        <v>#NUM!</v>
      </c>
      <c r="AQ25" s="40" t="e">
        <f t="shared" ca="1" si="91"/>
        <v>#NUM!</v>
      </c>
      <c r="AR25" s="40" t="e">
        <f t="shared" ca="1" si="92"/>
        <v>#NUM!</v>
      </c>
      <c r="AS25" s="40" t="e">
        <f t="shared" ca="1" si="93"/>
        <v>#NUM!</v>
      </c>
    </row>
    <row r="26" spans="1:45" x14ac:dyDescent="0.25">
      <c r="A26" s="154"/>
      <c r="B26" s="73">
        <f t="shared" si="69"/>
        <v>-59090.909090909088</v>
      </c>
      <c r="E26" s="148">
        <v>42826</v>
      </c>
      <c r="G26" s="139">
        <v>33</v>
      </c>
      <c r="H26" s="139">
        <v>0</v>
      </c>
      <c r="I26" s="49">
        <f t="shared" si="70"/>
        <v>46522</v>
      </c>
      <c r="J26" s="76">
        <v>1950000</v>
      </c>
      <c r="K26" s="40">
        <f t="shared" si="71"/>
        <v>33</v>
      </c>
      <c r="L26" s="74">
        <f t="shared" si="72"/>
        <v>1950000</v>
      </c>
      <c r="M26" s="76"/>
      <c r="N26" s="76">
        <f t="shared" si="73"/>
        <v>0</v>
      </c>
      <c r="O26" s="142"/>
      <c r="P26" s="142"/>
      <c r="Q26" s="142"/>
      <c r="R26" s="144"/>
      <c r="S26" s="144"/>
      <c r="T26" s="144"/>
      <c r="U26" s="144"/>
      <c r="V26" s="144"/>
      <c r="W26" s="144"/>
      <c r="X26" s="144"/>
      <c r="Y26" s="143"/>
      <c r="Z26" s="143">
        <f t="shared" si="74"/>
        <v>0</v>
      </c>
      <c r="AA26" s="9">
        <f t="shared" si="75"/>
        <v>0.375</v>
      </c>
      <c r="AB26" s="9">
        <f t="shared" si="76"/>
        <v>0</v>
      </c>
      <c r="AC26" s="9">
        <f t="shared" si="77"/>
        <v>0</v>
      </c>
      <c r="AD26" s="9">
        <f t="shared" si="78"/>
        <v>0</v>
      </c>
      <c r="AE26" s="40" t="e">
        <f t="shared" ca="1" si="79"/>
        <v>#NUM!</v>
      </c>
      <c r="AF26" s="40" t="e">
        <f t="shared" ca="1" si="80"/>
        <v>#NUM!</v>
      </c>
      <c r="AG26" s="40" t="e">
        <f t="shared" ca="1" si="81"/>
        <v>#NUM!</v>
      </c>
      <c r="AH26" s="40" t="e">
        <f t="shared" ca="1" si="82"/>
        <v>#NUM!</v>
      </c>
      <c r="AI26" s="40" t="e">
        <f t="shared" ca="1" si="83"/>
        <v>#NUM!</v>
      </c>
      <c r="AJ26" s="40" t="e">
        <f t="shared" ca="1" si="84"/>
        <v>#NUM!</v>
      </c>
      <c r="AK26" s="203" t="e">
        <f t="shared" ca="1" si="85"/>
        <v>#NUM!</v>
      </c>
      <c r="AL26" s="40" t="e">
        <f t="shared" ca="1" si="86"/>
        <v>#NUM!</v>
      </c>
      <c r="AM26" s="40" t="e">
        <f t="shared" ca="1" si="87"/>
        <v>#NUM!</v>
      </c>
      <c r="AN26" s="40" t="e">
        <f t="shared" ca="1" si="88"/>
        <v>#NUM!</v>
      </c>
      <c r="AO26" s="40" t="e">
        <f t="shared" ca="1" si="89"/>
        <v>#NUM!</v>
      </c>
      <c r="AP26" s="40" t="e">
        <f t="shared" ca="1" si="90"/>
        <v>#NUM!</v>
      </c>
      <c r="AQ26" s="40" t="e">
        <f t="shared" ca="1" si="91"/>
        <v>#NUM!</v>
      </c>
      <c r="AR26" s="40" t="e">
        <f t="shared" ca="1" si="92"/>
        <v>#NUM!</v>
      </c>
      <c r="AS26" s="40" t="e">
        <f t="shared" ca="1" si="93"/>
        <v>#NUM!</v>
      </c>
    </row>
    <row r="27" spans="1:45" x14ac:dyDescent="0.25">
      <c r="A27" s="154"/>
      <c r="B27" s="73">
        <f t="shared" si="69"/>
        <v>-59090.909090909088</v>
      </c>
      <c r="E27" s="148">
        <v>42826</v>
      </c>
      <c r="G27" s="139">
        <v>33</v>
      </c>
      <c r="H27" s="139">
        <v>0</v>
      </c>
      <c r="I27" s="49">
        <f t="shared" si="70"/>
        <v>46522</v>
      </c>
      <c r="J27" s="76">
        <v>1950000</v>
      </c>
      <c r="K27" s="40">
        <f t="shared" si="71"/>
        <v>33</v>
      </c>
      <c r="L27" s="74">
        <f t="shared" si="72"/>
        <v>1950000</v>
      </c>
      <c r="M27" s="76"/>
      <c r="N27" s="76">
        <f t="shared" si="73"/>
        <v>0</v>
      </c>
      <c r="O27" s="142"/>
      <c r="P27" s="142"/>
      <c r="Q27" s="142"/>
      <c r="R27" s="144"/>
      <c r="S27" s="144"/>
      <c r="T27" s="144"/>
      <c r="U27" s="144"/>
      <c r="V27" s="144"/>
      <c r="W27" s="144"/>
      <c r="X27" s="144"/>
      <c r="Y27" s="143"/>
      <c r="Z27" s="143">
        <f t="shared" si="74"/>
        <v>0</v>
      </c>
      <c r="AA27" s="9">
        <f t="shared" si="75"/>
        <v>0.375</v>
      </c>
      <c r="AB27" s="9">
        <f t="shared" si="76"/>
        <v>0</v>
      </c>
      <c r="AC27" s="9">
        <f t="shared" si="77"/>
        <v>0</v>
      </c>
      <c r="AD27" s="9">
        <f t="shared" si="78"/>
        <v>0</v>
      </c>
      <c r="AE27" s="40" t="e">
        <f t="shared" ca="1" si="79"/>
        <v>#NUM!</v>
      </c>
      <c r="AF27" s="40" t="e">
        <f t="shared" ca="1" si="80"/>
        <v>#NUM!</v>
      </c>
      <c r="AG27" s="40" t="e">
        <f t="shared" ca="1" si="81"/>
        <v>#NUM!</v>
      </c>
      <c r="AH27" s="40" t="e">
        <f t="shared" ca="1" si="82"/>
        <v>#NUM!</v>
      </c>
      <c r="AI27" s="40" t="e">
        <f t="shared" ca="1" si="83"/>
        <v>#NUM!</v>
      </c>
      <c r="AJ27" s="40" t="e">
        <f t="shared" ca="1" si="84"/>
        <v>#NUM!</v>
      </c>
      <c r="AK27" s="203" t="e">
        <f t="shared" ca="1" si="85"/>
        <v>#NUM!</v>
      </c>
      <c r="AL27" s="40" t="e">
        <f t="shared" ca="1" si="86"/>
        <v>#NUM!</v>
      </c>
      <c r="AM27" s="40" t="e">
        <f t="shared" ca="1" si="87"/>
        <v>#NUM!</v>
      </c>
      <c r="AN27" s="40" t="e">
        <f t="shared" ca="1" si="88"/>
        <v>#NUM!</v>
      </c>
      <c r="AO27" s="40" t="e">
        <f t="shared" ca="1" si="89"/>
        <v>#NUM!</v>
      </c>
      <c r="AP27" s="40" t="e">
        <f t="shared" ca="1" si="90"/>
        <v>#NUM!</v>
      </c>
      <c r="AQ27" s="40" t="e">
        <f t="shared" ca="1" si="91"/>
        <v>#NUM!</v>
      </c>
      <c r="AR27" s="40" t="e">
        <f t="shared" ca="1" si="92"/>
        <v>#NUM!</v>
      </c>
      <c r="AS27" s="40" t="e">
        <f t="shared" ca="1" si="93"/>
        <v>#NUM!</v>
      </c>
    </row>
    <row r="28" spans="1:45" x14ac:dyDescent="0.25">
      <c r="A28" s="154"/>
      <c r="B28" s="73">
        <f t="shared" si="69"/>
        <v>-59090.909090909088</v>
      </c>
      <c r="E28" s="148">
        <v>42826</v>
      </c>
      <c r="G28" s="139">
        <v>33</v>
      </c>
      <c r="H28" s="139">
        <v>0</v>
      </c>
      <c r="I28" s="49">
        <f t="shared" si="70"/>
        <v>46522</v>
      </c>
      <c r="J28" s="76">
        <v>1950000</v>
      </c>
      <c r="K28" s="40">
        <f t="shared" si="71"/>
        <v>33</v>
      </c>
      <c r="L28" s="74">
        <f t="shared" si="72"/>
        <v>1950000</v>
      </c>
      <c r="M28" s="76"/>
      <c r="N28" s="76">
        <f t="shared" si="73"/>
        <v>0</v>
      </c>
      <c r="O28" s="142"/>
      <c r="P28" s="142"/>
      <c r="Q28" s="142"/>
      <c r="R28" s="144"/>
      <c r="S28" s="144"/>
      <c r="T28" s="144"/>
      <c r="U28" s="144"/>
      <c r="V28" s="144"/>
      <c r="W28" s="144"/>
      <c r="X28" s="144"/>
      <c r="Y28" s="143"/>
      <c r="Z28" s="143">
        <f t="shared" si="74"/>
        <v>0</v>
      </c>
      <c r="AA28" s="9">
        <f t="shared" si="75"/>
        <v>0.375</v>
      </c>
      <c r="AB28" s="9">
        <f t="shared" si="76"/>
        <v>0</v>
      </c>
      <c r="AC28" s="9">
        <f t="shared" si="77"/>
        <v>0</v>
      </c>
      <c r="AD28" s="9">
        <f t="shared" si="78"/>
        <v>0</v>
      </c>
      <c r="AE28" s="40" t="e">
        <f t="shared" ca="1" si="79"/>
        <v>#NUM!</v>
      </c>
      <c r="AF28" s="40" t="e">
        <f t="shared" ca="1" si="80"/>
        <v>#NUM!</v>
      </c>
      <c r="AG28" s="40" t="e">
        <f t="shared" ca="1" si="81"/>
        <v>#NUM!</v>
      </c>
      <c r="AH28" s="40" t="e">
        <f t="shared" ca="1" si="82"/>
        <v>#NUM!</v>
      </c>
      <c r="AI28" s="40" t="e">
        <f t="shared" ca="1" si="83"/>
        <v>#NUM!</v>
      </c>
      <c r="AJ28" s="40" t="e">
        <f t="shared" ca="1" si="84"/>
        <v>#NUM!</v>
      </c>
      <c r="AK28" s="203" t="e">
        <f t="shared" ca="1" si="85"/>
        <v>#NUM!</v>
      </c>
      <c r="AL28" s="40" t="e">
        <f t="shared" ca="1" si="86"/>
        <v>#NUM!</v>
      </c>
      <c r="AM28" s="40" t="e">
        <f t="shared" ca="1" si="87"/>
        <v>#NUM!</v>
      </c>
      <c r="AN28" s="40" t="e">
        <f t="shared" ca="1" si="88"/>
        <v>#NUM!</v>
      </c>
      <c r="AO28" s="40" t="e">
        <f t="shared" ca="1" si="89"/>
        <v>#NUM!</v>
      </c>
      <c r="AP28" s="40" t="e">
        <f t="shared" ca="1" si="90"/>
        <v>#NUM!</v>
      </c>
      <c r="AQ28" s="40" t="e">
        <f t="shared" ca="1" si="91"/>
        <v>#NUM!</v>
      </c>
      <c r="AR28" s="40" t="e">
        <f t="shared" ca="1" si="92"/>
        <v>#NUM!</v>
      </c>
      <c r="AS28" s="40" t="e">
        <f t="shared" ca="1" si="93"/>
        <v>#NUM!</v>
      </c>
    </row>
    <row r="29" spans="1:45" x14ac:dyDescent="0.25">
      <c r="A29" s="154"/>
      <c r="B29" s="73">
        <f t="shared" ref="B29:B92" si="94">(N29+F29-J29)/K29</f>
        <v>-59090.909090909088</v>
      </c>
      <c r="E29" s="148">
        <v>42826</v>
      </c>
      <c r="G29" s="139">
        <v>33</v>
      </c>
      <c r="H29" s="139">
        <v>0</v>
      </c>
      <c r="I29" s="49">
        <f t="shared" ref="I29:I92" si="95">E29+(H29-D29+(G29-C29)*112)</f>
        <v>46522</v>
      </c>
      <c r="J29" s="76">
        <v>1950000</v>
      </c>
      <c r="K29" s="40">
        <f t="shared" ref="K29:K92" si="96">(I29-E29)/112</f>
        <v>33</v>
      </c>
      <c r="L29" s="74">
        <f t="shared" ref="L29:L92" si="97">J29-F29</f>
        <v>1950000</v>
      </c>
      <c r="M29" s="76"/>
      <c r="N29" s="76">
        <f t="shared" ref="N29:N92" si="98">((G29-C29)*M29*16)+(H29-D29)/7*M29</f>
        <v>0</v>
      </c>
      <c r="O29" s="142"/>
      <c r="P29" s="142"/>
      <c r="Q29" s="142"/>
      <c r="R29" s="144"/>
      <c r="S29" s="144"/>
      <c r="T29" s="144"/>
      <c r="U29" s="144"/>
      <c r="V29" s="144"/>
      <c r="W29" s="144"/>
      <c r="X29" s="144"/>
      <c r="Y29" s="143"/>
      <c r="Z29" s="143">
        <f t="shared" ref="Z29:Z92" si="99">O29*P29*P29</f>
        <v>0</v>
      </c>
      <c r="AA29" s="9">
        <f t="shared" ref="AA29:AA92" si="100">((S29+1)+(V29+1)*2)/8</f>
        <v>0.375</v>
      </c>
      <c r="AB29" s="9">
        <f t="shared" ref="AB29:AB92" si="101">X29*0.7+W29*0.3</f>
        <v>0</v>
      </c>
      <c r="AC29" s="9">
        <f t="shared" ref="AC29:AC92" si="102">(0.5*W29+ 0.3*X29)/10</f>
        <v>0</v>
      </c>
      <c r="AD29" s="9">
        <f t="shared" ref="AD29:AD92" si="103">(0.4*S29+0.3*X29)/10</f>
        <v>0</v>
      </c>
      <c r="AE29" s="40" t="e">
        <f t="shared" ref="AE29:AE92" ca="1" si="104">IF(TODAY()-E29&gt;335,((S29+1+(LOG(O29)*4/3))*0.516),((S29+(((TODAY()-E29)^0.5)/(336^0.516))+(LOG(O29)*4/3))*0.516))</f>
        <v>#NUM!</v>
      </c>
      <c r="AF29" s="40" t="e">
        <f t="shared" ref="AF29:AF92" ca="1" si="105">IF(TODAY()-E29&gt;335,((S29+1+(LOG(O29)*4/3))*1),((S29+(((TODAY()-E29)^0.5)/(336^0.5))+(LOG(O29)*4/3))*1))</f>
        <v>#NUM!</v>
      </c>
      <c r="AG29" s="40" t="e">
        <f t="shared" ref="AG29:AG92" ca="1" si="106">IF(TODAY()-E29&gt;335,((T29+1+(LOG(O29)*4/3))*0.238),((T29+(((TODAY()-E29)^0.5)/(336^0.238))+(LOG(O29)*4/3))*0.238))</f>
        <v>#NUM!</v>
      </c>
      <c r="AH29" s="40" t="e">
        <f t="shared" ref="AH29:AH92" ca="1" si="107">IF(TODAY()-E29&gt;335,((S29+1+(LOG(O29)*4/3))*0.92),((S29+(((TODAY()-E29)^0.5)/(336^0.5))+(LOG(O29)*4/3))*0.92))</f>
        <v>#NUM!</v>
      </c>
      <c r="AI29" s="40" t="e">
        <f t="shared" ref="AI29:AI92" ca="1" si="108">IF(TODAY()-E29&gt;335,((S29+1+(LOG(O29)*4/3))*0.414),((S29+(((TODAY()-E29)^0.5)/(336^0.414))+(LOG(O29)*4/3))*0.414))</f>
        <v>#NUM!</v>
      </c>
      <c r="AJ29" s="40" t="e">
        <f t="shared" ref="AJ29:AJ92" ca="1" si="109">IF(TODAY()-E29&gt;335,((T29+1+(LOG(O29)*4/3))*0.167),((T29+(((TODAY()-E29)^0.5)/(336^0.5))+(LOG(O29)*4/3))*0.167))</f>
        <v>#NUM!</v>
      </c>
      <c r="AK29" s="203" t="e">
        <f t="shared" ref="AK29:AK92" ca="1" si="110">IF(TODAY()-E29&gt;335,((U29+1+(LOG(O29)*4/3))*0.588),((U29+(((TODAY()-E29)^0.5)/(336^0.5))+(LOG(O29)*4/3))*0.588))</f>
        <v>#NUM!</v>
      </c>
      <c r="AL29" s="40" t="e">
        <f t="shared" ref="AL29:AL92" ca="1" si="111">IF(TODAY()-E29&gt;335,((S29+1+(LOG(O29)*4/3))*0.4),((S29+(((TODAY()-E29)^0.5)/(336^0.5))+(LOG(O29)*4/3))*0.4))</f>
        <v>#NUM!</v>
      </c>
      <c r="AM29" s="40" t="e">
        <f t="shared" ref="AM29:AM92" ca="1" si="112">IF(TODAY()-E29&gt;335,((T29+1+(LOG(O29)*4/3))*1),((T29+(((TODAY()-E29)^0.5)/(336^0.5))+(LOG(O29)*4/3))*1))</f>
        <v>#NUM!</v>
      </c>
      <c r="AN29" s="40" t="e">
        <f t="shared" ref="AN29:AN92" ca="1" si="113">IF(TODAY()-E29&gt;335,((W29+1+(LOG(O29)*4/3))*0.21)+((V29+1+(LOG(O29)*4/3))*0.341),((W29+(((TODAY()-E29)^0.5)/(336^0.5))+(LOG(O29)*4/3))*0.21)+((V29+(((TODAY()-E29)^0.5)/(336^0.5))+(LOG(O29)*4/3))*0.341))</f>
        <v>#NUM!</v>
      </c>
      <c r="AO29" s="40" t="e">
        <f t="shared" ref="AO29:AO92" ca="1" si="114">IF(TODAY()-E29&gt;335,((T29+1+(LOG(O29)*4/3))*0.305),((T29+(((TODAY()-E29)^0.5)/(336^0.5))+(LOG(O29)*4/3))*0.305))</f>
        <v>#NUM!</v>
      </c>
      <c r="AP29" s="40" t="e">
        <f t="shared" ref="AP29:AP92" ca="1" si="115">IF(TODAY()-E29&gt;335,((U29+1+(LOG(O29)*4/3))*1)+((V29+1+(LOG(O29)*4/3))*0.286),((U29+(((TODAY()-E29)^0.5)/(336^0.5))+(LOG(O29)*4/3))*1)+((V29+(((TODAY()-E29)^0.5)/(336^0.5))+(LOG(O29)*4/3))*0.286))</f>
        <v>#NUM!</v>
      </c>
      <c r="AQ29" s="40" t="e">
        <f t="shared" ref="AQ29:AQ92" ca="1" si="116">IF(TODAY()-E29&gt;335,((T29+1+(LOG(O29)*4/3))*0.406),((T29+(((TODAY()-E29)^0.5)/(336^0.5))+(LOG(O29)*4/3))*0.406))</f>
        <v>#NUM!</v>
      </c>
      <c r="AR29" s="40" t="e">
        <f t="shared" ref="AR29:AR92" ca="1" si="117">IF(Q29="TEC",IF(TODAY()-E29&gt;335,((V29+1+(LOG(O29)*4/3))*0.15)+((V29+1+(LOG(O29)*4/3))*0.324)+((W29+1+(LOG(O29)*4/3))*0.127),((U29+(((TODAY()-E29)^0.5)/(336^0.5))+(LOG(O29)*4/3))*0.15)+((V29+(((TODAY()-E29)^0.5)/(336^0.5))+(LOG(O29)*4/3))*0.324)+((W29+(((TODAY()-E29)^0.5)/(336^0.5))+(LOG(O29)*4/3))*0.127)),IF(TODAY()-E29&gt;335,((V29+1+(LOG(O29)*4/3))*0.144)+((W29+1+(LOG(O29)*4/3))*0.25)+((W29+1+(LOG(O29)*4/3))*0.127),((U29+(((TODAY()-E29)^0.5)/(336^0.5))+(LOG(O29)*4/3))*0.144)+((V29+(((TODAY()-E29)^0.5)/(336^0.5))+(LOG(O29)*4/3))*0.25)+((W29+(((TODAY()-E29)^0.5)/(336^0.5))+(LOG(O29)*4/3))*0.127)))</f>
        <v>#NUM!</v>
      </c>
      <c r="AS29" s="40" t="e">
        <f t="shared" ref="AS29:AS92" ca="1" si="118">IF(Q29="TEC",IF(TODAY()-E29&gt;335,((V29+1+(LOG(O29)*4/3))*0.543)+((W29+1+(LOG(O29)*4/3))*0.583),((V29+(((TODAY()-E29)^0.5)/(336^0.5))+(LOG(O29)*4/3))*0.543)+((W29+(((TODAY()-E29)^0.5)/(336^0.5))+(LOG(O29)*4/3))*0.583)),IF(TODAY()-E29&gt;335,((V29+1+(LOG(O29)*4/3))*0.543)+((W29+1+(LOG(O29)*4/3))*0.583),((V29+(((TODAY()-E29)^0.5)/(336^0.5))+(LOG(O29)*4/3))*0.543)+((W29+(((TODAY()-E29)^0.5)/(336^0.5))+(LOG(O29)*4/3))*0.583)))</f>
        <v>#NUM!</v>
      </c>
    </row>
    <row r="30" spans="1:45" x14ac:dyDescent="0.25">
      <c r="A30" s="154"/>
      <c r="B30" s="73">
        <f t="shared" si="94"/>
        <v>-59090.909090909088</v>
      </c>
      <c r="E30" s="148">
        <v>42826</v>
      </c>
      <c r="G30" s="139">
        <v>33</v>
      </c>
      <c r="H30" s="139">
        <v>0</v>
      </c>
      <c r="I30" s="49">
        <f t="shared" si="95"/>
        <v>46522</v>
      </c>
      <c r="J30" s="76">
        <v>1950000</v>
      </c>
      <c r="K30" s="40">
        <f t="shared" si="96"/>
        <v>33</v>
      </c>
      <c r="L30" s="74">
        <f t="shared" si="97"/>
        <v>1950000</v>
      </c>
      <c r="M30" s="76"/>
      <c r="N30" s="76">
        <f t="shared" si="98"/>
        <v>0</v>
      </c>
      <c r="O30" s="142"/>
      <c r="P30" s="142"/>
      <c r="Q30" s="142"/>
      <c r="R30" s="144"/>
      <c r="S30" s="144"/>
      <c r="T30" s="144"/>
      <c r="U30" s="144"/>
      <c r="V30" s="144"/>
      <c r="W30" s="144"/>
      <c r="X30" s="144"/>
      <c r="Y30" s="143"/>
      <c r="Z30" s="143">
        <f t="shared" si="99"/>
        <v>0</v>
      </c>
      <c r="AA30" s="9">
        <f t="shared" si="100"/>
        <v>0.375</v>
      </c>
      <c r="AB30" s="9">
        <f t="shared" si="101"/>
        <v>0</v>
      </c>
      <c r="AC30" s="9">
        <f t="shared" si="102"/>
        <v>0</v>
      </c>
      <c r="AD30" s="9">
        <f t="shared" si="103"/>
        <v>0</v>
      </c>
      <c r="AE30" s="40" t="e">
        <f t="shared" ca="1" si="104"/>
        <v>#NUM!</v>
      </c>
      <c r="AF30" s="40" t="e">
        <f t="shared" ca="1" si="105"/>
        <v>#NUM!</v>
      </c>
      <c r="AG30" s="40" t="e">
        <f t="shared" ca="1" si="106"/>
        <v>#NUM!</v>
      </c>
      <c r="AH30" s="40" t="e">
        <f t="shared" ca="1" si="107"/>
        <v>#NUM!</v>
      </c>
      <c r="AI30" s="40" t="e">
        <f t="shared" ca="1" si="108"/>
        <v>#NUM!</v>
      </c>
      <c r="AJ30" s="40" t="e">
        <f t="shared" ca="1" si="109"/>
        <v>#NUM!</v>
      </c>
      <c r="AK30" s="203" t="e">
        <f t="shared" ca="1" si="110"/>
        <v>#NUM!</v>
      </c>
      <c r="AL30" s="40" t="e">
        <f t="shared" ca="1" si="111"/>
        <v>#NUM!</v>
      </c>
      <c r="AM30" s="40" t="e">
        <f t="shared" ca="1" si="112"/>
        <v>#NUM!</v>
      </c>
      <c r="AN30" s="40" t="e">
        <f t="shared" ca="1" si="113"/>
        <v>#NUM!</v>
      </c>
      <c r="AO30" s="40" t="e">
        <f t="shared" ca="1" si="114"/>
        <v>#NUM!</v>
      </c>
      <c r="AP30" s="40" t="e">
        <f t="shared" ca="1" si="115"/>
        <v>#NUM!</v>
      </c>
      <c r="AQ30" s="40" t="e">
        <f t="shared" ca="1" si="116"/>
        <v>#NUM!</v>
      </c>
      <c r="AR30" s="40" t="e">
        <f t="shared" ca="1" si="117"/>
        <v>#NUM!</v>
      </c>
      <c r="AS30" s="40" t="e">
        <f t="shared" ca="1" si="118"/>
        <v>#NUM!</v>
      </c>
    </row>
    <row r="31" spans="1:45" x14ac:dyDescent="0.25">
      <c r="A31" s="154"/>
      <c r="B31" s="73">
        <f t="shared" si="94"/>
        <v>-59090.909090909088</v>
      </c>
      <c r="E31" s="148">
        <v>42826</v>
      </c>
      <c r="G31" s="139">
        <v>33</v>
      </c>
      <c r="H31" s="139">
        <v>0</v>
      </c>
      <c r="I31" s="49">
        <f t="shared" si="95"/>
        <v>46522</v>
      </c>
      <c r="J31" s="76">
        <v>1950000</v>
      </c>
      <c r="K31" s="40">
        <f t="shared" si="96"/>
        <v>33</v>
      </c>
      <c r="L31" s="74">
        <f t="shared" si="97"/>
        <v>1950000</v>
      </c>
      <c r="M31" s="76"/>
      <c r="N31" s="76">
        <f t="shared" si="98"/>
        <v>0</v>
      </c>
      <c r="O31" s="142"/>
      <c r="P31" s="142"/>
      <c r="Q31" s="142"/>
      <c r="R31" s="144"/>
      <c r="S31" s="144"/>
      <c r="T31" s="144"/>
      <c r="U31" s="144"/>
      <c r="V31" s="144"/>
      <c r="W31" s="144"/>
      <c r="X31" s="144"/>
      <c r="Y31" s="143"/>
      <c r="Z31" s="143">
        <f t="shared" si="99"/>
        <v>0</v>
      </c>
      <c r="AA31" s="9">
        <f t="shared" si="100"/>
        <v>0.375</v>
      </c>
      <c r="AB31" s="9">
        <f t="shared" si="101"/>
        <v>0</v>
      </c>
      <c r="AC31" s="9">
        <f t="shared" si="102"/>
        <v>0</v>
      </c>
      <c r="AD31" s="9">
        <f t="shared" si="103"/>
        <v>0</v>
      </c>
      <c r="AE31" s="40" t="e">
        <f t="shared" ca="1" si="104"/>
        <v>#NUM!</v>
      </c>
      <c r="AF31" s="40" t="e">
        <f t="shared" ca="1" si="105"/>
        <v>#NUM!</v>
      </c>
      <c r="AG31" s="40" t="e">
        <f t="shared" ca="1" si="106"/>
        <v>#NUM!</v>
      </c>
      <c r="AH31" s="40" t="e">
        <f t="shared" ca="1" si="107"/>
        <v>#NUM!</v>
      </c>
      <c r="AI31" s="40" t="e">
        <f t="shared" ca="1" si="108"/>
        <v>#NUM!</v>
      </c>
      <c r="AJ31" s="40" t="e">
        <f t="shared" ca="1" si="109"/>
        <v>#NUM!</v>
      </c>
      <c r="AK31" s="203" t="e">
        <f t="shared" ca="1" si="110"/>
        <v>#NUM!</v>
      </c>
      <c r="AL31" s="40" t="e">
        <f t="shared" ca="1" si="111"/>
        <v>#NUM!</v>
      </c>
      <c r="AM31" s="40" t="e">
        <f t="shared" ca="1" si="112"/>
        <v>#NUM!</v>
      </c>
      <c r="AN31" s="40" t="e">
        <f t="shared" ca="1" si="113"/>
        <v>#NUM!</v>
      </c>
      <c r="AO31" s="40" t="e">
        <f t="shared" ca="1" si="114"/>
        <v>#NUM!</v>
      </c>
      <c r="AP31" s="40" t="e">
        <f t="shared" ca="1" si="115"/>
        <v>#NUM!</v>
      </c>
      <c r="AQ31" s="40" t="e">
        <f t="shared" ca="1" si="116"/>
        <v>#NUM!</v>
      </c>
      <c r="AR31" s="40" t="e">
        <f t="shared" ca="1" si="117"/>
        <v>#NUM!</v>
      </c>
      <c r="AS31" s="40" t="e">
        <f t="shared" ca="1" si="118"/>
        <v>#NUM!</v>
      </c>
    </row>
    <row r="32" spans="1:45" x14ac:dyDescent="0.25">
      <c r="A32" s="154"/>
      <c r="B32" s="73">
        <f t="shared" si="94"/>
        <v>-59090.909090909088</v>
      </c>
      <c r="E32" s="148">
        <v>42826</v>
      </c>
      <c r="G32" s="139">
        <v>33</v>
      </c>
      <c r="H32" s="139">
        <v>0</v>
      </c>
      <c r="I32" s="49">
        <f t="shared" si="95"/>
        <v>46522</v>
      </c>
      <c r="J32" s="76">
        <v>1950000</v>
      </c>
      <c r="K32" s="40">
        <f t="shared" si="96"/>
        <v>33</v>
      </c>
      <c r="L32" s="74">
        <f t="shared" si="97"/>
        <v>1950000</v>
      </c>
      <c r="M32" s="76"/>
      <c r="N32" s="76">
        <f t="shared" si="98"/>
        <v>0</v>
      </c>
      <c r="O32" s="142"/>
      <c r="P32" s="142"/>
      <c r="Q32" s="142"/>
      <c r="R32" s="144"/>
      <c r="S32" s="144"/>
      <c r="T32" s="144"/>
      <c r="U32" s="144"/>
      <c r="V32" s="144"/>
      <c r="W32" s="144"/>
      <c r="X32" s="144"/>
      <c r="Y32" s="143"/>
      <c r="Z32" s="143">
        <f t="shared" si="99"/>
        <v>0</v>
      </c>
      <c r="AA32" s="9">
        <f t="shared" si="100"/>
        <v>0.375</v>
      </c>
      <c r="AB32" s="9">
        <f t="shared" si="101"/>
        <v>0</v>
      </c>
      <c r="AC32" s="9">
        <f t="shared" si="102"/>
        <v>0</v>
      </c>
      <c r="AD32" s="9">
        <f t="shared" si="103"/>
        <v>0</v>
      </c>
      <c r="AE32" s="40" t="e">
        <f t="shared" ca="1" si="104"/>
        <v>#NUM!</v>
      </c>
      <c r="AF32" s="40" t="e">
        <f t="shared" ca="1" si="105"/>
        <v>#NUM!</v>
      </c>
      <c r="AG32" s="40" t="e">
        <f t="shared" ca="1" si="106"/>
        <v>#NUM!</v>
      </c>
      <c r="AH32" s="40" t="e">
        <f t="shared" ca="1" si="107"/>
        <v>#NUM!</v>
      </c>
      <c r="AI32" s="40" t="e">
        <f t="shared" ca="1" si="108"/>
        <v>#NUM!</v>
      </c>
      <c r="AJ32" s="40" t="e">
        <f t="shared" ca="1" si="109"/>
        <v>#NUM!</v>
      </c>
      <c r="AK32" s="203" t="e">
        <f t="shared" ca="1" si="110"/>
        <v>#NUM!</v>
      </c>
      <c r="AL32" s="40" t="e">
        <f t="shared" ca="1" si="111"/>
        <v>#NUM!</v>
      </c>
      <c r="AM32" s="40" t="e">
        <f t="shared" ca="1" si="112"/>
        <v>#NUM!</v>
      </c>
      <c r="AN32" s="40" t="e">
        <f t="shared" ca="1" si="113"/>
        <v>#NUM!</v>
      </c>
      <c r="AO32" s="40" t="e">
        <f t="shared" ca="1" si="114"/>
        <v>#NUM!</v>
      </c>
      <c r="AP32" s="40" t="e">
        <f t="shared" ca="1" si="115"/>
        <v>#NUM!</v>
      </c>
      <c r="AQ32" s="40" t="e">
        <f t="shared" ca="1" si="116"/>
        <v>#NUM!</v>
      </c>
      <c r="AR32" s="40" t="e">
        <f t="shared" ca="1" si="117"/>
        <v>#NUM!</v>
      </c>
      <c r="AS32" s="40" t="e">
        <f t="shared" ca="1" si="118"/>
        <v>#NUM!</v>
      </c>
    </row>
    <row r="33" spans="1:45" x14ac:dyDescent="0.25">
      <c r="A33" s="154"/>
      <c r="B33" s="73">
        <f t="shared" si="94"/>
        <v>-59090.909090909088</v>
      </c>
      <c r="E33" s="148">
        <v>42826</v>
      </c>
      <c r="G33" s="139">
        <v>33</v>
      </c>
      <c r="H33" s="139">
        <v>0</v>
      </c>
      <c r="I33" s="49">
        <f t="shared" si="95"/>
        <v>46522</v>
      </c>
      <c r="J33" s="76">
        <v>1950000</v>
      </c>
      <c r="K33" s="40">
        <f t="shared" si="96"/>
        <v>33</v>
      </c>
      <c r="L33" s="74">
        <f t="shared" si="97"/>
        <v>1950000</v>
      </c>
      <c r="M33" s="76"/>
      <c r="N33" s="76">
        <f t="shared" si="98"/>
        <v>0</v>
      </c>
      <c r="O33" s="142"/>
      <c r="P33" s="142"/>
      <c r="Q33" s="142"/>
      <c r="R33" s="144"/>
      <c r="S33" s="144"/>
      <c r="T33" s="144"/>
      <c r="U33" s="144"/>
      <c r="V33" s="144"/>
      <c r="W33" s="144"/>
      <c r="X33" s="144"/>
      <c r="Y33" s="143"/>
      <c r="Z33" s="143">
        <f t="shared" si="99"/>
        <v>0</v>
      </c>
      <c r="AA33" s="9">
        <f t="shared" si="100"/>
        <v>0.375</v>
      </c>
      <c r="AB33" s="9">
        <f t="shared" si="101"/>
        <v>0</v>
      </c>
      <c r="AC33" s="9">
        <f t="shared" si="102"/>
        <v>0</v>
      </c>
      <c r="AD33" s="9">
        <f t="shared" si="103"/>
        <v>0</v>
      </c>
      <c r="AE33" s="40" t="e">
        <f t="shared" ca="1" si="104"/>
        <v>#NUM!</v>
      </c>
      <c r="AF33" s="40" t="e">
        <f t="shared" ca="1" si="105"/>
        <v>#NUM!</v>
      </c>
      <c r="AG33" s="40" t="e">
        <f t="shared" ca="1" si="106"/>
        <v>#NUM!</v>
      </c>
      <c r="AH33" s="40" t="e">
        <f t="shared" ca="1" si="107"/>
        <v>#NUM!</v>
      </c>
      <c r="AI33" s="40" t="e">
        <f t="shared" ca="1" si="108"/>
        <v>#NUM!</v>
      </c>
      <c r="AJ33" s="40" t="e">
        <f t="shared" ca="1" si="109"/>
        <v>#NUM!</v>
      </c>
      <c r="AK33" s="203" t="e">
        <f t="shared" ca="1" si="110"/>
        <v>#NUM!</v>
      </c>
      <c r="AL33" s="40" t="e">
        <f t="shared" ca="1" si="111"/>
        <v>#NUM!</v>
      </c>
      <c r="AM33" s="40" t="e">
        <f t="shared" ca="1" si="112"/>
        <v>#NUM!</v>
      </c>
      <c r="AN33" s="40" t="e">
        <f t="shared" ca="1" si="113"/>
        <v>#NUM!</v>
      </c>
      <c r="AO33" s="40" t="e">
        <f t="shared" ca="1" si="114"/>
        <v>#NUM!</v>
      </c>
      <c r="AP33" s="40" t="e">
        <f t="shared" ca="1" si="115"/>
        <v>#NUM!</v>
      </c>
      <c r="AQ33" s="40" t="e">
        <f t="shared" ca="1" si="116"/>
        <v>#NUM!</v>
      </c>
      <c r="AR33" s="40" t="e">
        <f t="shared" ca="1" si="117"/>
        <v>#NUM!</v>
      </c>
      <c r="AS33" s="40" t="e">
        <f t="shared" ca="1" si="118"/>
        <v>#NUM!</v>
      </c>
    </row>
    <row r="34" spans="1:45" x14ac:dyDescent="0.25">
      <c r="A34" s="154"/>
      <c r="B34" s="73">
        <f t="shared" si="94"/>
        <v>-59090.909090909088</v>
      </c>
      <c r="E34" s="148">
        <v>42826</v>
      </c>
      <c r="G34" s="139">
        <v>33</v>
      </c>
      <c r="H34" s="139">
        <v>0</v>
      </c>
      <c r="I34" s="49">
        <f t="shared" si="95"/>
        <v>46522</v>
      </c>
      <c r="J34" s="76">
        <v>1950000</v>
      </c>
      <c r="K34" s="40">
        <f t="shared" si="96"/>
        <v>33</v>
      </c>
      <c r="L34" s="74">
        <f t="shared" si="97"/>
        <v>1950000</v>
      </c>
      <c r="M34" s="76"/>
      <c r="N34" s="76">
        <f t="shared" si="98"/>
        <v>0</v>
      </c>
      <c r="O34" s="142"/>
      <c r="P34" s="142"/>
      <c r="Q34" s="142"/>
      <c r="R34" s="144"/>
      <c r="S34" s="144"/>
      <c r="T34" s="144"/>
      <c r="U34" s="144"/>
      <c r="V34" s="144"/>
      <c r="W34" s="144"/>
      <c r="X34" s="144"/>
      <c r="Y34" s="143"/>
      <c r="Z34" s="143">
        <f t="shared" si="99"/>
        <v>0</v>
      </c>
      <c r="AA34" s="9">
        <f t="shared" si="100"/>
        <v>0.375</v>
      </c>
      <c r="AB34" s="9">
        <f t="shared" si="101"/>
        <v>0</v>
      </c>
      <c r="AC34" s="9">
        <f t="shared" si="102"/>
        <v>0</v>
      </c>
      <c r="AD34" s="9">
        <f t="shared" si="103"/>
        <v>0</v>
      </c>
      <c r="AE34" s="40" t="e">
        <f t="shared" ca="1" si="104"/>
        <v>#NUM!</v>
      </c>
      <c r="AF34" s="40" t="e">
        <f t="shared" ca="1" si="105"/>
        <v>#NUM!</v>
      </c>
      <c r="AG34" s="40" t="e">
        <f t="shared" ca="1" si="106"/>
        <v>#NUM!</v>
      </c>
      <c r="AH34" s="40" t="e">
        <f t="shared" ca="1" si="107"/>
        <v>#NUM!</v>
      </c>
      <c r="AI34" s="40" t="e">
        <f t="shared" ca="1" si="108"/>
        <v>#NUM!</v>
      </c>
      <c r="AJ34" s="40" t="e">
        <f t="shared" ca="1" si="109"/>
        <v>#NUM!</v>
      </c>
      <c r="AK34" s="203" t="e">
        <f t="shared" ca="1" si="110"/>
        <v>#NUM!</v>
      </c>
      <c r="AL34" s="40" t="e">
        <f t="shared" ca="1" si="111"/>
        <v>#NUM!</v>
      </c>
      <c r="AM34" s="40" t="e">
        <f t="shared" ca="1" si="112"/>
        <v>#NUM!</v>
      </c>
      <c r="AN34" s="40" t="e">
        <f t="shared" ca="1" si="113"/>
        <v>#NUM!</v>
      </c>
      <c r="AO34" s="40" t="e">
        <f t="shared" ca="1" si="114"/>
        <v>#NUM!</v>
      </c>
      <c r="AP34" s="40" t="e">
        <f t="shared" ca="1" si="115"/>
        <v>#NUM!</v>
      </c>
      <c r="AQ34" s="40" t="e">
        <f t="shared" ca="1" si="116"/>
        <v>#NUM!</v>
      </c>
      <c r="AR34" s="40" t="e">
        <f t="shared" ca="1" si="117"/>
        <v>#NUM!</v>
      </c>
      <c r="AS34" s="40" t="e">
        <f t="shared" ca="1" si="118"/>
        <v>#NUM!</v>
      </c>
    </row>
    <row r="35" spans="1:45" x14ac:dyDescent="0.25">
      <c r="A35" s="154"/>
      <c r="B35" s="73">
        <f t="shared" si="94"/>
        <v>-59090.909090909088</v>
      </c>
      <c r="E35" s="148">
        <v>42826</v>
      </c>
      <c r="G35" s="139">
        <v>33</v>
      </c>
      <c r="H35" s="139">
        <v>0</v>
      </c>
      <c r="I35" s="49">
        <f t="shared" si="95"/>
        <v>46522</v>
      </c>
      <c r="J35" s="76">
        <v>1950000</v>
      </c>
      <c r="K35" s="40">
        <f t="shared" si="96"/>
        <v>33</v>
      </c>
      <c r="L35" s="74">
        <f t="shared" si="97"/>
        <v>1950000</v>
      </c>
      <c r="M35" s="76"/>
      <c r="N35" s="76">
        <f t="shared" si="98"/>
        <v>0</v>
      </c>
      <c r="O35" s="142"/>
      <c r="P35" s="142"/>
      <c r="Q35" s="142"/>
      <c r="R35" s="144"/>
      <c r="S35" s="144"/>
      <c r="T35" s="144"/>
      <c r="U35" s="144"/>
      <c r="V35" s="144"/>
      <c r="W35" s="144"/>
      <c r="X35" s="144"/>
      <c r="Y35" s="143"/>
      <c r="Z35" s="143">
        <f t="shared" si="99"/>
        <v>0</v>
      </c>
      <c r="AA35" s="9">
        <f t="shared" si="100"/>
        <v>0.375</v>
      </c>
      <c r="AB35" s="9">
        <f t="shared" si="101"/>
        <v>0</v>
      </c>
      <c r="AC35" s="9">
        <f t="shared" si="102"/>
        <v>0</v>
      </c>
      <c r="AD35" s="9">
        <f t="shared" si="103"/>
        <v>0</v>
      </c>
      <c r="AE35" s="40" t="e">
        <f t="shared" ca="1" si="104"/>
        <v>#NUM!</v>
      </c>
      <c r="AF35" s="40" t="e">
        <f t="shared" ca="1" si="105"/>
        <v>#NUM!</v>
      </c>
      <c r="AG35" s="40" t="e">
        <f t="shared" ca="1" si="106"/>
        <v>#NUM!</v>
      </c>
      <c r="AH35" s="40" t="e">
        <f t="shared" ca="1" si="107"/>
        <v>#NUM!</v>
      </c>
      <c r="AI35" s="40" t="e">
        <f t="shared" ca="1" si="108"/>
        <v>#NUM!</v>
      </c>
      <c r="AJ35" s="40" t="e">
        <f t="shared" ca="1" si="109"/>
        <v>#NUM!</v>
      </c>
      <c r="AK35" s="203" t="e">
        <f t="shared" ca="1" si="110"/>
        <v>#NUM!</v>
      </c>
      <c r="AL35" s="40" t="e">
        <f t="shared" ca="1" si="111"/>
        <v>#NUM!</v>
      </c>
      <c r="AM35" s="40" t="e">
        <f t="shared" ca="1" si="112"/>
        <v>#NUM!</v>
      </c>
      <c r="AN35" s="40" t="e">
        <f t="shared" ca="1" si="113"/>
        <v>#NUM!</v>
      </c>
      <c r="AO35" s="40" t="e">
        <f t="shared" ca="1" si="114"/>
        <v>#NUM!</v>
      </c>
      <c r="AP35" s="40" t="e">
        <f t="shared" ca="1" si="115"/>
        <v>#NUM!</v>
      </c>
      <c r="AQ35" s="40" t="e">
        <f t="shared" ca="1" si="116"/>
        <v>#NUM!</v>
      </c>
      <c r="AR35" s="40" t="e">
        <f t="shared" ca="1" si="117"/>
        <v>#NUM!</v>
      </c>
      <c r="AS35" s="40" t="e">
        <f t="shared" ca="1" si="118"/>
        <v>#NUM!</v>
      </c>
    </row>
    <row r="36" spans="1:45" x14ac:dyDescent="0.25">
      <c r="A36" s="154"/>
      <c r="B36" s="73">
        <f t="shared" si="94"/>
        <v>-59090.909090909088</v>
      </c>
      <c r="E36" s="148">
        <v>42826</v>
      </c>
      <c r="G36" s="139">
        <v>33</v>
      </c>
      <c r="H36" s="139">
        <v>0</v>
      </c>
      <c r="I36" s="49">
        <f t="shared" si="95"/>
        <v>46522</v>
      </c>
      <c r="J36" s="76">
        <v>1950000</v>
      </c>
      <c r="K36" s="40">
        <f t="shared" si="96"/>
        <v>33</v>
      </c>
      <c r="L36" s="74">
        <f t="shared" si="97"/>
        <v>1950000</v>
      </c>
      <c r="M36" s="76"/>
      <c r="N36" s="76">
        <f t="shared" si="98"/>
        <v>0</v>
      </c>
      <c r="O36" s="142"/>
      <c r="P36" s="142"/>
      <c r="Q36" s="142"/>
      <c r="R36" s="144"/>
      <c r="S36" s="144"/>
      <c r="T36" s="144"/>
      <c r="U36" s="144"/>
      <c r="V36" s="144"/>
      <c r="W36" s="144"/>
      <c r="X36" s="144"/>
      <c r="Y36" s="143"/>
      <c r="Z36" s="143">
        <f t="shared" si="99"/>
        <v>0</v>
      </c>
      <c r="AA36" s="9">
        <f t="shared" si="100"/>
        <v>0.375</v>
      </c>
      <c r="AB36" s="9">
        <f t="shared" si="101"/>
        <v>0</v>
      </c>
      <c r="AC36" s="9">
        <f t="shared" si="102"/>
        <v>0</v>
      </c>
      <c r="AD36" s="9">
        <f t="shared" si="103"/>
        <v>0</v>
      </c>
      <c r="AE36" s="40" t="e">
        <f t="shared" ca="1" si="104"/>
        <v>#NUM!</v>
      </c>
      <c r="AF36" s="40" t="e">
        <f t="shared" ca="1" si="105"/>
        <v>#NUM!</v>
      </c>
      <c r="AG36" s="40" t="e">
        <f t="shared" ca="1" si="106"/>
        <v>#NUM!</v>
      </c>
      <c r="AH36" s="40" t="e">
        <f t="shared" ca="1" si="107"/>
        <v>#NUM!</v>
      </c>
      <c r="AI36" s="40" t="e">
        <f t="shared" ca="1" si="108"/>
        <v>#NUM!</v>
      </c>
      <c r="AJ36" s="40" t="e">
        <f t="shared" ca="1" si="109"/>
        <v>#NUM!</v>
      </c>
      <c r="AK36" s="203" t="e">
        <f t="shared" ca="1" si="110"/>
        <v>#NUM!</v>
      </c>
      <c r="AL36" s="40" t="e">
        <f t="shared" ca="1" si="111"/>
        <v>#NUM!</v>
      </c>
      <c r="AM36" s="40" t="e">
        <f t="shared" ca="1" si="112"/>
        <v>#NUM!</v>
      </c>
      <c r="AN36" s="40" t="e">
        <f t="shared" ca="1" si="113"/>
        <v>#NUM!</v>
      </c>
      <c r="AO36" s="40" t="e">
        <f t="shared" ca="1" si="114"/>
        <v>#NUM!</v>
      </c>
      <c r="AP36" s="40" t="e">
        <f t="shared" ca="1" si="115"/>
        <v>#NUM!</v>
      </c>
      <c r="AQ36" s="40" t="e">
        <f t="shared" ca="1" si="116"/>
        <v>#NUM!</v>
      </c>
      <c r="AR36" s="40" t="e">
        <f t="shared" ca="1" si="117"/>
        <v>#NUM!</v>
      </c>
      <c r="AS36" s="40" t="e">
        <f t="shared" ca="1" si="118"/>
        <v>#NUM!</v>
      </c>
    </row>
    <row r="37" spans="1:45" x14ac:dyDescent="0.25">
      <c r="A37" s="154"/>
      <c r="B37" s="73">
        <f t="shared" si="94"/>
        <v>-59090.909090909088</v>
      </c>
      <c r="E37" s="148">
        <v>42826</v>
      </c>
      <c r="G37" s="139">
        <v>33</v>
      </c>
      <c r="H37" s="139">
        <v>0</v>
      </c>
      <c r="I37" s="49">
        <f t="shared" si="95"/>
        <v>46522</v>
      </c>
      <c r="J37" s="76">
        <v>1950000</v>
      </c>
      <c r="K37" s="40">
        <f t="shared" si="96"/>
        <v>33</v>
      </c>
      <c r="L37" s="74">
        <f t="shared" si="97"/>
        <v>1950000</v>
      </c>
      <c r="M37" s="76"/>
      <c r="N37" s="76">
        <f t="shared" si="98"/>
        <v>0</v>
      </c>
      <c r="O37" s="142"/>
      <c r="P37" s="142"/>
      <c r="Q37" s="142"/>
      <c r="R37" s="144"/>
      <c r="S37" s="144"/>
      <c r="T37" s="144"/>
      <c r="U37" s="144"/>
      <c r="V37" s="144"/>
      <c r="W37" s="144"/>
      <c r="X37" s="144"/>
      <c r="Y37" s="143"/>
      <c r="Z37" s="143">
        <f t="shared" si="99"/>
        <v>0</v>
      </c>
      <c r="AA37" s="9">
        <f t="shared" si="100"/>
        <v>0.375</v>
      </c>
      <c r="AB37" s="9">
        <f t="shared" si="101"/>
        <v>0</v>
      </c>
      <c r="AC37" s="9">
        <f t="shared" si="102"/>
        <v>0</v>
      </c>
      <c r="AD37" s="9">
        <f t="shared" si="103"/>
        <v>0</v>
      </c>
      <c r="AE37" s="40" t="e">
        <f t="shared" ca="1" si="104"/>
        <v>#NUM!</v>
      </c>
      <c r="AF37" s="40" t="e">
        <f t="shared" ca="1" si="105"/>
        <v>#NUM!</v>
      </c>
      <c r="AG37" s="40" t="e">
        <f t="shared" ca="1" si="106"/>
        <v>#NUM!</v>
      </c>
      <c r="AH37" s="40" t="e">
        <f t="shared" ca="1" si="107"/>
        <v>#NUM!</v>
      </c>
      <c r="AI37" s="40" t="e">
        <f t="shared" ca="1" si="108"/>
        <v>#NUM!</v>
      </c>
      <c r="AJ37" s="40" t="e">
        <f t="shared" ca="1" si="109"/>
        <v>#NUM!</v>
      </c>
      <c r="AK37" s="203" t="e">
        <f t="shared" ca="1" si="110"/>
        <v>#NUM!</v>
      </c>
      <c r="AL37" s="40" t="e">
        <f t="shared" ca="1" si="111"/>
        <v>#NUM!</v>
      </c>
      <c r="AM37" s="40" t="e">
        <f t="shared" ca="1" si="112"/>
        <v>#NUM!</v>
      </c>
      <c r="AN37" s="40" t="e">
        <f t="shared" ca="1" si="113"/>
        <v>#NUM!</v>
      </c>
      <c r="AO37" s="40" t="e">
        <f t="shared" ca="1" si="114"/>
        <v>#NUM!</v>
      </c>
      <c r="AP37" s="40" t="e">
        <f t="shared" ca="1" si="115"/>
        <v>#NUM!</v>
      </c>
      <c r="AQ37" s="40" t="e">
        <f t="shared" ca="1" si="116"/>
        <v>#NUM!</v>
      </c>
      <c r="AR37" s="40" t="e">
        <f t="shared" ca="1" si="117"/>
        <v>#NUM!</v>
      </c>
      <c r="AS37" s="40" t="e">
        <f t="shared" ca="1" si="118"/>
        <v>#NUM!</v>
      </c>
    </row>
    <row r="38" spans="1:45" x14ac:dyDescent="0.25">
      <c r="A38" s="154"/>
      <c r="B38" s="73">
        <f t="shared" si="94"/>
        <v>-59090.909090909088</v>
      </c>
      <c r="E38" s="148">
        <v>42826</v>
      </c>
      <c r="G38" s="139">
        <v>33</v>
      </c>
      <c r="H38" s="139">
        <v>0</v>
      </c>
      <c r="I38" s="49">
        <f t="shared" si="95"/>
        <v>46522</v>
      </c>
      <c r="J38" s="76">
        <v>1950000</v>
      </c>
      <c r="K38" s="40">
        <f t="shared" si="96"/>
        <v>33</v>
      </c>
      <c r="L38" s="74">
        <f t="shared" si="97"/>
        <v>1950000</v>
      </c>
      <c r="M38" s="76"/>
      <c r="N38" s="76">
        <f t="shared" si="98"/>
        <v>0</v>
      </c>
      <c r="O38" s="142"/>
      <c r="P38" s="142"/>
      <c r="Q38" s="142"/>
      <c r="R38" s="144"/>
      <c r="S38" s="144"/>
      <c r="T38" s="144"/>
      <c r="U38" s="144"/>
      <c r="V38" s="144"/>
      <c r="W38" s="144"/>
      <c r="X38" s="144"/>
      <c r="Y38" s="143"/>
      <c r="Z38" s="143">
        <f t="shared" si="99"/>
        <v>0</v>
      </c>
      <c r="AA38" s="9">
        <f t="shared" si="100"/>
        <v>0.375</v>
      </c>
      <c r="AB38" s="9">
        <f t="shared" si="101"/>
        <v>0</v>
      </c>
      <c r="AC38" s="9">
        <f t="shared" si="102"/>
        <v>0</v>
      </c>
      <c r="AD38" s="9">
        <f t="shared" si="103"/>
        <v>0</v>
      </c>
      <c r="AE38" s="40" t="e">
        <f t="shared" ca="1" si="104"/>
        <v>#NUM!</v>
      </c>
      <c r="AF38" s="40" t="e">
        <f t="shared" ca="1" si="105"/>
        <v>#NUM!</v>
      </c>
      <c r="AG38" s="40" t="e">
        <f t="shared" ca="1" si="106"/>
        <v>#NUM!</v>
      </c>
      <c r="AH38" s="40" t="e">
        <f t="shared" ca="1" si="107"/>
        <v>#NUM!</v>
      </c>
      <c r="AI38" s="40" t="e">
        <f t="shared" ca="1" si="108"/>
        <v>#NUM!</v>
      </c>
      <c r="AJ38" s="40" t="e">
        <f t="shared" ca="1" si="109"/>
        <v>#NUM!</v>
      </c>
      <c r="AK38" s="203" t="e">
        <f t="shared" ca="1" si="110"/>
        <v>#NUM!</v>
      </c>
      <c r="AL38" s="40" t="e">
        <f t="shared" ca="1" si="111"/>
        <v>#NUM!</v>
      </c>
      <c r="AM38" s="40" t="e">
        <f t="shared" ca="1" si="112"/>
        <v>#NUM!</v>
      </c>
      <c r="AN38" s="40" t="e">
        <f t="shared" ca="1" si="113"/>
        <v>#NUM!</v>
      </c>
      <c r="AO38" s="40" t="e">
        <f t="shared" ca="1" si="114"/>
        <v>#NUM!</v>
      </c>
      <c r="AP38" s="40" t="e">
        <f t="shared" ca="1" si="115"/>
        <v>#NUM!</v>
      </c>
      <c r="AQ38" s="40" t="e">
        <f t="shared" ca="1" si="116"/>
        <v>#NUM!</v>
      </c>
      <c r="AR38" s="40" t="e">
        <f t="shared" ca="1" si="117"/>
        <v>#NUM!</v>
      </c>
      <c r="AS38" s="40" t="e">
        <f t="shared" ca="1" si="118"/>
        <v>#NUM!</v>
      </c>
    </row>
    <row r="39" spans="1:45" x14ac:dyDescent="0.25">
      <c r="A39" s="154"/>
      <c r="B39" s="73">
        <f t="shared" si="94"/>
        <v>-59090.909090909088</v>
      </c>
      <c r="E39" s="148">
        <v>42826</v>
      </c>
      <c r="G39" s="139">
        <v>33</v>
      </c>
      <c r="H39" s="139">
        <v>0</v>
      </c>
      <c r="I39" s="49">
        <f t="shared" si="95"/>
        <v>46522</v>
      </c>
      <c r="J39" s="76">
        <v>1950000</v>
      </c>
      <c r="K39" s="40">
        <f t="shared" si="96"/>
        <v>33</v>
      </c>
      <c r="L39" s="74">
        <f t="shared" si="97"/>
        <v>1950000</v>
      </c>
      <c r="M39" s="76"/>
      <c r="N39" s="76">
        <f t="shared" si="98"/>
        <v>0</v>
      </c>
      <c r="O39" s="142"/>
      <c r="P39" s="142"/>
      <c r="Q39" s="142"/>
      <c r="R39" s="144"/>
      <c r="S39" s="144"/>
      <c r="T39" s="144"/>
      <c r="U39" s="144"/>
      <c r="V39" s="144"/>
      <c r="W39" s="144"/>
      <c r="X39" s="144"/>
      <c r="Y39" s="143"/>
      <c r="Z39" s="143">
        <f t="shared" si="99"/>
        <v>0</v>
      </c>
      <c r="AA39" s="9">
        <f t="shared" si="100"/>
        <v>0.375</v>
      </c>
      <c r="AB39" s="9">
        <f t="shared" si="101"/>
        <v>0</v>
      </c>
      <c r="AC39" s="9">
        <f t="shared" si="102"/>
        <v>0</v>
      </c>
      <c r="AD39" s="9">
        <f t="shared" si="103"/>
        <v>0</v>
      </c>
      <c r="AE39" s="40" t="e">
        <f t="shared" ca="1" si="104"/>
        <v>#NUM!</v>
      </c>
      <c r="AF39" s="40" t="e">
        <f t="shared" ca="1" si="105"/>
        <v>#NUM!</v>
      </c>
      <c r="AG39" s="40" t="e">
        <f t="shared" ca="1" si="106"/>
        <v>#NUM!</v>
      </c>
      <c r="AH39" s="40" t="e">
        <f t="shared" ca="1" si="107"/>
        <v>#NUM!</v>
      </c>
      <c r="AI39" s="40" t="e">
        <f t="shared" ca="1" si="108"/>
        <v>#NUM!</v>
      </c>
      <c r="AJ39" s="40" t="e">
        <f t="shared" ca="1" si="109"/>
        <v>#NUM!</v>
      </c>
      <c r="AK39" s="203" t="e">
        <f t="shared" ca="1" si="110"/>
        <v>#NUM!</v>
      </c>
      <c r="AL39" s="40" t="e">
        <f t="shared" ca="1" si="111"/>
        <v>#NUM!</v>
      </c>
      <c r="AM39" s="40" t="e">
        <f t="shared" ca="1" si="112"/>
        <v>#NUM!</v>
      </c>
      <c r="AN39" s="40" t="e">
        <f t="shared" ca="1" si="113"/>
        <v>#NUM!</v>
      </c>
      <c r="AO39" s="40" t="e">
        <f t="shared" ca="1" si="114"/>
        <v>#NUM!</v>
      </c>
      <c r="AP39" s="40" t="e">
        <f t="shared" ca="1" si="115"/>
        <v>#NUM!</v>
      </c>
      <c r="AQ39" s="40" t="e">
        <f t="shared" ca="1" si="116"/>
        <v>#NUM!</v>
      </c>
      <c r="AR39" s="40" t="e">
        <f t="shared" ca="1" si="117"/>
        <v>#NUM!</v>
      </c>
      <c r="AS39" s="40" t="e">
        <f t="shared" ca="1" si="118"/>
        <v>#NUM!</v>
      </c>
    </row>
    <row r="40" spans="1:45" x14ac:dyDescent="0.25">
      <c r="A40" s="154"/>
      <c r="B40" s="73">
        <f t="shared" si="94"/>
        <v>-59090.909090909088</v>
      </c>
      <c r="E40" s="148">
        <v>42826</v>
      </c>
      <c r="G40" s="139">
        <v>33</v>
      </c>
      <c r="H40" s="139">
        <v>0</v>
      </c>
      <c r="I40" s="49">
        <f t="shared" si="95"/>
        <v>46522</v>
      </c>
      <c r="J40" s="76">
        <v>1950000</v>
      </c>
      <c r="K40" s="40">
        <f t="shared" si="96"/>
        <v>33</v>
      </c>
      <c r="L40" s="74">
        <f t="shared" si="97"/>
        <v>1950000</v>
      </c>
      <c r="M40" s="76"/>
      <c r="N40" s="76">
        <f t="shared" si="98"/>
        <v>0</v>
      </c>
      <c r="O40" s="142"/>
      <c r="P40" s="142"/>
      <c r="Q40" s="142"/>
      <c r="R40" s="144"/>
      <c r="S40" s="144"/>
      <c r="T40" s="144"/>
      <c r="U40" s="144"/>
      <c r="V40" s="144"/>
      <c r="W40" s="144"/>
      <c r="X40" s="144"/>
      <c r="Y40" s="143"/>
      <c r="Z40" s="143">
        <f t="shared" si="99"/>
        <v>0</v>
      </c>
      <c r="AA40" s="9">
        <f t="shared" si="100"/>
        <v>0.375</v>
      </c>
      <c r="AB40" s="9">
        <f t="shared" si="101"/>
        <v>0</v>
      </c>
      <c r="AC40" s="9">
        <f t="shared" si="102"/>
        <v>0</v>
      </c>
      <c r="AD40" s="9">
        <f t="shared" si="103"/>
        <v>0</v>
      </c>
      <c r="AE40" s="40" t="e">
        <f t="shared" ca="1" si="104"/>
        <v>#NUM!</v>
      </c>
      <c r="AF40" s="40" t="e">
        <f t="shared" ca="1" si="105"/>
        <v>#NUM!</v>
      </c>
      <c r="AG40" s="40" t="e">
        <f t="shared" ca="1" si="106"/>
        <v>#NUM!</v>
      </c>
      <c r="AH40" s="40" t="e">
        <f t="shared" ca="1" si="107"/>
        <v>#NUM!</v>
      </c>
      <c r="AI40" s="40" t="e">
        <f t="shared" ca="1" si="108"/>
        <v>#NUM!</v>
      </c>
      <c r="AJ40" s="40" t="e">
        <f t="shared" ca="1" si="109"/>
        <v>#NUM!</v>
      </c>
      <c r="AK40" s="203" t="e">
        <f t="shared" ca="1" si="110"/>
        <v>#NUM!</v>
      </c>
      <c r="AL40" s="40" t="e">
        <f t="shared" ca="1" si="111"/>
        <v>#NUM!</v>
      </c>
      <c r="AM40" s="40" t="e">
        <f t="shared" ca="1" si="112"/>
        <v>#NUM!</v>
      </c>
      <c r="AN40" s="40" t="e">
        <f t="shared" ca="1" si="113"/>
        <v>#NUM!</v>
      </c>
      <c r="AO40" s="40" t="e">
        <f t="shared" ca="1" si="114"/>
        <v>#NUM!</v>
      </c>
      <c r="AP40" s="40" t="e">
        <f t="shared" ca="1" si="115"/>
        <v>#NUM!</v>
      </c>
      <c r="AQ40" s="40" t="e">
        <f t="shared" ca="1" si="116"/>
        <v>#NUM!</v>
      </c>
      <c r="AR40" s="40" t="e">
        <f t="shared" ca="1" si="117"/>
        <v>#NUM!</v>
      </c>
      <c r="AS40" s="40" t="e">
        <f t="shared" ca="1" si="118"/>
        <v>#NUM!</v>
      </c>
    </row>
    <row r="41" spans="1:45" x14ac:dyDescent="0.25">
      <c r="A41" s="154"/>
      <c r="B41" s="73">
        <f t="shared" si="94"/>
        <v>-59090.909090909088</v>
      </c>
      <c r="E41" s="148">
        <v>42826</v>
      </c>
      <c r="G41" s="139">
        <v>33</v>
      </c>
      <c r="H41" s="139">
        <v>0</v>
      </c>
      <c r="I41" s="49">
        <f t="shared" si="95"/>
        <v>46522</v>
      </c>
      <c r="J41" s="76">
        <v>1950000</v>
      </c>
      <c r="K41" s="40">
        <f t="shared" si="96"/>
        <v>33</v>
      </c>
      <c r="L41" s="74">
        <f t="shared" si="97"/>
        <v>1950000</v>
      </c>
      <c r="M41" s="76"/>
      <c r="N41" s="76">
        <f t="shared" si="98"/>
        <v>0</v>
      </c>
      <c r="O41" s="142"/>
      <c r="P41" s="142"/>
      <c r="Q41" s="142"/>
      <c r="R41" s="144"/>
      <c r="S41" s="144"/>
      <c r="T41" s="144"/>
      <c r="U41" s="144"/>
      <c r="V41" s="144"/>
      <c r="W41" s="144"/>
      <c r="X41" s="144"/>
      <c r="Y41" s="143"/>
      <c r="Z41" s="143">
        <f t="shared" si="99"/>
        <v>0</v>
      </c>
      <c r="AA41" s="9">
        <f t="shared" si="100"/>
        <v>0.375</v>
      </c>
      <c r="AB41" s="9">
        <f t="shared" si="101"/>
        <v>0</v>
      </c>
      <c r="AC41" s="9">
        <f t="shared" si="102"/>
        <v>0</v>
      </c>
      <c r="AD41" s="9">
        <f t="shared" si="103"/>
        <v>0</v>
      </c>
      <c r="AE41" s="40" t="e">
        <f t="shared" ca="1" si="104"/>
        <v>#NUM!</v>
      </c>
      <c r="AF41" s="40" t="e">
        <f t="shared" ca="1" si="105"/>
        <v>#NUM!</v>
      </c>
      <c r="AG41" s="40" t="e">
        <f t="shared" ca="1" si="106"/>
        <v>#NUM!</v>
      </c>
      <c r="AH41" s="40" t="e">
        <f t="shared" ca="1" si="107"/>
        <v>#NUM!</v>
      </c>
      <c r="AI41" s="40" t="e">
        <f t="shared" ca="1" si="108"/>
        <v>#NUM!</v>
      </c>
      <c r="AJ41" s="40" t="e">
        <f t="shared" ca="1" si="109"/>
        <v>#NUM!</v>
      </c>
      <c r="AK41" s="203" t="e">
        <f t="shared" ca="1" si="110"/>
        <v>#NUM!</v>
      </c>
      <c r="AL41" s="40" t="e">
        <f t="shared" ca="1" si="111"/>
        <v>#NUM!</v>
      </c>
      <c r="AM41" s="40" t="e">
        <f t="shared" ca="1" si="112"/>
        <v>#NUM!</v>
      </c>
      <c r="AN41" s="40" t="e">
        <f t="shared" ca="1" si="113"/>
        <v>#NUM!</v>
      </c>
      <c r="AO41" s="40" t="e">
        <f t="shared" ca="1" si="114"/>
        <v>#NUM!</v>
      </c>
      <c r="AP41" s="40" t="e">
        <f t="shared" ca="1" si="115"/>
        <v>#NUM!</v>
      </c>
      <c r="AQ41" s="40" t="e">
        <f t="shared" ca="1" si="116"/>
        <v>#NUM!</v>
      </c>
      <c r="AR41" s="40" t="e">
        <f t="shared" ca="1" si="117"/>
        <v>#NUM!</v>
      </c>
      <c r="AS41" s="40" t="e">
        <f t="shared" ca="1" si="118"/>
        <v>#NUM!</v>
      </c>
    </row>
    <row r="42" spans="1:45" x14ac:dyDescent="0.25">
      <c r="A42" s="154"/>
      <c r="B42" s="73">
        <f t="shared" si="94"/>
        <v>-59090.909090909088</v>
      </c>
      <c r="E42" s="148">
        <v>42826</v>
      </c>
      <c r="G42" s="139">
        <v>33</v>
      </c>
      <c r="H42" s="139">
        <v>0</v>
      </c>
      <c r="I42" s="49">
        <f t="shared" si="95"/>
        <v>46522</v>
      </c>
      <c r="J42" s="76">
        <v>1950000</v>
      </c>
      <c r="K42" s="40">
        <f t="shared" si="96"/>
        <v>33</v>
      </c>
      <c r="L42" s="74">
        <f t="shared" si="97"/>
        <v>1950000</v>
      </c>
      <c r="M42" s="76"/>
      <c r="N42" s="76">
        <f t="shared" si="98"/>
        <v>0</v>
      </c>
      <c r="O42" s="142"/>
      <c r="P42" s="142"/>
      <c r="Q42" s="142"/>
      <c r="R42" s="144"/>
      <c r="S42" s="144"/>
      <c r="T42" s="144"/>
      <c r="U42" s="144"/>
      <c r="V42" s="144"/>
      <c r="W42" s="144"/>
      <c r="X42" s="144"/>
      <c r="Y42" s="143"/>
      <c r="Z42" s="143">
        <f t="shared" si="99"/>
        <v>0</v>
      </c>
      <c r="AA42" s="9">
        <f t="shared" si="100"/>
        <v>0.375</v>
      </c>
      <c r="AB42" s="9">
        <f t="shared" si="101"/>
        <v>0</v>
      </c>
      <c r="AC42" s="9">
        <f t="shared" si="102"/>
        <v>0</v>
      </c>
      <c r="AD42" s="9">
        <f t="shared" si="103"/>
        <v>0</v>
      </c>
      <c r="AE42" s="40" t="e">
        <f t="shared" ca="1" si="104"/>
        <v>#NUM!</v>
      </c>
      <c r="AF42" s="40" t="e">
        <f t="shared" ca="1" si="105"/>
        <v>#NUM!</v>
      </c>
      <c r="AG42" s="40" t="e">
        <f t="shared" ca="1" si="106"/>
        <v>#NUM!</v>
      </c>
      <c r="AH42" s="40" t="e">
        <f t="shared" ca="1" si="107"/>
        <v>#NUM!</v>
      </c>
      <c r="AI42" s="40" t="e">
        <f t="shared" ca="1" si="108"/>
        <v>#NUM!</v>
      </c>
      <c r="AJ42" s="40" t="e">
        <f t="shared" ca="1" si="109"/>
        <v>#NUM!</v>
      </c>
      <c r="AK42" s="203" t="e">
        <f t="shared" ca="1" si="110"/>
        <v>#NUM!</v>
      </c>
      <c r="AL42" s="40" t="e">
        <f t="shared" ca="1" si="111"/>
        <v>#NUM!</v>
      </c>
      <c r="AM42" s="40" t="e">
        <f t="shared" ca="1" si="112"/>
        <v>#NUM!</v>
      </c>
      <c r="AN42" s="40" t="e">
        <f t="shared" ca="1" si="113"/>
        <v>#NUM!</v>
      </c>
      <c r="AO42" s="40" t="e">
        <f t="shared" ca="1" si="114"/>
        <v>#NUM!</v>
      </c>
      <c r="AP42" s="40" t="e">
        <f t="shared" ca="1" si="115"/>
        <v>#NUM!</v>
      </c>
      <c r="AQ42" s="40" t="e">
        <f t="shared" ca="1" si="116"/>
        <v>#NUM!</v>
      </c>
      <c r="AR42" s="40" t="e">
        <f t="shared" ca="1" si="117"/>
        <v>#NUM!</v>
      </c>
      <c r="AS42" s="40" t="e">
        <f t="shared" ca="1" si="118"/>
        <v>#NUM!</v>
      </c>
    </row>
    <row r="43" spans="1:45" x14ac:dyDescent="0.25">
      <c r="A43" s="154"/>
      <c r="B43" s="73">
        <f t="shared" si="94"/>
        <v>-59090.909090909088</v>
      </c>
      <c r="E43" s="148">
        <v>42826</v>
      </c>
      <c r="G43" s="139">
        <v>33</v>
      </c>
      <c r="H43" s="139">
        <v>0</v>
      </c>
      <c r="I43" s="49">
        <f t="shared" si="95"/>
        <v>46522</v>
      </c>
      <c r="J43" s="76">
        <v>1950000</v>
      </c>
      <c r="K43" s="40">
        <f t="shared" si="96"/>
        <v>33</v>
      </c>
      <c r="L43" s="74">
        <f t="shared" si="97"/>
        <v>1950000</v>
      </c>
      <c r="M43" s="76"/>
      <c r="N43" s="76">
        <f t="shared" si="98"/>
        <v>0</v>
      </c>
      <c r="O43" s="142"/>
      <c r="P43" s="142"/>
      <c r="Q43" s="142"/>
      <c r="R43" s="144"/>
      <c r="S43" s="144"/>
      <c r="T43" s="144"/>
      <c r="U43" s="144"/>
      <c r="V43" s="144"/>
      <c r="W43" s="144"/>
      <c r="X43" s="144"/>
      <c r="Y43" s="143"/>
      <c r="Z43" s="143">
        <f t="shared" si="99"/>
        <v>0</v>
      </c>
      <c r="AA43" s="9">
        <f t="shared" si="100"/>
        <v>0.375</v>
      </c>
      <c r="AB43" s="9">
        <f t="shared" si="101"/>
        <v>0</v>
      </c>
      <c r="AC43" s="9">
        <f t="shared" si="102"/>
        <v>0</v>
      </c>
      <c r="AD43" s="9">
        <f t="shared" si="103"/>
        <v>0</v>
      </c>
      <c r="AE43" s="40" t="e">
        <f t="shared" ca="1" si="104"/>
        <v>#NUM!</v>
      </c>
      <c r="AF43" s="40" t="e">
        <f t="shared" ca="1" si="105"/>
        <v>#NUM!</v>
      </c>
      <c r="AG43" s="40" t="e">
        <f t="shared" ca="1" si="106"/>
        <v>#NUM!</v>
      </c>
      <c r="AH43" s="40" t="e">
        <f t="shared" ca="1" si="107"/>
        <v>#NUM!</v>
      </c>
      <c r="AI43" s="40" t="e">
        <f t="shared" ca="1" si="108"/>
        <v>#NUM!</v>
      </c>
      <c r="AJ43" s="40" t="e">
        <f t="shared" ca="1" si="109"/>
        <v>#NUM!</v>
      </c>
      <c r="AK43" s="203" t="e">
        <f t="shared" ca="1" si="110"/>
        <v>#NUM!</v>
      </c>
      <c r="AL43" s="40" t="e">
        <f t="shared" ca="1" si="111"/>
        <v>#NUM!</v>
      </c>
      <c r="AM43" s="40" t="e">
        <f t="shared" ca="1" si="112"/>
        <v>#NUM!</v>
      </c>
      <c r="AN43" s="40" t="e">
        <f t="shared" ca="1" si="113"/>
        <v>#NUM!</v>
      </c>
      <c r="AO43" s="40" t="e">
        <f t="shared" ca="1" si="114"/>
        <v>#NUM!</v>
      </c>
      <c r="AP43" s="40" t="e">
        <f t="shared" ca="1" si="115"/>
        <v>#NUM!</v>
      </c>
      <c r="AQ43" s="40" t="e">
        <f t="shared" ca="1" si="116"/>
        <v>#NUM!</v>
      </c>
      <c r="AR43" s="40" t="e">
        <f t="shared" ca="1" si="117"/>
        <v>#NUM!</v>
      </c>
      <c r="AS43" s="40" t="e">
        <f t="shared" ca="1" si="118"/>
        <v>#NUM!</v>
      </c>
    </row>
    <row r="44" spans="1:45" x14ac:dyDescent="0.25">
      <c r="A44" s="154"/>
      <c r="B44" s="73">
        <f t="shared" si="94"/>
        <v>-59090.909090909088</v>
      </c>
      <c r="E44" s="148">
        <v>42826</v>
      </c>
      <c r="G44" s="139">
        <v>33</v>
      </c>
      <c r="H44" s="139">
        <v>0</v>
      </c>
      <c r="I44" s="49">
        <f t="shared" si="95"/>
        <v>46522</v>
      </c>
      <c r="J44" s="76">
        <v>1950000</v>
      </c>
      <c r="K44" s="40">
        <f t="shared" si="96"/>
        <v>33</v>
      </c>
      <c r="L44" s="74">
        <f t="shared" si="97"/>
        <v>1950000</v>
      </c>
      <c r="M44" s="76"/>
      <c r="N44" s="76">
        <f t="shared" si="98"/>
        <v>0</v>
      </c>
      <c r="O44" s="142"/>
      <c r="P44" s="142"/>
      <c r="Q44" s="142"/>
      <c r="R44" s="144"/>
      <c r="S44" s="144"/>
      <c r="T44" s="144"/>
      <c r="U44" s="144"/>
      <c r="V44" s="144"/>
      <c r="W44" s="144"/>
      <c r="X44" s="144"/>
      <c r="Y44" s="143"/>
      <c r="Z44" s="143">
        <f t="shared" si="99"/>
        <v>0</v>
      </c>
      <c r="AA44" s="9">
        <f t="shared" si="100"/>
        <v>0.375</v>
      </c>
      <c r="AB44" s="9">
        <f t="shared" si="101"/>
        <v>0</v>
      </c>
      <c r="AC44" s="9">
        <f t="shared" si="102"/>
        <v>0</v>
      </c>
      <c r="AD44" s="9">
        <f t="shared" si="103"/>
        <v>0</v>
      </c>
      <c r="AE44" s="40" t="e">
        <f t="shared" ca="1" si="104"/>
        <v>#NUM!</v>
      </c>
      <c r="AF44" s="40" t="e">
        <f t="shared" ca="1" si="105"/>
        <v>#NUM!</v>
      </c>
      <c r="AG44" s="40" t="e">
        <f t="shared" ca="1" si="106"/>
        <v>#NUM!</v>
      </c>
      <c r="AH44" s="40" t="e">
        <f t="shared" ca="1" si="107"/>
        <v>#NUM!</v>
      </c>
      <c r="AI44" s="40" t="e">
        <f t="shared" ca="1" si="108"/>
        <v>#NUM!</v>
      </c>
      <c r="AJ44" s="40" t="e">
        <f t="shared" ca="1" si="109"/>
        <v>#NUM!</v>
      </c>
      <c r="AK44" s="203" t="e">
        <f t="shared" ca="1" si="110"/>
        <v>#NUM!</v>
      </c>
      <c r="AL44" s="40" t="e">
        <f t="shared" ca="1" si="111"/>
        <v>#NUM!</v>
      </c>
      <c r="AM44" s="40" t="e">
        <f t="shared" ca="1" si="112"/>
        <v>#NUM!</v>
      </c>
      <c r="AN44" s="40" t="e">
        <f t="shared" ca="1" si="113"/>
        <v>#NUM!</v>
      </c>
      <c r="AO44" s="40" t="e">
        <f t="shared" ca="1" si="114"/>
        <v>#NUM!</v>
      </c>
      <c r="AP44" s="40" t="e">
        <f t="shared" ca="1" si="115"/>
        <v>#NUM!</v>
      </c>
      <c r="AQ44" s="40" t="e">
        <f t="shared" ca="1" si="116"/>
        <v>#NUM!</v>
      </c>
      <c r="AR44" s="40" t="e">
        <f t="shared" ca="1" si="117"/>
        <v>#NUM!</v>
      </c>
      <c r="AS44" s="40" t="e">
        <f t="shared" ca="1" si="118"/>
        <v>#NUM!</v>
      </c>
    </row>
    <row r="45" spans="1:45" x14ac:dyDescent="0.25">
      <c r="A45" s="154"/>
      <c r="B45" s="73">
        <f t="shared" si="94"/>
        <v>-59090.909090909088</v>
      </c>
      <c r="E45" s="148">
        <v>42826</v>
      </c>
      <c r="G45" s="139">
        <v>33</v>
      </c>
      <c r="H45" s="139">
        <v>0</v>
      </c>
      <c r="I45" s="49">
        <f t="shared" si="95"/>
        <v>46522</v>
      </c>
      <c r="J45" s="76">
        <v>1950000</v>
      </c>
      <c r="K45" s="40">
        <f t="shared" si="96"/>
        <v>33</v>
      </c>
      <c r="L45" s="74">
        <f t="shared" si="97"/>
        <v>1950000</v>
      </c>
      <c r="M45" s="76"/>
      <c r="N45" s="76">
        <f t="shared" si="98"/>
        <v>0</v>
      </c>
      <c r="O45" s="142"/>
      <c r="P45" s="142"/>
      <c r="Q45" s="142"/>
      <c r="R45" s="144"/>
      <c r="S45" s="144"/>
      <c r="T45" s="144"/>
      <c r="U45" s="144"/>
      <c r="V45" s="144"/>
      <c r="W45" s="144"/>
      <c r="X45" s="144"/>
      <c r="Y45" s="143"/>
      <c r="Z45" s="143">
        <f t="shared" si="99"/>
        <v>0</v>
      </c>
      <c r="AA45" s="9">
        <f t="shared" si="100"/>
        <v>0.375</v>
      </c>
      <c r="AB45" s="9">
        <f t="shared" si="101"/>
        <v>0</v>
      </c>
      <c r="AC45" s="9">
        <f t="shared" si="102"/>
        <v>0</v>
      </c>
      <c r="AD45" s="9">
        <f t="shared" si="103"/>
        <v>0</v>
      </c>
      <c r="AE45" s="40" t="e">
        <f t="shared" ca="1" si="104"/>
        <v>#NUM!</v>
      </c>
      <c r="AF45" s="40" t="e">
        <f t="shared" ca="1" si="105"/>
        <v>#NUM!</v>
      </c>
      <c r="AG45" s="40" t="e">
        <f t="shared" ca="1" si="106"/>
        <v>#NUM!</v>
      </c>
      <c r="AH45" s="40" t="e">
        <f t="shared" ca="1" si="107"/>
        <v>#NUM!</v>
      </c>
      <c r="AI45" s="40" t="e">
        <f t="shared" ca="1" si="108"/>
        <v>#NUM!</v>
      </c>
      <c r="AJ45" s="40" t="e">
        <f t="shared" ca="1" si="109"/>
        <v>#NUM!</v>
      </c>
      <c r="AK45" s="203" t="e">
        <f t="shared" ca="1" si="110"/>
        <v>#NUM!</v>
      </c>
      <c r="AL45" s="40" t="e">
        <f t="shared" ca="1" si="111"/>
        <v>#NUM!</v>
      </c>
      <c r="AM45" s="40" t="e">
        <f t="shared" ca="1" si="112"/>
        <v>#NUM!</v>
      </c>
      <c r="AN45" s="40" t="e">
        <f t="shared" ca="1" si="113"/>
        <v>#NUM!</v>
      </c>
      <c r="AO45" s="40" t="e">
        <f t="shared" ca="1" si="114"/>
        <v>#NUM!</v>
      </c>
      <c r="AP45" s="40" t="e">
        <f t="shared" ca="1" si="115"/>
        <v>#NUM!</v>
      </c>
      <c r="AQ45" s="40" t="e">
        <f t="shared" ca="1" si="116"/>
        <v>#NUM!</v>
      </c>
      <c r="AR45" s="40" t="e">
        <f t="shared" ca="1" si="117"/>
        <v>#NUM!</v>
      </c>
      <c r="AS45" s="40" t="e">
        <f t="shared" ca="1" si="118"/>
        <v>#NUM!</v>
      </c>
    </row>
    <row r="46" spans="1:45" x14ac:dyDescent="0.25">
      <c r="A46" s="154"/>
      <c r="B46" s="73">
        <f t="shared" si="94"/>
        <v>-59090.909090909088</v>
      </c>
      <c r="E46" s="148">
        <v>42826</v>
      </c>
      <c r="G46" s="139">
        <v>33</v>
      </c>
      <c r="H46" s="139">
        <v>0</v>
      </c>
      <c r="I46" s="49">
        <f t="shared" si="95"/>
        <v>46522</v>
      </c>
      <c r="J46" s="76">
        <v>1950000</v>
      </c>
      <c r="K46" s="40">
        <f t="shared" si="96"/>
        <v>33</v>
      </c>
      <c r="L46" s="74">
        <f t="shared" si="97"/>
        <v>1950000</v>
      </c>
      <c r="M46" s="76"/>
      <c r="N46" s="76">
        <f t="shared" si="98"/>
        <v>0</v>
      </c>
      <c r="O46" s="142"/>
      <c r="P46" s="142"/>
      <c r="Q46" s="142"/>
      <c r="R46" s="144"/>
      <c r="S46" s="144"/>
      <c r="T46" s="144"/>
      <c r="U46" s="144"/>
      <c r="V46" s="144"/>
      <c r="W46" s="144"/>
      <c r="X46" s="144"/>
      <c r="Y46" s="143"/>
      <c r="Z46" s="143">
        <f t="shared" si="99"/>
        <v>0</v>
      </c>
      <c r="AA46" s="9">
        <f t="shared" si="100"/>
        <v>0.375</v>
      </c>
      <c r="AB46" s="9">
        <f t="shared" si="101"/>
        <v>0</v>
      </c>
      <c r="AC46" s="9">
        <f t="shared" si="102"/>
        <v>0</v>
      </c>
      <c r="AD46" s="9">
        <f t="shared" si="103"/>
        <v>0</v>
      </c>
      <c r="AE46" s="40" t="e">
        <f t="shared" ca="1" si="104"/>
        <v>#NUM!</v>
      </c>
      <c r="AF46" s="40" t="e">
        <f t="shared" ca="1" si="105"/>
        <v>#NUM!</v>
      </c>
      <c r="AG46" s="40" t="e">
        <f t="shared" ca="1" si="106"/>
        <v>#NUM!</v>
      </c>
      <c r="AH46" s="40" t="e">
        <f t="shared" ca="1" si="107"/>
        <v>#NUM!</v>
      </c>
      <c r="AI46" s="40" t="e">
        <f t="shared" ca="1" si="108"/>
        <v>#NUM!</v>
      </c>
      <c r="AJ46" s="40" t="e">
        <f t="shared" ca="1" si="109"/>
        <v>#NUM!</v>
      </c>
      <c r="AK46" s="203" t="e">
        <f t="shared" ca="1" si="110"/>
        <v>#NUM!</v>
      </c>
      <c r="AL46" s="40" t="e">
        <f t="shared" ca="1" si="111"/>
        <v>#NUM!</v>
      </c>
      <c r="AM46" s="40" t="e">
        <f t="shared" ca="1" si="112"/>
        <v>#NUM!</v>
      </c>
      <c r="AN46" s="40" t="e">
        <f t="shared" ca="1" si="113"/>
        <v>#NUM!</v>
      </c>
      <c r="AO46" s="40" t="e">
        <f t="shared" ca="1" si="114"/>
        <v>#NUM!</v>
      </c>
      <c r="AP46" s="40" t="e">
        <f t="shared" ca="1" si="115"/>
        <v>#NUM!</v>
      </c>
      <c r="AQ46" s="40" t="e">
        <f t="shared" ca="1" si="116"/>
        <v>#NUM!</v>
      </c>
      <c r="AR46" s="40" t="e">
        <f t="shared" ca="1" si="117"/>
        <v>#NUM!</v>
      </c>
      <c r="AS46" s="40" t="e">
        <f t="shared" ca="1" si="118"/>
        <v>#NUM!</v>
      </c>
    </row>
    <row r="47" spans="1:45" x14ac:dyDescent="0.25">
      <c r="A47" s="154"/>
      <c r="B47" s="73">
        <f t="shared" si="94"/>
        <v>-59090.909090909088</v>
      </c>
      <c r="E47" s="148">
        <v>42826</v>
      </c>
      <c r="G47" s="139">
        <v>33</v>
      </c>
      <c r="H47" s="139">
        <v>0</v>
      </c>
      <c r="I47" s="49">
        <f t="shared" si="95"/>
        <v>46522</v>
      </c>
      <c r="J47" s="76">
        <v>1950000</v>
      </c>
      <c r="K47" s="40">
        <f t="shared" si="96"/>
        <v>33</v>
      </c>
      <c r="L47" s="74">
        <f t="shared" si="97"/>
        <v>1950000</v>
      </c>
      <c r="M47" s="76"/>
      <c r="N47" s="76">
        <f t="shared" si="98"/>
        <v>0</v>
      </c>
      <c r="O47" s="142"/>
      <c r="P47" s="142"/>
      <c r="Q47" s="142"/>
      <c r="R47" s="144"/>
      <c r="S47" s="144"/>
      <c r="T47" s="144"/>
      <c r="U47" s="144"/>
      <c r="V47" s="144"/>
      <c r="W47" s="144"/>
      <c r="X47" s="144"/>
      <c r="Y47" s="143"/>
      <c r="Z47" s="143">
        <f t="shared" si="99"/>
        <v>0</v>
      </c>
      <c r="AA47" s="9">
        <f t="shared" si="100"/>
        <v>0.375</v>
      </c>
      <c r="AB47" s="9">
        <f t="shared" si="101"/>
        <v>0</v>
      </c>
      <c r="AC47" s="9">
        <f t="shared" si="102"/>
        <v>0</v>
      </c>
      <c r="AD47" s="9">
        <f t="shared" si="103"/>
        <v>0</v>
      </c>
      <c r="AE47" s="40" t="e">
        <f t="shared" ca="1" si="104"/>
        <v>#NUM!</v>
      </c>
      <c r="AF47" s="40" t="e">
        <f t="shared" ca="1" si="105"/>
        <v>#NUM!</v>
      </c>
      <c r="AG47" s="40" t="e">
        <f t="shared" ca="1" si="106"/>
        <v>#NUM!</v>
      </c>
      <c r="AH47" s="40" t="e">
        <f t="shared" ca="1" si="107"/>
        <v>#NUM!</v>
      </c>
      <c r="AI47" s="40" t="e">
        <f t="shared" ca="1" si="108"/>
        <v>#NUM!</v>
      </c>
      <c r="AJ47" s="40" t="e">
        <f t="shared" ca="1" si="109"/>
        <v>#NUM!</v>
      </c>
      <c r="AK47" s="203" t="e">
        <f t="shared" ca="1" si="110"/>
        <v>#NUM!</v>
      </c>
      <c r="AL47" s="40" t="e">
        <f t="shared" ca="1" si="111"/>
        <v>#NUM!</v>
      </c>
      <c r="AM47" s="40" t="e">
        <f t="shared" ca="1" si="112"/>
        <v>#NUM!</v>
      </c>
      <c r="AN47" s="40" t="e">
        <f t="shared" ca="1" si="113"/>
        <v>#NUM!</v>
      </c>
      <c r="AO47" s="40" t="e">
        <f t="shared" ca="1" si="114"/>
        <v>#NUM!</v>
      </c>
      <c r="AP47" s="40" t="e">
        <f t="shared" ca="1" si="115"/>
        <v>#NUM!</v>
      </c>
      <c r="AQ47" s="40" t="e">
        <f t="shared" ca="1" si="116"/>
        <v>#NUM!</v>
      </c>
      <c r="AR47" s="40" t="e">
        <f t="shared" ca="1" si="117"/>
        <v>#NUM!</v>
      </c>
      <c r="AS47" s="40" t="e">
        <f t="shared" ca="1" si="118"/>
        <v>#NUM!</v>
      </c>
    </row>
    <row r="48" spans="1:45" x14ac:dyDescent="0.25">
      <c r="A48" s="154"/>
      <c r="B48" s="73">
        <f t="shared" si="94"/>
        <v>-59090.909090909088</v>
      </c>
      <c r="E48" s="148">
        <v>42826</v>
      </c>
      <c r="G48" s="139">
        <v>33</v>
      </c>
      <c r="H48" s="139">
        <v>0</v>
      </c>
      <c r="I48" s="49">
        <f t="shared" si="95"/>
        <v>46522</v>
      </c>
      <c r="J48" s="76">
        <v>1950000</v>
      </c>
      <c r="K48" s="40">
        <f t="shared" si="96"/>
        <v>33</v>
      </c>
      <c r="L48" s="74">
        <f t="shared" si="97"/>
        <v>1950000</v>
      </c>
      <c r="M48" s="76"/>
      <c r="N48" s="76">
        <f t="shared" si="98"/>
        <v>0</v>
      </c>
      <c r="O48" s="142"/>
      <c r="P48" s="142"/>
      <c r="Q48" s="142"/>
      <c r="R48" s="144"/>
      <c r="S48" s="144"/>
      <c r="T48" s="144"/>
      <c r="U48" s="144"/>
      <c r="V48" s="144"/>
      <c r="W48" s="144"/>
      <c r="X48" s="144"/>
      <c r="Y48" s="143"/>
      <c r="Z48" s="143">
        <f t="shared" si="99"/>
        <v>0</v>
      </c>
      <c r="AA48" s="9">
        <f t="shared" si="100"/>
        <v>0.375</v>
      </c>
      <c r="AB48" s="9">
        <f t="shared" si="101"/>
        <v>0</v>
      </c>
      <c r="AC48" s="9">
        <f t="shared" si="102"/>
        <v>0</v>
      </c>
      <c r="AD48" s="9">
        <f t="shared" si="103"/>
        <v>0</v>
      </c>
      <c r="AE48" s="40" t="e">
        <f t="shared" ca="1" si="104"/>
        <v>#NUM!</v>
      </c>
      <c r="AF48" s="40" t="e">
        <f t="shared" ca="1" si="105"/>
        <v>#NUM!</v>
      </c>
      <c r="AG48" s="40" t="e">
        <f t="shared" ca="1" si="106"/>
        <v>#NUM!</v>
      </c>
      <c r="AH48" s="40" t="e">
        <f t="shared" ca="1" si="107"/>
        <v>#NUM!</v>
      </c>
      <c r="AI48" s="40" t="e">
        <f t="shared" ca="1" si="108"/>
        <v>#NUM!</v>
      </c>
      <c r="AJ48" s="40" t="e">
        <f t="shared" ca="1" si="109"/>
        <v>#NUM!</v>
      </c>
      <c r="AK48" s="203" t="e">
        <f t="shared" ca="1" si="110"/>
        <v>#NUM!</v>
      </c>
      <c r="AL48" s="40" t="e">
        <f t="shared" ca="1" si="111"/>
        <v>#NUM!</v>
      </c>
      <c r="AM48" s="40" t="e">
        <f t="shared" ca="1" si="112"/>
        <v>#NUM!</v>
      </c>
      <c r="AN48" s="40" t="e">
        <f t="shared" ca="1" si="113"/>
        <v>#NUM!</v>
      </c>
      <c r="AO48" s="40" t="e">
        <f t="shared" ca="1" si="114"/>
        <v>#NUM!</v>
      </c>
      <c r="AP48" s="40" t="e">
        <f t="shared" ca="1" si="115"/>
        <v>#NUM!</v>
      </c>
      <c r="AQ48" s="40" t="e">
        <f t="shared" ca="1" si="116"/>
        <v>#NUM!</v>
      </c>
      <c r="AR48" s="40" t="e">
        <f t="shared" ca="1" si="117"/>
        <v>#NUM!</v>
      </c>
      <c r="AS48" s="40" t="e">
        <f t="shared" ca="1" si="118"/>
        <v>#NUM!</v>
      </c>
    </row>
    <row r="49" spans="1:45" x14ac:dyDescent="0.25">
      <c r="A49" s="154"/>
      <c r="B49" s="73">
        <f t="shared" si="94"/>
        <v>-59090.909090909088</v>
      </c>
      <c r="E49" s="148">
        <v>42826</v>
      </c>
      <c r="G49" s="139">
        <v>33</v>
      </c>
      <c r="H49" s="139">
        <v>0</v>
      </c>
      <c r="I49" s="49">
        <f t="shared" si="95"/>
        <v>46522</v>
      </c>
      <c r="J49" s="76">
        <v>1950000</v>
      </c>
      <c r="K49" s="40">
        <f t="shared" si="96"/>
        <v>33</v>
      </c>
      <c r="L49" s="74">
        <f t="shared" si="97"/>
        <v>1950000</v>
      </c>
      <c r="M49" s="76"/>
      <c r="N49" s="76">
        <f t="shared" si="98"/>
        <v>0</v>
      </c>
      <c r="O49" s="142"/>
      <c r="P49" s="142"/>
      <c r="Q49" s="142"/>
      <c r="R49" s="144"/>
      <c r="S49" s="144"/>
      <c r="T49" s="144"/>
      <c r="U49" s="144"/>
      <c r="V49" s="144"/>
      <c r="W49" s="144"/>
      <c r="X49" s="144"/>
      <c r="Y49" s="143"/>
      <c r="Z49" s="143">
        <f t="shared" si="99"/>
        <v>0</v>
      </c>
      <c r="AA49" s="9">
        <f t="shared" si="100"/>
        <v>0.375</v>
      </c>
      <c r="AB49" s="9">
        <f t="shared" si="101"/>
        <v>0</v>
      </c>
      <c r="AC49" s="9">
        <f t="shared" si="102"/>
        <v>0</v>
      </c>
      <c r="AD49" s="9">
        <f t="shared" si="103"/>
        <v>0</v>
      </c>
      <c r="AE49" s="40" t="e">
        <f t="shared" ca="1" si="104"/>
        <v>#NUM!</v>
      </c>
      <c r="AF49" s="40" t="e">
        <f t="shared" ca="1" si="105"/>
        <v>#NUM!</v>
      </c>
      <c r="AG49" s="40" t="e">
        <f t="shared" ca="1" si="106"/>
        <v>#NUM!</v>
      </c>
      <c r="AH49" s="40" t="e">
        <f t="shared" ca="1" si="107"/>
        <v>#NUM!</v>
      </c>
      <c r="AI49" s="40" t="e">
        <f t="shared" ca="1" si="108"/>
        <v>#NUM!</v>
      </c>
      <c r="AJ49" s="40" t="e">
        <f t="shared" ca="1" si="109"/>
        <v>#NUM!</v>
      </c>
      <c r="AK49" s="203" t="e">
        <f t="shared" ca="1" si="110"/>
        <v>#NUM!</v>
      </c>
      <c r="AL49" s="40" t="e">
        <f t="shared" ca="1" si="111"/>
        <v>#NUM!</v>
      </c>
      <c r="AM49" s="40" t="e">
        <f t="shared" ca="1" si="112"/>
        <v>#NUM!</v>
      </c>
      <c r="AN49" s="40" t="e">
        <f t="shared" ca="1" si="113"/>
        <v>#NUM!</v>
      </c>
      <c r="AO49" s="40" t="e">
        <f t="shared" ca="1" si="114"/>
        <v>#NUM!</v>
      </c>
      <c r="AP49" s="40" t="e">
        <f t="shared" ca="1" si="115"/>
        <v>#NUM!</v>
      </c>
      <c r="AQ49" s="40" t="e">
        <f t="shared" ca="1" si="116"/>
        <v>#NUM!</v>
      </c>
      <c r="AR49" s="40" t="e">
        <f t="shared" ca="1" si="117"/>
        <v>#NUM!</v>
      </c>
      <c r="AS49" s="40" t="e">
        <f t="shared" ca="1" si="118"/>
        <v>#NUM!</v>
      </c>
    </row>
    <row r="50" spans="1:45" x14ac:dyDescent="0.25">
      <c r="A50" s="154"/>
      <c r="B50" s="73">
        <f t="shared" si="94"/>
        <v>-59090.909090909088</v>
      </c>
      <c r="E50" s="148">
        <v>42826</v>
      </c>
      <c r="G50" s="139">
        <v>33</v>
      </c>
      <c r="H50" s="139">
        <v>0</v>
      </c>
      <c r="I50" s="49">
        <f t="shared" si="95"/>
        <v>46522</v>
      </c>
      <c r="J50" s="76">
        <v>1950000</v>
      </c>
      <c r="K50" s="40">
        <f t="shared" si="96"/>
        <v>33</v>
      </c>
      <c r="L50" s="74">
        <f t="shared" si="97"/>
        <v>1950000</v>
      </c>
      <c r="M50" s="76"/>
      <c r="N50" s="76">
        <f t="shared" si="98"/>
        <v>0</v>
      </c>
      <c r="O50" s="142"/>
      <c r="P50" s="142"/>
      <c r="Q50" s="142"/>
      <c r="R50" s="144"/>
      <c r="S50" s="144"/>
      <c r="T50" s="144"/>
      <c r="U50" s="144"/>
      <c r="V50" s="144"/>
      <c r="W50" s="144"/>
      <c r="X50" s="144"/>
      <c r="Y50" s="143"/>
      <c r="Z50" s="143">
        <f t="shared" si="99"/>
        <v>0</v>
      </c>
      <c r="AA50" s="9">
        <f t="shared" si="100"/>
        <v>0.375</v>
      </c>
      <c r="AB50" s="9">
        <f t="shared" si="101"/>
        <v>0</v>
      </c>
      <c r="AC50" s="9">
        <f t="shared" si="102"/>
        <v>0</v>
      </c>
      <c r="AD50" s="9">
        <f t="shared" si="103"/>
        <v>0</v>
      </c>
      <c r="AE50" s="40" t="e">
        <f t="shared" ca="1" si="104"/>
        <v>#NUM!</v>
      </c>
      <c r="AF50" s="40" t="e">
        <f t="shared" ca="1" si="105"/>
        <v>#NUM!</v>
      </c>
      <c r="AG50" s="40" t="e">
        <f t="shared" ca="1" si="106"/>
        <v>#NUM!</v>
      </c>
      <c r="AH50" s="40" t="e">
        <f t="shared" ca="1" si="107"/>
        <v>#NUM!</v>
      </c>
      <c r="AI50" s="40" t="e">
        <f t="shared" ca="1" si="108"/>
        <v>#NUM!</v>
      </c>
      <c r="AJ50" s="40" t="e">
        <f t="shared" ca="1" si="109"/>
        <v>#NUM!</v>
      </c>
      <c r="AK50" s="203" t="e">
        <f t="shared" ca="1" si="110"/>
        <v>#NUM!</v>
      </c>
      <c r="AL50" s="40" t="e">
        <f t="shared" ca="1" si="111"/>
        <v>#NUM!</v>
      </c>
      <c r="AM50" s="40" t="e">
        <f t="shared" ca="1" si="112"/>
        <v>#NUM!</v>
      </c>
      <c r="AN50" s="40" t="e">
        <f t="shared" ca="1" si="113"/>
        <v>#NUM!</v>
      </c>
      <c r="AO50" s="40" t="e">
        <f t="shared" ca="1" si="114"/>
        <v>#NUM!</v>
      </c>
      <c r="AP50" s="40" t="e">
        <f t="shared" ca="1" si="115"/>
        <v>#NUM!</v>
      </c>
      <c r="AQ50" s="40" t="e">
        <f t="shared" ca="1" si="116"/>
        <v>#NUM!</v>
      </c>
      <c r="AR50" s="40" t="e">
        <f t="shared" ca="1" si="117"/>
        <v>#NUM!</v>
      </c>
      <c r="AS50" s="40" t="e">
        <f t="shared" ca="1" si="118"/>
        <v>#NUM!</v>
      </c>
    </row>
    <row r="51" spans="1:45" x14ac:dyDescent="0.25">
      <c r="A51" s="154"/>
      <c r="B51" s="73">
        <f t="shared" si="94"/>
        <v>-59090.909090909088</v>
      </c>
      <c r="E51" s="148">
        <v>42826</v>
      </c>
      <c r="G51" s="139">
        <v>33</v>
      </c>
      <c r="H51" s="139">
        <v>0</v>
      </c>
      <c r="I51" s="49">
        <f t="shared" si="95"/>
        <v>46522</v>
      </c>
      <c r="J51" s="76">
        <v>1950000</v>
      </c>
      <c r="K51" s="40">
        <f t="shared" si="96"/>
        <v>33</v>
      </c>
      <c r="L51" s="74">
        <f t="shared" si="97"/>
        <v>1950000</v>
      </c>
      <c r="M51" s="76"/>
      <c r="N51" s="76">
        <f t="shared" si="98"/>
        <v>0</v>
      </c>
      <c r="O51" s="142"/>
      <c r="P51" s="142"/>
      <c r="Q51" s="142"/>
      <c r="R51" s="144"/>
      <c r="S51" s="144"/>
      <c r="T51" s="144"/>
      <c r="U51" s="144"/>
      <c r="V51" s="144"/>
      <c r="W51" s="144"/>
      <c r="X51" s="144"/>
      <c r="Y51" s="143"/>
      <c r="Z51" s="143">
        <f t="shared" si="99"/>
        <v>0</v>
      </c>
      <c r="AA51" s="9">
        <f t="shared" si="100"/>
        <v>0.375</v>
      </c>
      <c r="AB51" s="9">
        <f t="shared" si="101"/>
        <v>0</v>
      </c>
      <c r="AC51" s="9">
        <f t="shared" si="102"/>
        <v>0</v>
      </c>
      <c r="AD51" s="9">
        <f t="shared" si="103"/>
        <v>0</v>
      </c>
      <c r="AE51" s="40" t="e">
        <f t="shared" ca="1" si="104"/>
        <v>#NUM!</v>
      </c>
      <c r="AF51" s="40" t="e">
        <f t="shared" ca="1" si="105"/>
        <v>#NUM!</v>
      </c>
      <c r="AG51" s="40" t="e">
        <f t="shared" ca="1" si="106"/>
        <v>#NUM!</v>
      </c>
      <c r="AH51" s="40" t="e">
        <f t="shared" ca="1" si="107"/>
        <v>#NUM!</v>
      </c>
      <c r="AI51" s="40" t="e">
        <f t="shared" ca="1" si="108"/>
        <v>#NUM!</v>
      </c>
      <c r="AJ51" s="40" t="e">
        <f t="shared" ca="1" si="109"/>
        <v>#NUM!</v>
      </c>
      <c r="AK51" s="203" t="e">
        <f t="shared" ca="1" si="110"/>
        <v>#NUM!</v>
      </c>
      <c r="AL51" s="40" t="e">
        <f t="shared" ca="1" si="111"/>
        <v>#NUM!</v>
      </c>
      <c r="AM51" s="40" t="e">
        <f t="shared" ca="1" si="112"/>
        <v>#NUM!</v>
      </c>
      <c r="AN51" s="40" t="e">
        <f t="shared" ca="1" si="113"/>
        <v>#NUM!</v>
      </c>
      <c r="AO51" s="40" t="e">
        <f t="shared" ca="1" si="114"/>
        <v>#NUM!</v>
      </c>
      <c r="AP51" s="40" t="e">
        <f t="shared" ca="1" si="115"/>
        <v>#NUM!</v>
      </c>
      <c r="AQ51" s="40" t="e">
        <f t="shared" ca="1" si="116"/>
        <v>#NUM!</v>
      </c>
      <c r="AR51" s="40" t="e">
        <f t="shared" ca="1" si="117"/>
        <v>#NUM!</v>
      </c>
      <c r="AS51" s="40" t="e">
        <f t="shared" ca="1" si="118"/>
        <v>#NUM!</v>
      </c>
    </row>
    <row r="52" spans="1:45" x14ac:dyDescent="0.25">
      <c r="A52" s="154"/>
      <c r="B52" s="73">
        <f t="shared" si="94"/>
        <v>-59090.909090909088</v>
      </c>
      <c r="E52" s="148">
        <v>42826</v>
      </c>
      <c r="G52" s="139">
        <v>33</v>
      </c>
      <c r="H52" s="139">
        <v>0</v>
      </c>
      <c r="I52" s="49">
        <f t="shared" si="95"/>
        <v>46522</v>
      </c>
      <c r="J52" s="76">
        <v>1950000</v>
      </c>
      <c r="K52" s="40">
        <f t="shared" si="96"/>
        <v>33</v>
      </c>
      <c r="L52" s="74">
        <f t="shared" si="97"/>
        <v>1950000</v>
      </c>
      <c r="M52" s="76"/>
      <c r="N52" s="76">
        <f t="shared" si="98"/>
        <v>0</v>
      </c>
      <c r="O52" s="142"/>
      <c r="P52" s="142"/>
      <c r="Q52" s="142"/>
      <c r="R52" s="144"/>
      <c r="S52" s="144"/>
      <c r="T52" s="144"/>
      <c r="U52" s="144"/>
      <c r="V52" s="144"/>
      <c r="W52" s="144"/>
      <c r="X52" s="144"/>
      <c r="Y52" s="143"/>
      <c r="Z52" s="143">
        <f t="shared" si="99"/>
        <v>0</v>
      </c>
      <c r="AA52" s="9">
        <f t="shared" si="100"/>
        <v>0.375</v>
      </c>
      <c r="AB52" s="9">
        <f t="shared" si="101"/>
        <v>0</v>
      </c>
      <c r="AC52" s="9">
        <f t="shared" si="102"/>
        <v>0</v>
      </c>
      <c r="AD52" s="9">
        <f t="shared" si="103"/>
        <v>0</v>
      </c>
      <c r="AE52" s="40" t="e">
        <f t="shared" ca="1" si="104"/>
        <v>#NUM!</v>
      </c>
      <c r="AF52" s="40" t="e">
        <f t="shared" ca="1" si="105"/>
        <v>#NUM!</v>
      </c>
      <c r="AG52" s="40" t="e">
        <f t="shared" ca="1" si="106"/>
        <v>#NUM!</v>
      </c>
      <c r="AH52" s="40" t="e">
        <f t="shared" ca="1" si="107"/>
        <v>#NUM!</v>
      </c>
      <c r="AI52" s="40" t="e">
        <f t="shared" ca="1" si="108"/>
        <v>#NUM!</v>
      </c>
      <c r="AJ52" s="40" t="e">
        <f t="shared" ca="1" si="109"/>
        <v>#NUM!</v>
      </c>
      <c r="AK52" s="203" t="e">
        <f t="shared" ca="1" si="110"/>
        <v>#NUM!</v>
      </c>
      <c r="AL52" s="40" t="e">
        <f t="shared" ca="1" si="111"/>
        <v>#NUM!</v>
      </c>
      <c r="AM52" s="40" t="e">
        <f t="shared" ca="1" si="112"/>
        <v>#NUM!</v>
      </c>
      <c r="AN52" s="40" t="e">
        <f t="shared" ca="1" si="113"/>
        <v>#NUM!</v>
      </c>
      <c r="AO52" s="40" t="e">
        <f t="shared" ca="1" si="114"/>
        <v>#NUM!</v>
      </c>
      <c r="AP52" s="40" t="e">
        <f t="shared" ca="1" si="115"/>
        <v>#NUM!</v>
      </c>
      <c r="AQ52" s="40" t="e">
        <f t="shared" ca="1" si="116"/>
        <v>#NUM!</v>
      </c>
      <c r="AR52" s="40" t="e">
        <f t="shared" ca="1" si="117"/>
        <v>#NUM!</v>
      </c>
      <c r="AS52" s="40" t="e">
        <f t="shared" ca="1" si="118"/>
        <v>#NUM!</v>
      </c>
    </row>
    <row r="53" spans="1:45" x14ac:dyDescent="0.25">
      <c r="A53" s="154"/>
      <c r="B53" s="73">
        <f t="shared" si="94"/>
        <v>-59090.909090909088</v>
      </c>
      <c r="E53" s="148">
        <v>42826</v>
      </c>
      <c r="G53" s="139">
        <v>33</v>
      </c>
      <c r="H53" s="139">
        <v>0</v>
      </c>
      <c r="I53" s="49">
        <f t="shared" si="95"/>
        <v>46522</v>
      </c>
      <c r="J53" s="76">
        <v>1950000</v>
      </c>
      <c r="K53" s="40">
        <f t="shared" si="96"/>
        <v>33</v>
      </c>
      <c r="L53" s="74">
        <f t="shared" si="97"/>
        <v>1950000</v>
      </c>
      <c r="M53" s="76"/>
      <c r="N53" s="76">
        <f t="shared" si="98"/>
        <v>0</v>
      </c>
      <c r="O53" s="142"/>
      <c r="P53" s="142"/>
      <c r="Q53" s="142"/>
      <c r="R53" s="144"/>
      <c r="S53" s="144"/>
      <c r="T53" s="144"/>
      <c r="U53" s="144"/>
      <c r="V53" s="144"/>
      <c r="W53" s="144"/>
      <c r="X53" s="144"/>
      <c r="Y53" s="143"/>
      <c r="Z53" s="143">
        <f t="shared" si="99"/>
        <v>0</v>
      </c>
      <c r="AA53" s="9">
        <f t="shared" si="100"/>
        <v>0.375</v>
      </c>
      <c r="AB53" s="9">
        <f t="shared" si="101"/>
        <v>0</v>
      </c>
      <c r="AC53" s="9">
        <f t="shared" si="102"/>
        <v>0</v>
      </c>
      <c r="AD53" s="9">
        <f t="shared" si="103"/>
        <v>0</v>
      </c>
      <c r="AE53" s="40" t="e">
        <f t="shared" ca="1" si="104"/>
        <v>#NUM!</v>
      </c>
      <c r="AF53" s="40" t="e">
        <f t="shared" ca="1" si="105"/>
        <v>#NUM!</v>
      </c>
      <c r="AG53" s="40" t="e">
        <f t="shared" ca="1" si="106"/>
        <v>#NUM!</v>
      </c>
      <c r="AH53" s="40" t="e">
        <f t="shared" ca="1" si="107"/>
        <v>#NUM!</v>
      </c>
      <c r="AI53" s="40" t="e">
        <f t="shared" ca="1" si="108"/>
        <v>#NUM!</v>
      </c>
      <c r="AJ53" s="40" t="e">
        <f t="shared" ca="1" si="109"/>
        <v>#NUM!</v>
      </c>
      <c r="AK53" s="203" t="e">
        <f t="shared" ca="1" si="110"/>
        <v>#NUM!</v>
      </c>
      <c r="AL53" s="40" t="e">
        <f t="shared" ca="1" si="111"/>
        <v>#NUM!</v>
      </c>
      <c r="AM53" s="40" t="e">
        <f t="shared" ca="1" si="112"/>
        <v>#NUM!</v>
      </c>
      <c r="AN53" s="40" t="e">
        <f t="shared" ca="1" si="113"/>
        <v>#NUM!</v>
      </c>
      <c r="AO53" s="40" t="e">
        <f t="shared" ca="1" si="114"/>
        <v>#NUM!</v>
      </c>
      <c r="AP53" s="40" t="e">
        <f t="shared" ca="1" si="115"/>
        <v>#NUM!</v>
      </c>
      <c r="AQ53" s="40" t="e">
        <f t="shared" ca="1" si="116"/>
        <v>#NUM!</v>
      </c>
      <c r="AR53" s="40" t="e">
        <f t="shared" ca="1" si="117"/>
        <v>#NUM!</v>
      </c>
      <c r="AS53" s="40" t="e">
        <f t="shared" ca="1" si="118"/>
        <v>#NUM!</v>
      </c>
    </row>
    <row r="54" spans="1:45" x14ac:dyDescent="0.25">
      <c r="A54" s="154"/>
      <c r="B54" s="73">
        <f t="shared" si="94"/>
        <v>-59090.909090909088</v>
      </c>
      <c r="E54" s="148">
        <v>42826</v>
      </c>
      <c r="G54" s="139">
        <v>33</v>
      </c>
      <c r="H54" s="139">
        <v>0</v>
      </c>
      <c r="I54" s="49">
        <f t="shared" si="95"/>
        <v>46522</v>
      </c>
      <c r="J54" s="76">
        <v>1950000</v>
      </c>
      <c r="K54" s="40">
        <f t="shared" si="96"/>
        <v>33</v>
      </c>
      <c r="L54" s="74">
        <f t="shared" si="97"/>
        <v>1950000</v>
      </c>
      <c r="M54" s="76"/>
      <c r="N54" s="76">
        <f t="shared" si="98"/>
        <v>0</v>
      </c>
      <c r="O54" s="142"/>
      <c r="P54" s="142"/>
      <c r="Q54" s="142"/>
      <c r="R54" s="144"/>
      <c r="S54" s="144"/>
      <c r="T54" s="144"/>
      <c r="U54" s="144"/>
      <c r="V54" s="144"/>
      <c r="W54" s="144"/>
      <c r="X54" s="144"/>
      <c r="Y54" s="143"/>
      <c r="Z54" s="143">
        <f t="shared" si="99"/>
        <v>0</v>
      </c>
      <c r="AA54" s="9">
        <f t="shared" si="100"/>
        <v>0.375</v>
      </c>
      <c r="AB54" s="9">
        <f t="shared" si="101"/>
        <v>0</v>
      </c>
      <c r="AC54" s="9">
        <f t="shared" si="102"/>
        <v>0</v>
      </c>
      <c r="AD54" s="9">
        <f t="shared" si="103"/>
        <v>0</v>
      </c>
      <c r="AE54" s="40" t="e">
        <f t="shared" ca="1" si="104"/>
        <v>#NUM!</v>
      </c>
      <c r="AF54" s="40" t="e">
        <f t="shared" ca="1" si="105"/>
        <v>#NUM!</v>
      </c>
      <c r="AG54" s="40" t="e">
        <f t="shared" ca="1" si="106"/>
        <v>#NUM!</v>
      </c>
      <c r="AH54" s="40" t="e">
        <f t="shared" ca="1" si="107"/>
        <v>#NUM!</v>
      </c>
      <c r="AI54" s="40" t="e">
        <f t="shared" ca="1" si="108"/>
        <v>#NUM!</v>
      </c>
      <c r="AJ54" s="40" t="e">
        <f t="shared" ca="1" si="109"/>
        <v>#NUM!</v>
      </c>
      <c r="AK54" s="203" t="e">
        <f t="shared" ca="1" si="110"/>
        <v>#NUM!</v>
      </c>
      <c r="AL54" s="40" t="e">
        <f t="shared" ca="1" si="111"/>
        <v>#NUM!</v>
      </c>
      <c r="AM54" s="40" t="e">
        <f t="shared" ca="1" si="112"/>
        <v>#NUM!</v>
      </c>
      <c r="AN54" s="40" t="e">
        <f t="shared" ca="1" si="113"/>
        <v>#NUM!</v>
      </c>
      <c r="AO54" s="40" t="e">
        <f t="shared" ca="1" si="114"/>
        <v>#NUM!</v>
      </c>
      <c r="AP54" s="40" t="e">
        <f t="shared" ca="1" si="115"/>
        <v>#NUM!</v>
      </c>
      <c r="AQ54" s="40" t="e">
        <f t="shared" ca="1" si="116"/>
        <v>#NUM!</v>
      </c>
      <c r="AR54" s="40" t="e">
        <f t="shared" ca="1" si="117"/>
        <v>#NUM!</v>
      </c>
      <c r="AS54" s="40" t="e">
        <f t="shared" ca="1" si="118"/>
        <v>#NUM!</v>
      </c>
    </row>
    <row r="55" spans="1:45" x14ac:dyDescent="0.25">
      <c r="A55" s="154"/>
      <c r="B55" s="73">
        <f t="shared" si="94"/>
        <v>-59090.909090909088</v>
      </c>
      <c r="E55" s="148">
        <v>42826</v>
      </c>
      <c r="G55" s="139">
        <v>33</v>
      </c>
      <c r="H55" s="139">
        <v>0</v>
      </c>
      <c r="I55" s="49">
        <f t="shared" si="95"/>
        <v>46522</v>
      </c>
      <c r="J55" s="76">
        <v>1950000</v>
      </c>
      <c r="K55" s="40">
        <f t="shared" si="96"/>
        <v>33</v>
      </c>
      <c r="L55" s="74">
        <f t="shared" si="97"/>
        <v>1950000</v>
      </c>
      <c r="M55" s="76"/>
      <c r="N55" s="76">
        <f t="shared" si="98"/>
        <v>0</v>
      </c>
      <c r="O55" s="142"/>
      <c r="P55" s="142"/>
      <c r="Q55" s="142"/>
      <c r="R55" s="144"/>
      <c r="S55" s="144"/>
      <c r="T55" s="144"/>
      <c r="U55" s="144"/>
      <c r="V55" s="144"/>
      <c r="W55" s="144"/>
      <c r="X55" s="144"/>
      <c r="Y55" s="143"/>
      <c r="Z55" s="143">
        <f t="shared" si="99"/>
        <v>0</v>
      </c>
      <c r="AA55" s="9">
        <f t="shared" si="100"/>
        <v>0.375</v>
      </c>
      <c r="AB55" s="9">
        <f t="shared" si="101"/>
        <v>0</v>
      </c>
      <c r="AC55" s="9">
        <f t="shared" si="102"/>
        <v>0</v>
      </c>
      <c r="AD55" s="9">
        <f t="shared" si="103"/>
        <v>0</v>
      </c>
      <c r="AE55" s="40" t="e">
        <f t="shared" ca="1" si="104"/>
        <v>#NUM!</v>
      </c>
      <c r="AF55" s="40" t="e">
        <f t="shared" ca="1" si="105"/>
        <v>#NUM!</v>
      </c>
      <c r="AG55" s="40" t="e">
        <f t="shared" ca="1" si="106"/>
        <v>#NUM!</v>
      </c>
      <c r="AH55" s="40" t="e">
        <f t="shared" ca="1" si="107"/>
        <v>#NUM!</v>
      </c>
      <c r="AI55" s="40" t="e">
        <f t="shared" ca="1" si="108"/>
        <v>#NUM!</v>
      </c>
      <c r="AJ55" s="40" t="e">
        <f t="shared" ca="1" si="109"/>
        <v>#NUM!</v>
      </c>
      <c r="AK55" s="203" t="e">
        <f t="shared" ca="1" si="110"/>
        <v>#NUM!</v>
      </c>
      <c r="AL55" s="40" t="e">
        <f t="shared" ca="1" si="111"/>
        <v>#NUM!</v>
      </c>
      <c r="AM55" s="40" t="e">
        <f t="shared" ca="1" si="112"/>
        <v>#NUM!</v>
      </c>
      <c r="AN55" s="40" t="e">
        <f t="shared" ca="1" si="113"/>
        <v>#NUM!</v>
      </c>
      <c r="AO55" s="40" t="e">
        <f t="shared" ca="1" si="114"/>
        <v>#NUM!</v>
      </c>
      <c r="AP55" s="40" t="e">
        <f t="shared" ca="1" si="115"/>
        <v>#NUM!</v>
      </c>
      <c r="AQ55" s="40" t="e">
        <f t="shared" ca="1" si="116"/>
        <v>#NUM!</v>
      </c>
      <c r="AR55" s="40" t="e">
        <f t="shared" ca="1" si="117"/>
        <v>#NUM!</v>
      </c>
      <c r="AS55" s="40" t="e">
        <f t="shared" ca="1" si="118"/>
        <v>#NUM!</v>
      </c>
    </row>
    <row r="56" spans="1:45" x14ac:dyDescent="0.25">
      <c r="A56" s="154"/>
      <c r="B56" s="73">
        <f t="shared" si="94"/>
        <v>-59090.909090909088</v>
      </c>
      <c r="E56" s="148">
        <v>42826</v>
      </c>
      <c r="G56" s="139">
        <v>33</v>
      </c>
      <c r="H56" s="139">
        <v>0</v>
      </c>
      <c r="I56" s="49">
        <f t="shared" si="95"/>
        <v>46522</v>
      </c>
      <c r="J56" s="76">
        <v>1950000</v>
      </c>
      <c r="K56" s="40">
        <f t="shared" si="96"/>
        <v>33</v>
      </c>
      <c r="L56" s="74">
        <f t="shared" si="97"/>
        <v>1950000</v>
      </c>
      <c r="M56" s="76"/>
      <c r="N56" s="76">
        <f t="shared" si="98"/>
        <v>0</v>
      </c>
      <c r="O56" s="142"/>
      <c r="P56" s="142"/>
      <c r="Q56" s="142"/>
      <c r="R56" s="144"/>
      <c r="S56" s="144"/>
      <c r="T56" s="144"/>
      <c r="U56" s="144"/>
      <c r="V56" s="144"/>
      <c r="W56" s="144"/>
      <c r="X56" s="144"/>
      <c r="Y56" s="143"/>
      <c r="Z56" s="143">
        <f t="shared" si="99"/>
        <v>0</v>
      </c>
      <c r="AA56" s="9">
        <f t="shared" si="100"/>
        <v>0.375</v>
      </c>
      <c r="AB56" s="9">
        <f t="shared" si="101"/>
        <v>0</v>
      </c>
      <c r="AC56" s="9">
        <f t="shared" si="102"/>
        <v>0</v>
      </c>
      <c r="AD56" s="9">
        <f t="shared" si="103"/>
        <v>0</v>
      </c>
      <c r="AE56" s="40" t="e">
        <f t="shared" ca="1" si="104"/>
        <v>#NUM!</v>
      </c>
      <c r="AF56" s="40" t="e">
        <f t="shared" ca="1" si="105"/>
        <v>#NUM!</v>
      </c>
      <c r="AG56" s="40" t="e">
        <f t="shared" ca="1" si="106"/>
        <v>#NUM!</v>
      </c>
      <c r="AH56" s="40" t="e">
        <f t="shared" ca="1" si="107"/>
        <v>#NUM!</v>
      </c>
      <c r="AI56" s="40" t="e">
        <f t="shared" ca="1" si="108"/>
        <v>#NUM!</v>
      </c>
      <c r="AJ56" s="40" t="e">
        <f t="shared" ca="1" si="109"/>
        <v>#NUM!</v>
      </c>
      <c r="AK56" s="203" t="e">
        <f t="shared" ca="1" si="110"/>
        <v>#NUM!</v>
      </c>
      <c r="AL56" s="40" t="e">
        <f t="shared" ca="1" si="111"/>
        <v>#NUM!</v>
      </c>
      <c r="AM56" s="40" t="e">
        <f t="shared" ca="1" si="112"/>
        <v>#NUM!</v>
      </c>
      <c r="AN56" s="40" t="e">
        <f t="shared" ca="1" si="113"/>
        <v>#NUM!</v>
      </c>
      <c r="AO56" s="40" t="e">
        <f t="shared" ca="1" si="114"/>
        <v>#NUM!</v>
      </c>
      <c r="AP56" s="40" t="e">
        <f t="shared" ca="1" si="115"/>
        <v>#NUM!</v>
      </c>
      <c r="AQ56" s="40" t="e">
        <f t="shared" ca="1" si="116"/>
        <v>#NUM!</v>
      </c>
      <c r="AR56" s="40" t="e">
        <f t="shared" ca="1" si="117"/>
        <v>#NUM!</v>
      </c>
      <c r="AS56" s="40" t="e">
        <f t="shared" ca="1" si="118"/>
        <v>#NUM!</v>
      </c>
    </row>
    <row r="57" spans="1:45" x14ac:dyDescent="0.25">
      <c r="A57" s="154"/>
      <c r="B57" s="73">
        <f t="shared" si="94"/>
        <v>-59090.909090909088</v>
      </c>
      <c r="E57" s="148">
        <v>42826</v>
      </c>
      <c r="G57" s="139">
        <v>33</v>
      </c>
      <c r="H57" s="139">
        <v>0</v>
      </c>
      <c r="I57" s="49">
        <f t="shared" si="95"/>
        <v>46522</v>
      </c>
      <c r="J57" s="76">
        <v>1950000</v>
      </c>
      <c r="K57" s="40">
        <f t="shared" si="96"/>
        <v>33</v>
      </c>
      <c r="L57" s="74">
        <f t="shared" si="97"/>
        <v>1950000</v>
      </c>
      <c r="M57" s="76"/>
      <c r="N57" s="76">
        <f t="shared" si="98"/>
        <v>0</v>
      </c>
      <c r="O57" s="142"/>
      <c r="P57" s="142"/>
      <c r="Q57" s="142"/>
      <c r="R57" s="144"/>
      <c r="S57" s="144"/>
      <c r="T57" s="144"/>
      <c r="U57" s="144"/>
      <c r="V57" s="144"/>
      <c r="W57" s="144"/>
      <c r="X57" s="144"/>
      <c r="Y57" s="143"/>
      <c r="Z57" s="143">
        <f t="shared" si="99"/>
        <v>0</v>
      </c>
      <c r="AA57" s="9">
        <f t="shared" si="100"/>
        <v>0.375</v>
      </c>
      <c r="AB57" s="9">
        <f t="shared" si="101"/>
        <v>0</v>
      </c>
      <c r="AC57" s="9">
        <f t="shared" si="102"/>
        <v>0</v>
      </c>
      <c r="AD57" s="9">
        <f t="shared" si="103"/>
        <v>0</v>
      </c>
      <c r="AE57" s="40" t="e">
        <f t="shared" ca="1" si="104"/>
        <v>#NUM!</v>
      </c>
      <c r="AF57" s="40" t="e">
        <f t="shared" ca="1" si="105"/>
        <v>#NUM!</v>
      </c>
      <c r="AG57" s="40" t="e">
        <f t="shared" ca="1" si="106"/>
        <v>#NUM!</v>
      </c>
      <c r="AH57" s="40" t="e">
        <f t="shared" ca="1" si="107"/>
        <v>#NUM!</v>
      </c>
      <c r="AI57" s="40" t="e">
        <f t="shared" ca="1" si="108"/>
        <v>#NUM!</v>
      </c>
      <c r="AJ57" s="40" t="e">
        <f t="shared" ca="1" si="109"/>
        <v>#NUM!</v>
      </c>
      <c r="AK57" s="203" t="e">
        <f t="shared" ca="1" si="110"/>
        <v>#NUM!</v>
      </c>
      <c r="AL57" s="40" t="e">
        <f t="shared" ca="1" si="111"/>
        <v>#NUM!</v>
      </c>
      <c r="AM57" s="40" t="e">
        <f t="shared" ca="1" si="112"/>
        <v>#NUM!</v>
      </c>
      <c r="AN57" s="40" t="e">
        <f t="shared" ca="1" si="113"/>
        <v>#NUM!</v>
      </c>
      <c r="AO57" s="40" t="e">
        <f t="shared" ca="1" si="114"/>
        <v>#NUM!</v>
      </c>
      <c r="AP57" s="40" t="e">
        <f t="shared" ca="1" si="115"/>
        <v>#NUM!</v>
      </c>
      <c r="AQ57" s="40" t="e">
        <f t="shared" ca="1" si="116"/>
        <v>#NUM!</v>
      </c>
      <c r="AR57" s="40" t="e">
        <f t="shared" ca="1" si="117"/>
        <v>#NUM!</v>
      </c>
      <c r="AS57" s="40" t="e">
        <f t="shared" ca="1" si="118"/>
        <v>#NUM!</v>
      </c>
    </row>
    <row r="58" spans="1:45" x14ac:dyDescent="0.25">
      <c r="A58" s="154"/>
      <c r="B58" s="73">
        <f t="shared" si="94"/>
        <v>-59090.909090909088</v>
      </c>
      <c r="E58" s="148">
        <v>42826</v>
      </c>
      <c r="G58" s="139">
        <v>33</v>
      </c>
      <c r="H58" s="139">
        <v>0</v>
      </c>
      <c r="I58" s="49">
        <f t="shared" si="95"/>
        <v>46522</v>
      </c>
      <c r="J58" s="76">
        <v>1950000</v>
      </c>
      <c r="K58" s="40">
        <f t="shared" si="96"/>
        <v>33</v>
      </c>
      <c r="L58" s="74">
        <f t="shared" si="97"/>
        <v>1950000</v>
      </c>
      <c r="M58" s="76"/>
      <c r="N58" s="76">
        <f t="shared" si="98"/>
        <v>0</v>
      </c>
      <c r="O58" s="142"/>
      <c r="P58" s="142"/>
      <c r="Q58" s="142"/>
      <c r="R58" s="144"/>
      <c r="S58" s="144"/>
      <c r="T58" s="144"/>
      <c r="U58" s="144"/>
      <c r="V58" s="144"/>
      <c r="W58" s="144"/>
      <c r="X58" s="144"/>
      <c r="Y58" s="143"/>
      <c r="Z58" s="143">
        <f t="shared" si="99"/>
        <v>0</v>
      </c>
      <c r="AA58" s="9">
        <f t="shared" si="100"/>
        <v>0.375</v>
      </c>
      <c r="AB58" s="9">
        <f t="shared" si="101"/>
        <v>0</v>
      </c>
      <c r="AC58" s="9">
        <f t="shared" si="102"/>
        <v>0</v>
      </c>
      <c r="AD58" s="9">
        <f t="shared" si="103"/>
        <v>0</v>
      </c>
      <c r="AE58" s="40" t="e">
        <f t="shared" ca="1" si="104"/>
        <v>#NUM!</v>
      </c>
      <c r="AF58" s="40" t="e">
        <f t="shared" ca="1" si="105"/>
        <v>#NUM!</v>
      </c>
      <c r="AG58" s="40" t="e">
        <f t="shared" ca="1" si="106"/>
        <v>#NUM!</v>
      </c>
      <c r="AH58" s="40" t="e">
        <f t="shared" ca="1" si="107"/>
        <v>#NUM!</v>
      </c>
      <c r="AI58" s="40" t="e">
        <f t="shared" ca="1" si="108"/>
        <v>#NUM!</v>
      </c>
      <c r="AJ58" s="40" t="e">
        <f t="shared" ca="1" si="109"/>
        <v>#NUM!</v>
      </c>
      <c r="AK58" s="203" t="e">
        <f t="shared" ca="1" si="110"/>
        <v>#NUM!</v>
      </c>
      <c r="AL58" s="40" t="e">
        <f t="shared" ca="1" si="111"/>
        <v>#NUM!</v>
      </c>
      <c r="AM58" s="40" t="e">
        <f t="shared" ca="1" si="112"/>
        <v>#NUM!</v>
      </c>
      <c r="AN58" s="40" t="e">
        <f t="shared" ca="1" si="113"/>
        <v>#NUM!</v>
      </c>
      <c r="AO58" s="40" t="e">
        <f t="shared" ca="1" si="114"/>
        <v>#NUM!</v>
      </c>
      <c r="AP58" s="40" t="e">
        <f t="shared" ca="1" si="115"/>
        <v>#NUM!</v>
      </c>
      <c r="AQ58" s="40" t="e">
        <f t="shared" ca="1" si="116"/>
        <v>#NUM!</v>
      </c>
      <c r="AR58" s="40" t="e">
        <f t="shared" ca="1" si="117"/>
        <v>#NUM!</v>
      </c>
      <c r="AS58" s="40" t="e">
        <f t="shared" ca="1" si="118"/>
        <v>#NUM!</v>
      </c>
    </row>
    <row r="59" spans="1:45" x14ac:dyDescent="0.25">
      <c r="A59" s="154"/>
      <c r="B59" s="73">
        <f t="shared" si="94"/>
        <v>-59090.909090909088</v>
      </c>
      <c r="E59" s="148">
        <v>42826</v>
      </c>
      <c r="G59" s="139">
        <v>33</v>
      </c>
      <c r="H59" s="139">
        <v>0</v>
      </c>
      <c r="I59" s="49">
        <f t="shared" si="95"/>
        <v>46522</v>
      </c>
      <c r="J59" s="76">
        <v>1950000</v>
      </c>
      <c r="K59" s="40">
        <f t="shared" si="96"/>
        <v>33</v>
      </c>
      <c r="L59" s="74">
        <f t="shared" si="97"/>
        <v>1950000</v>
      </c>
      <c r="M59" s="76"/>
      <c r="N59" s="76">
        <f t="shared" si="98"/>
        <v>0</v>
      </c>
      <c r="O59" s="142"/>
      <c r="P59" s="142"/>
      <c r="Q59" s="142"/>
      <c r="R59" s="144"/>
      <c r="S59" s="144"/>
      <c r="T59" s="144"/>
      <c r="U59" s="144"/>
      <c r="V59" s="144"/>
      <c r="W59" s="144"/>
      <c r="X59" s="144"/>
      <c r="Y59" s="143"/>
      <c r="Z59" s="143">
        <f t="shared" si="99"/>
        <v>0</v>
      </c>
      <c r="AA59" s="9">
        <f t="shared" si="100"/>
        <v>0.375</v>
      </c>
      <c r="AB59" s="9">
        <f t="shared" si="101"/>
        <v>0</v>
      </c>
      <c r="AC59" s="9">
        <f t="shared" si="102"/>
        <v>0</v>
      </c>
      <c r="AD59" s="9">
        <f t="shared" si="103"/>
        <v>0</v>
      </c>
      <c r="AE59" s="40" t="e">
        <f t="shared" ca="1" si="104"/>
        <v>#NUM!</v>
      </c>
      <c r="AF59" s="40" t="e">
        <f t="shared" ca="1" si="105"/>
        <v>#NUM!</v>
      </c>
      <c r="AG59" s="40" t="e">
        <f t="shared" ca="1" si="106"/>
        <v>#NUM!</v>
      </c>
      <c r="AH59" s="40" t="e">
        <f t="shared" ca="1" si="107"/>
        <v>#NUM!</v>
      </c>
      <c r="AI59" s="40" t="e">
        <f t="shared" ca="1" si="108"/>
        <v>#NUM!</v>
      </c>
      <c r="AJ59" s="40" t="e">
        <f t="shared" ca="1" si="109"/>
        <v>#NUM!</v>
      </c>
      <c r="AK59" s="203" t="e">
        <f t="shared" ca="1" si="110"/>
        <v>#NUM!</v>
      </c>
      <c r="AL59" s="40" t="e">
        <f t="shared" ca="1" si="111"/>
        <v>#NUM!</v>
      </c>
      <c r="AM59" s="40" t="e">
        <f t="shared" ca="1" si="112"/>
        <v>#NUM!</v>
      </c>
      <c r="AN59" s="40" t="e">
        <f t="shared" ca="1" si="113"/>
        <v>#NUM!</v>
      </c>
      <c r="AO59" s="40" t="e">
        <f t="shared" ca="1" si="114"/>
        <v>#NUM!</v>
      </c>
      <c r="AP59" s="40" t="e">
        <f t="shared" ca="1" si="115"/>
        <v>#NUM!</v>
      </c>
      <c r="AQ59" s="40" t="e">
        <f t="shared" ca="1" si="116"/>
        <v>#NUM!</v>
      </c>
      <c r="AR59" s="40" t="e">
        <f t="shared" ca="1" si="117"/>
        <v>#NUM!</v>
      </c>
      <c r="AS59" s="40" t="e">
        <f t="shared" ca="1" si="118"/>
        <v>#NUM!</v>
      </c>
    </row>
    <row r="60" spans="1:45" x14ac:dyDescent="0.25">
      <c r="A60" s="154"/>
      <c r="B60" s="73">
        <f t="shared" si="94"/>
        <v>-59090.909090909088</v>
      </c>
      <c r="E60" s="148">
        <v>42826</v>
      </c>
      <c r="G60" s="139">
        <v>33</v>
      </c>
      <c r="H60" s="139">
        <v>0</v>
      </c>
      <c r="I60" s="49">
        <f t="shared" si="95"/>
        <v>46522</v>
      </c>
      <c r="J60" s="76">
        <v>1950000</v>
      </c>
      <c r="K60" s="40">
        <f t="shared" si="96"/>
        <v>33</v>
      </c>
      <c r="L60" s="74">
        <f t="shared" si="97"/>
        <v>1950000</v>
      </c>
      <c r="M60" s="76"/>
      <c r="N60" s="76">
        <f t="shared" si="98"/>
        <v>0</v>
      </c>
      <c r="O60" s="142"/>
      <c r="P60" s="142"/>
      <c r="Q60" s="142"/>
      <c r="R60" s="144"/>
      <c r="S60" s="144"/>
      <c r="T60" s="144"/>
      <c r="U60" s="144"/>
      <c r="V60" s="144"/>
      <c r="W60" s="144"/>
      <c r="X60" s="144"/>
      <c r="Y60" s="143"/>
      <c r="Z60" s="143">
        <f t="shared" si="99"/>
        <v>0</v>
      </c>
      <c r="AA60" s="9">
        <f t="shared" si="100"/>
        <v>0.375</v>
      </c>
      <c r="AB60" s="9">
        <f t="shared" si="101"/>
        <v>0</v>
      </c>
      <c r="AC60" s="9">
        <f t="shared" si="102"/>
        <v>0</v>
      </c>
      <c r="AD60" s="9">
        <f t="shared" si="103"/>
        <v>0</v>
      </c>
      <c r="AE60" s="40" t="e">
        <f t="shared" ca="1" si="104"/>
        <v>#NUM!</v>
      </c>
      <c r="AF60" s="40" t="e">
        <f t="shared" ca="1" si="105"/>
        <v>#NUM!</v>
      </c>
      <c r="AG60" s="40" t="e">
        <f t="shared" ca="1" si="106"/>
        <v>#NUM!</v>
      </c>
      <c r="AH60" s="40" t="e">
        <f t="shared" ca="1" si="107"/>
        <v>#NUM!</v>
      </c>
      <c r="AI60" s="40" t="e">
        <f t="shared" ca="1" si="108"/>
        <v>#NUM!</v>
      </c>
      <c r="AJ60" s="40" t="e">
        <f t="shared" ca="1" si="109"/>
        <v>#NUM!</v>
      </c>
      <c r="AK60" s="203" t="e">
        <f t="shared" ca="1" si="110"/>
        <v>#NUM!</v>
      </c>
      <c r="AL60" s="40" t="e">
        <f t="shared" ca="1" si="111"/>
        <v>#NUM!</v>
      </c>
      <c r="AM60" s="40" t="e">
        <f t="shared" ca="1" si="112"/>
        <v>#NUM!</v>
      </c>
      <c r="AN60" s="40" t="e">
        <f t="shared" ca="1" si="113"/>
        <v>#NUM!</v>
      </c>
      <c r="AO60" s="40" t="e">
        <f t="shared" ca="1" si="114"/>
        <v>#NUM!</v>
      </c>
      <c r="AP60" s="40" t="e">
        <f t="shared" ca="1" si="115"/>
        <v>#NUM!</v>
      </c>
      <c r="AQ60" s="40" t="e">
        <f t="shared" ca="1" si="116"/>
        <v>#NUM!</v>
      </c>
      <c r="AR60" s="40" t="e">
        <f t="shared" ca="1" si="117"/>
        <v>#NUM!</v>
      </c>
      <c r="AS60" s="40" t="e">
        <f t="shared" ca="1" si="118"/>
        <v>#NUM!</v>
      </c>
    </row>
    <row r="61" spans="1:45" x14ac:dyDescent="0.25">
      <c r="A61" s="154"/>
      <c r="B61" s="73">
        <f t="shared" si="94"/>
        <v>-59090.909090909088</v>
      </c>
      <c r="E61" s="148">
        <v>42826</v>
      </c>
      <c r="G61" s="139">
        <v>33</v>
      </c>
      <c r="H61" s="139">
        <v>0</v>
      </c>
      <c r="I61" s="49">
        <f t="shared" si="95"/>
        <v>46522</v>
      </c>
      <c r="J61" s="76">
        <v>1950000</v>
      </c>
      <c r="K61" s="40">
        <f t="shared" si="96"/>
        <v>33</v>
      </c>
      <c r="L61" s="74">
        <f t="shared" si="97"/>
        <v>1950000</v>
      </c>
      <c r="M61" s="76"/>
      <c r="N61" s="76">
        <f t="shared" si="98"/>
        <v>0</v>
      </c>
      <c r="O61" s="142"/>
      <c r="P61" s="142"/>
      <c r="Q61" s="142"/>
      <c r="R61" s="144"/>
      <c r="S61" s="144"/>
      <c r="T61" s="144"/>
      <c r="U61" s="144"/>
      <c r="V61" s="144"/>
      <c r="W61" s="144"/>
      <c r="X61" s="144"/>
      <c r="Y61" s="143"/>
      <c r="Z61" s="143">
        <f t="shared" si="99"/>
        <v>0</v>
      </c>
      <c r="AA61" s="9">
        <f t="shared" si="100"/>
        <v>0.375</v>
      </c>
      <c r="AB61" s="9">
        <f t="shared" si="101"/>
        <v>0</v>
      </c>
      <c r="AC61" s="9">
        <f t="shared" si="102"/>
        <v>0</v>
      </c>
      <c r="AD61" s="9">
        <f t="shared" si="103"/>
        <v>0</v>
      </c>
      <c r="AE61" s="40" t="e">
        <f t="shared" ca="1" si="104"/>
        <v>#NUM!</v>
      </c>
      <c r="AF61" s="40" t="e">
        <f t="shared" ca="1" si="105"/>
        <v>#NUM!</v>
      </c>
      <c r="AG61" s="40" t="e">
        <f t="shared" ca="1" si="106"/>
        <v>#NUM!</v>
      </c>
      <c r="AH61" s="40" t="e">
        <f t="shared" ca="1" si="107"/>
        <v>#NUM!</v>
      </c>
      <c r="AI61" s="40" t="e">
        <f t="shared" ca="1" si="108"/>
        <v>#NUM!</v>
      </c>
      <c r="AJ61" s="40" t="e">
        <f t="shared" ca="1" si="109"/>
        <v>#NUM!</v>
      </c>
      <c r="AK61" s="203" t="e">
        <f t="shared" ca="1" si="110"/>
        <v>#NUM!</v>
      </c>
      <c r="AL61" s="40" t="e">
        <f t="shared" ca="1" si="111"/>
        <v>#NUM!</v>
      </c>
      <c r="AM61" s="40" t="e">
        <f t="shared" ca="1" si="112"/>
        <v>#NUM!</v>
      </c>
      <c r="AN61" s="40" t="e">
        <f t="shared" ca="1" si="113"/>
        <v>#NUM!</v>
      </c>
      <c r="AO61" s="40" t="e">
        <f t="shared" ca="1" si="114"/>
        <v>#NUM!</v>
      </c>
      <c r="AP61" s="40" t="e">
        <f t="shared" ca="1" si="115"/>
        <v>#NUM!</v>
      </c>
      <c r="AQ61" s="40" t="e">
        <f t="shared" ca="1" si="116"/>
        <v>#NUM!</v>
      </c>
      <c r="AR61" s="40" t="e">
        <f t="shared" ca="1" si="117"/>
        <v>#NUM!</v>
      </c>
      <c r="AS61" s="40" t="e">
        <f t="shared" ca="1" si="118"/>
        <v>#NUM!</v>
      </c>
    </row>
    <row r="62" spans="1:45" x14ac:dyDescent="0.25">
      <c r="A62" s="154"/>
      <c r="B62" s="73">
        <f t="shared" si="94"/>
        <v>-59090.909090909088</v>
      </c>
      <c r="E62" s="148">
        <v>42826</v>
      </c>
      <c r="G62" s="139">
        <v>33</v>
      </c>
      <c r="H62" s="139">
        <v>0</v>
      </c>
      <c r="I62" s="49">
        <f t="shared" si="95"/>
        <v>46522</v>
      </c>
      <c r="J62" s="76">
        <v>1950000</v>
      </c>
      <c r="K62" s="40">
        <f t="shared" si="96"/>
        <v>33</v>
      </c>
      <c r="L62" s="74">
        <f t="shared" si="97"/>
        <v>1950000</v>
      </c>
      <c r="M62" s="76"/>
      <c r="N62" s="76">
        <f t="shared" si="98"/>
        <v>0</v>
      </c>
      <c r="O62" s="142"/>
      <c r="P62" s="142"/>
      <c r="Q62" s="142"/>
      <c r="R62" s="144"/>
      <c r="S62" s="144"/>
      <c r="T62" s="144"/>
      <c r="U62" s="144"/>
      <c r="V62" s="144"/>
      <c r="W62" s="144"/>
      <c r="X62" s="144"/>
      <c r="Y62" s="143"/>
      <c r="Z62" s="143">
        <f t="shared" si="99"/>
        <v>0</v>
      </c>
      <c r="AA62" s="9">
        <f t="shared" si="100"/>
        <v>0.375</v>
      </c>
      <c r="AB62" s="9">
        <f t="shared" si="101"/>
        <v>0</v>
      </c>
      <c r="AC62" s="9">
        <f t="shared" si="102"/>
        <v>0</v>
      </c>
      <c r="AD62" s="9">
        <f t="shared" si="103"/>
        <v>0</v>
      </c>
      <c r="AE62" s="40" t="e">
        <f t="shared" ca="1" si="104"/>
        <v>#NUM!</v>
      </c>
      <c r="AF62" s="40" t="e">
        <f t="shared" ca="1" si="105"/>
        <v>#NUM!</v>
      </c>
      <c r="AG62" s="40" t="e">
        <f t="shared" ca="1" si="106"/>
        <v>#NUM!</v>
      </c>
      <c r="AH62" s="40" t="e">
        <f t="shared" ca="1" si="107"/>
        <v>#NUM!</v>
      </c>
      <c r="AI62" s="40" t="e">
        <f t="shared" ca="1" si="108"/>
        <v>#NUM!</v>
      </c>
      <c r="AJ62" s="40" t="e">
        <f t="shared" ca="1" si="109"/>
        <v>#NUM!</v>
      </c>
      <c r="AK62" s="203" t="e">
        <f t="shared" ca="1" si="110"/>
        <v>#NUM!</v>
      </c>
      <c r="AL62" s="40" t="e">
        <f t="shared" ca="1" si="111"/>
        <v>#NUM!</v>
      </c>
      <c r="AM62" s="40" t="e">
        <f t="shared" ca="1" si="112"/>
        <v>#NUM!</v>
      </c>
      <c r="AN62" s="40" t="e">
        <f t="shared" ca="1" si="113"/>
        <v>#NUM!</v>
      </c>
      <c r="AO62" s="40" t="e">
        <f t="shared" ca="1" si="114"/>
        <v>#NUM!</v>
      </c>
      <c r="AP62" s="40" t="e">
        <f t="shared" ca="1" si="115"/>
        <v>#NUM!</v>
      </c>
      <c r="AQ62" s="40" t="e">
        <f t="shared" ca="1" si="116"/>
        <v>#NUM!</v>
      </c>
      <c r="AR62" s="40" t="e">
        <f t="shared" ca="1" si="117"/>
        <v>#NUM!</v>
      </c>
      <c r="AS62" s="40" t="e">
        <f t="shared" ca="1" si="118"/>
        <v>#NUM!</v>
      </c>
    </row>
    <row r="63" spans="1:45" x14ac:dyDescent="0.25">
      <c r="A63" s="154"/>
      <c r="B63" s="73">
        <f t="shared" si="94"/>
        <v>-59090.909090909088</v>
      </c>
      <c r="E63" s="148">
        <v>42826</v>
      </c>
      <c r="G63" s="139">
        <v>33</v>
      </c>
      <c r="H63" s="139">
        <v>0</v>
      </c>
      <c r="I63" s="49">
        <f t="shared" si="95"/>
        <v>46522</v>
      </c>
      <c r="J63" s="76">
        <v>1950000</v>
      </c>
      <c r="K63" s="40">
        <f t="shared" si="96"/>
        <v>33</v>
      </c>
      <c r="L63" s="74">
        <f t="shared" si="97"/>
        <v>1950000</v>
      </c>
      <c r="M63" s="76"/>
      <c r="N63" s="76">
        <f t="shared" si="98"/>
        <v>0</v>
      </c>
      <c r="O63" s="142"/>
      <c r="P63" s="142"/>
      <c r="Q63" s="142"/>
      <c r="R63" s="144"/>
      <c r="S63" s="144"/>
      <c r="T63" s="144"/>
      <c r="U63" s="144"/>
      <c r="V63" s="144"/>
      <c r="W63" s="144"/>
      <c r="X63" s="144"/>
      <c r="Y63" s="143"/>
      <c r="Z63" s="143">
        <f t="shared" si="99"/>
        <v>0</v>
      </c>
      <c r="AA63" s="9">
        <f t="shared" si="100"/>
        <v>0.375</v>
      </c>
      <c r="AB63" s="9">
        <f t="shared" si="101"/>
        <v>0</v>
      </c>
      <c r="AC63" s="9">
        <f t="shared" si="102"/>
        <v>0</v>
      </c>
      <c r="AD63" s="9">
        <f t="shared" si="103"/>
        <v>0</v>
      </c>
      <c r="AE63" s="40" t="e">
        <f t="shared" ca="1" si="104"/>
        <v>#NUM!</v>
      </c>
      <c r="AF63" s="40" t="e">
        <f t="shared" ca="1" si="105"/>
        <v>#NUM!</v>
      </c>
      <c r="AG63" s="40" t="e">
        <f t="shared" ca="1" si="106"/>
        <v>#NUM!</v>
      </c>
      <c r="AH63" s="40" t="e">
        <f t="shared" ca="1" si="107"/>
        <v>#NUM!</v>
      </c>
      <c r="AI63" s="40" t="e">
        <f t="shared" ca="1" si="108"/>
        <v>#NUM!</v>
      </c>
      <c r="AJ63" s="40" t="e">
        <f t="shared" ca="1" si="109"/>
        <v>#NUM!</v>
      </c>
      <c r="AK63" s="203" t="e">
        <f t="shared" ca="1" si="110"/>
        <v>#NUM!</v>
      </c>
      <c r="AL63" s="40" t="e">
        <f t="shared" ca="1" si="111"/>
        <v>#NUM!</v>
      </c>
      <c r="AM63" s="40" t="e">
        <f t="shared" ca="1" si="112"/>
        <v>#NUM!</v>
      </c>
      <c r="AN63" s="40" t="e">
        <f t="shared" ca="1" si="113"/>
        <v>#NUM!</v>
      </c>
      <c r="AO63" s="40" t="e">
        <f t="shared" ca="1" si="114"/>
        <v>#NUM!</v>
      </c>
      <c r="AP63" s="40" t="e">
        <f t="shared" ca="1" si="115"/>
        <v>#NUM!</v>
      </c>
      <c r="AQ63" s="40" t="e">
        <f t="shared" ca="1" si="116"/>
        <v>#NUM!</v>
      </c>
      <c r="AR63" s="40" t="e">
        <f t="shared" ca="1" si="117"/>
        <v>#NUM!</v>
      </c>
      <c r="AS63" s="40" t="e">
        <f t="shared" ca="1" si="118"/>
        <v>#NUM!</v>
      </c>
    </row>
    <row r="64" spans="1:45" x14ac:dyDescent="0.25">
      <c r="A64" s="154"/>
      <c r="B64" s="73">
        <f t="shared" si="94"/>
        <v>-59090.909090909088</v>
      </c>
      <c r="E64" s="148">
        <v>42826</v>
      </c>
      <c r="G64" s="139">
        <v>33</v>
      </c>
      <c r="H64" s="139">
        <v>0</v>
      </c>
      <c r="I64" s="49">
        <f t="shared" si="95"/>
        <v>46522</v>
      </c>
      <c r="J64" s="76">
        <v>1950000</v>
      </c>
      <c r="K64" s="40">
        <f t="shared" si="96"/>
        <v>33</v>
      </c>
      <c r="L64" s="74">
        <f t="shared" si="97"/>
        <v>1950000</v>
      </c>
      <c r="M64" s="76"/>
      <c r="N64" s="76">
        <f t="shared" si="98"/>
        <v>0</v>
      </c>
      <c r="O64" s="142"/>
      <c r="P64" s="142"/>
      <c r="Q64" s="142"/>
      <c r="R64" s="144"/>
      <c r="S64" s="144"/>
      <c r="T64" s="144"/>
      <c r="U64" s="144"/>
      <c r="V64" s="144"/>
      <c r="W64" s="144"/>
      <c r="X64" s="144"/>
      <c r="Y64" s="143"/>
      <c r="Z64" s="143">
        <f t="shared" si="99"/>
        <v>0</v>
      </c>
      <c r="AA64" s="9">
        <f t="shared" si="100"/>
        <v>0.375</v>
      </c>
      <c r="AB64" s="9">
        <f t="shared" si="101"/>
        <v>0</v>
      </c>
      <c r="AC64" s="9">
        <f t="shared" si="102"/>
        <v>0</v>
      </c>
      <c r="AD64" s="9">
        <f t="shared" si="103"/>
        <v>0</v>
      </c>
      <c r="AE64" s="40" t="e">
        <f t="shared" ca="1" si="104"/>
        <v>#NUM!</v>
      </c>
      <c r="AF64" s="40" t="e">
        <f t="shared" ca="1" si="105"/>
        <v>#NUM!</v>
      </c>
      <c r="AG64" s="40" t="e">
        <f t="shared" ca="1" si="106"/>
        <v>#NUM!</v>
      </c>
      <c r="AH64" s="40" t="e">
        <f t="shared" ca="1" si="107"/>
        <v>#NUM!</v>
      </c>
      <c r="AI64" s="40" t="e">
        <f t="shared" ca="1" si="108"/>
        <v>#NUM!</v>
      </c>
      <c r="AJ64" s="40" t="e">
        <f t="shared" ca="1" si="109"/>
        <v>#NUM!</v>
      </c>
      <c r="AK64" s="203" t="e">
        <f t="shared" ca="1" si="110"/>
        <v>#NUM!</v>
      </c>
      <c r="AL64" s="40" t="e">
        <f t="shared" ca="1" si="111"/>
        <v>#NUM!</v>
      </c>
      <c r="AM64" s="40" t="e">
        <f t="shared" ca="1" si="112"/>
        <v>#NUM!</v>
      </c>
      <c r="AN64" s="40" t="e">
        <f t="shared" ca="1" si="113"/>
        <v>#NUM!</v>
      </c>
      <c r="AO64" s="40" t="e">
        <f t="shared" ca="1" si="114"/>
        <v>#NUM!</v>
      </c>
      <c r="AP64" s="40" t="e">
        <f t="shared" ca="1" si="115"/>
        <v>#NUM!</v>
      </c>
      <c r="AQ64" s="40" t="e">
        <f t="shared" ca="1" si="116"/>
        <v>#NUM!</v>
      </c>
      <c r="AR64" s="40" t="e">
        <f t="shared" ca="1" si="117"/>
        <v>#NUM!</v>
      </c>
      <c r="AS64" s="40" t="e">
        <f t="shared" ca="1" si="118"/>
        <v>#NUM!</v>
      </c>
    </row>
    <row r="65" spans="1:45" x14ac:dyDescent="0.25">
      <c r="A65" s="154"/>
      <c r="B65" s="73">
        <f t="shared" si="94"/>
        <v>-59090.909090909088</v>
      </c>
      <c r="E65" s="148">
        <v>42826</v>
      </c>
      <c r="G65" s="139">
        <v>33</v>
      </c>
      <c r="H65" s="139">
        <v>0</v>
      </c>
      <c r="I65" s="49">
        <f t="shared" si="95"/>
        <v>46522</v>
      </c>
      <c r="J65" s="76">
        <v>1950000</v>
      </c>
      <c r="K65" s="40">
        <f t="shared" si="96"/>
        <v>33</v>
      </c>
      <c r="L65" s="74">
        <f t="shared" si="97"/>
        <v>1950000</v>
      </c>
      <c r="M65" s="76"/>
      <c r="N65" s="76">
        <f t="shared" si="98"/>
        <v>0</v>
      </c>
      <c r="O65" s="142"/>
      <c r="P65" s="142"/>
      <c r="Q65" s="142"/>
      <c r="R65" s="144"/>
      <c r="S65" s="144"/>
      <c r="T65" s="144"/>
      <c r="U65" s="144"/>
      <c r="V65" s="144"/>
      <c r="W65" s="144"/>
      <c r="X65" s="144"/>
      <c r="Y65" s="143"/>
      <c r="Z65" s="143">
        <f t="shared" si="99"/>
        <v>0</v>
      </c>
      <c r="AA65" s="9">
        <f t="shared" si="100"/>
        <v>0.375</v>
      </c>
      <c r="AB65" s="9">
        <f t="shared" si="101"/>
        <v>0</v>
      </c>
      <c r="AC65" s="9">
        <f t="shared" si="102"/>
        <v>0</v>
      </c>
      <c r="AD65" s="9">
        <f t="shared" si="103"/>
        <v>0</v>
      </c>
      <c r="AE65" s="40" t="e">
        <f t="shared" ca="1" si="104"/>
        <v>#NUM!</v>
      </c>
      <c r="AF65" s="40" t="e">
        <f t="shared" ca="1" si="105"/>
        <v>#NUM!</v>
      </c>
      <c r="AG65" s="40" t="e">
        <f t="shared" ca="1" si="106"/>
        <v>#NUM!</v>
      </c>
      <c r="AH65" s="40" t="e">
        <f t="shared" ca="1" si="107"/>
        <v>#NUM!</v>
      </c>
      <c r="AI65" s="40" t="e">
        <f t="shared" ca="1" si="108"/>
        <v>#NUM!</v>
      </c>
      <c r="AJ65" s="40" t="e">
        <f t="shared" ca="1" si="109"/>
        <v>#NUM!</v>
      </c>
      <c r="AK65" s="203" t="e">
        <f t="shared" ca="1" si="110"/>
        <v>#NUM!</v>
      </c>
      <c r="AL65" s="40" t="e">
        <f t="shared" ca="1" si="111"/>
        <v>#NUM!</v>
      </c>
      <c r="AM65" s="40" t="e">
        <f t="shared" ca="1" si="112"/>
        <v>#NUM!</v>
      </c>
      <c r="AN65" s="40" t="e">
        <f t="shared" ca="1" si="113"/>
        <v>#NUM!</v>
      </c>
      <c r="AO65" s="40" t="e">
        <f t="shared" ca="1" si="114"/>
        <v>#NUM!</v>
      </c>
      <c r="AP65" s="40" t="e">
        <f t="shared" ca="1" si="115"/>
        <v>#NUM!</v>
      </c>
      <c r="AQ65" s="40" t="e">
        <f t="shared" ca="1" si="116"/>
        <v>#NUM!</v>
      </c>
      <c r="AR65" s="40" t="e">
        <f t="shared" ca="1" si="117"/>
        <v>#NUM!</v>
      </c>
      <c r="AS65" s="40" t="e">
        <f t="shared" ca="1" si="118"/>
        <v>#NUM!</v>
      </c>
    </row>
    <row r="66" spans="1:45" x14ac:dyDescent="0.25">
      <c r="A66" s="154"/>
      <c r="B66" s="73">
        <f t="shared" si="94"/>
        <v>-59090.909090909088</v>
      </c>
      <c r="E66" s="148">
        <v>42826</v>
      </c>
      <c r="G66" s="139">
        <v>33</v>
      </c>
      <c r="H66" s="139">
        <v>0</v>
      </c>
      <c r="I66" s="49">
        <f t="shared" si="95"/>
        <v>46522</v>
      </c>
      <c r="J66" s="76">
        <v>1950000</v>
      </c>
      <c r="K66" s="40">
        <f t="shared" si="96"/>
        <v>33</v>
      </c>
      <c r="L66" s="74">
        <f t="shared" si="97"/>
        <v>1950000</v>
      </c>
      <c r="M66" s="76"/>
      <c r="N66" s="76">
        <f t="shared" si="98"/>
        <v>0</v>
      </c>
      <c r="O66" s="142"/>
      <c r="P66" s="142"/>
      <c r="Q66" s="142"/>
      <c r="R66" s="144"/>
      <c r="S66" s="144"/>
      <c r="T66" s="144"/>
      <c r="U66" s="144"/>
      <c r="V66" s="144"/>
      <c r="W66" s="144"/>
      <c r="X66" s="144"/>
      <c r="Y66" s="143"/>
      <c r="Z66" s="143">
        <f t="shared" si="99"/>
        <v>0</v>
      </c>
      <c r="AA66" s="9">
        <f t="shared" si="100"/>
        <v>0.375</v>
      </c>
      <c r="AB66" s="9">
        <f t="shared" si="101"/>
        <v>0</v>
      </c>
      <c r="AC66" s="9">
        <f t="shared" si="102"/>
        <v>0</v>
      </c>
      <c r="AD66" s="9">
        <f t="shared" si="103"/>
        <v>0</v>
      </c>
      <c r="AE66" s="40" t="e">
        <f t="shared" ca="1" si="104"/>
        <v>#NUM!</v>
      </c>
      <c r="AF66" s="40" t="e">
        <f t="shared" ca="1" si="105"/>
        <v>#NUM!</v>
      </c>
      <c r="AG66" s="40" t="e">
        <f t="shared" ca="1" si="106"/>
        <v>#NUM!</v>
      </c>
      <c r="AH66" s="40" t="e">
        <f t="shared" ca="1" si="107"/>
        <v>#NUM!</v>
      </c>
      <c r="AI66" s="40" t="e">
        <f t="shared" ca="1" si="108"/>
        <v>#NUM!</v>
      </c>
      <c r="AJ66" s="40" t="e">
        <f t="shared" ca="1" si="109"/>
        <v>#NUM!</v>
      </c>
      <c r="AK66" s="203" t="e">
        <f t="shared" ca="1" si="110"/>
        <v>#NUM!</v>
      </c>
      <c r="AL66" s="40" t="e">
        <f t="shared" ca="1" si="111"/>
        <v>#NUM!</v>
      </c>
      <c r="AM66" s="40" t="e">
        <f t="shared" ca="1" si="112"/>
        <v>#NUM!</v>
      </c>
      <c r="AN66" s="40" t="e">
        <f t="shared" ca="1" si="113"/>
        <v>#NUM!</v>
      </c>
      <c r="AO66" s="40" t="e">
        <f t="shared" ca="1" si="114"/>
        <v>#NUM!</v>
      </c>
      <c r="AP66" s="40" t="e">
        <f t="shared" ca="1" si="115"/>
        <v>#NUM!</v>
      </c>
      <c r="AQ66" s="40" t="e">
        <f t="shared" ca="1" si="116"/>
        <v>#NUM!</v>
      </c>
      <c r="AR66" s="40" t="e">
        <f t="shared" ca="1" si="117"/>
        <v>#NUM!</v>
      </c>
      <c r="AS66" s="40" t="e">
        <f t="shared" ca="1" si="118"/>
        <v>#NUM!</v>
      </c>
    </row>
    <row r="67" spans="1:45" x14ac:dyDescent="0.25">
      <c r="A67" s="154"/>
      <c r="B67" s="73">
        <f t="shared" si="94"/>
        <v>-59090.909090909088</v>
      </c>
      <c r="E67" s="148">
        <v>42826</v>
      </c>
      <c r="G67" s="139">
        <v>33</v>
      </c>
      <c r="H67" s="139">
        <v>0</v>
      </c>
      <c r="I67" s="49">
        <f t="shared" si="95"/>
        <v>46522</v>
      </c>
      <c r="J67" s="76">
        <v>1950000</v>
      </c>
      <c r="K67" s="40">
        <f t="shared" si="96"/>
        <v>33</v>
      </c>
      <c r="L67" s="74">
        <f t="shared" si="97"/>
        <v>1950000</v>
      </c>
      <c r="M67" s="76"/>
      <c r="N67" s="76">
        <f t="shared" si="98"/>
        <v>0</v>
      </c>
      <c r="O67" s="142"/>
      <c r="P67" s="142"/>
      <c r="Q67" s="142"/>
      <c r="R67" s="144"/>
      <c r="S67" s="144"/>
      <c r="T67" s="144"/>
      <c r="U67" s="144"/>
      <c r="V67" s="144"/>
      <c r="W67" s="144"/>
      <c r="X67" s="144"/>
      <c r="Y67" s="143"/>
      <c r="Z67" s="143">
        <f t="shared" si="99"/>
        <v>0</v>
      </c>
      <c r="AA67" s="9">
        <f t="shared" si="100"/>
        <v>0.375</v>
      </c>
      <c r="AB67" s="9">
        <f t="shared" si="101"/>
        <v>0</v>
      </c>
      <c r="AC67" s="9">
        <f t="shared" si="102"/>
        <v>0</v>
      </c>
      <c r="AD67" s="9">
        <f t="shared" si="103"/>
        <v>0</v>
      </c>
      <c r="AE67" s="40" t="e">
        <f t="shared" ca="1" si="104"/>
        <v>#NUM!</v>
      </c>
      <c r="AF67" s="40" t="e">
        <f t="shared" ca="1" si="105"/>
        <v>#NUM!</v>
      </c>
      <c r="AG67" s="40" t="e">
        <f t="shared" ca="1" si="106"/>
        <v>#NUM!</v>
      </c>
      <c r="AH67" s="40" t="e">
        <f t="shared" ca="1" si="107"/>
        <v>#NUM!</v>
      </c>
      <c r="AI67" s="40" t="e">
        <f t="shared" ca="1" si="108"/>
        <v>#NUM!</v>
      </c>
      <c r="AJ67" s="40" t="e">
        <f t="shared" ca="1" si="109"/>
        <v>#NUM!</v>
      </c>
      <c r="AK67" s="203" t="e">
        <f t="shared" ca="1" si="110"/>
        <v>#NUM!</v>
      </c>
      <c r="AL67" s="40" t="e">
        <f t="shared" ca="1" si="111"/>
        <v>#NUM!</v>
      </c>
      <c r="AM67" s="40" t="e">
        <f t="shared" ca="1" si="112"/>
        <v>#NUM!</v>
      </c>
      <c r="AN67" s="40" t="e">
        <f t="shared" ca="1" si="113"/>
        <v>#NUM!</v>
      </c>
      <c r="AO67" s="40" t="e">
        <f t="shared" ca="1" si="114"/>
        <v>#NUM!</v>
      </c>
      <c r="AP67" s="40" t="e">
        <f t="shared" ca="1" si="115"/>
        <v>#NUM!</v>
      </c>
      <c r="AQ67" s="40" t="e">
        <f t="shared" ca="1" si="116"/>
        <v>#NUM!</v>
      </c>
      <c r="AR67" s="40" t="e">
        <f t="shared" ca="1" si="117"/>
        <v>#NUM!</v>
      </c>
      <c r="AS67" s="40" t="e">
        <f t="shared" ca="1" si="118"/>
        <v>#NUM!</v>
      </c>
    </row>
    <row r="68" spans="1:45" x14ac:dyDescent="0.25">
      <c r="A68" s="154"/>
      <c r="B68" s="73">
        <f t="shared" si="94"/>
        <v>-59090.909090909088</v>
      </c>
      <c r="E68" s="148">
        <v>42826</v>
      </c>
      <c r="G68" s="139">
        <v>33</v>
      </c>
      <c r="H68" s="139">
        <v>0</v>
      </c>
      <c r="I68" s="49">
        <f t="shared" si="95"/>
        <v>46522</v>
      </c>
      <c r="J68" s="76">
        <v>1950000</v>
      </c>
      <c r="K68" s="40">
        <f t="shared" si="96"/>
        <v>33</v>
      </c>
      <c r="L68" s="74">
        <f t="shared" si="97"/>
        <v>1950000</v>
      </c>
      <c r="M68" s="76"/>
      <c r="N68" s="76">
        <f t="shared" si="98"/>
        <v>0</v>
      </c>
      <c r="O68" s="142"/>
      <c r="P68" s="142"/>
      <c r="Q68" s="142"/>
      <c r="R68" s="144"/>
      <c r="S68" s="144"/>
      <c r="T68" s="144"/>
      <c r="U68" s="144"/>
      <c r="V68" s="144"/>
      <c r="W68" s="144"/>
      <c r="X68" s="144"/>
      <c r="Y68" s="143"/>
      <c r="Z68" s="143">
        <f t="shared" si="99"/>
        <v>0</v>
      </c>
      <c r="AA68" s="9">
        <f t="shared" si="100"/>
        <v>0.375</v>
      </c>
      <c r="AB68" s="9">
        <f t="shared" si="101"/>
        <v>0</v>
      </c>
      <c r="AC68" s="9">
        <f t="shared" si="102"/>
        <v>0</v>
      </c>
      <c r="AD68" s="9">
        <f t="shared" si="103"/>
        <v>0</v>
      </c>
      <c r="AE68" s="40" t="e">
        <f t="shared" ca="1" si="104"/>
        <v>#NUM!</v>
      </c>
      <c r="AF68" s="40" t="e">
        <f t="shared" ca="1" si="105"/>
        <v>#NUM!</v>
      </c>
      <c r="AG68" s="40" t="e">
        <f t="shared" ca="1" si="106"/>
        <v>#NUM!</v>
      </c>
      <c r="AH68" s="40" t="e">
        <f t="shared" ca="1" si="107"/>
        <v>#NUM!</v>
      </c>
      <c r="AI68" s="40" t="e">
        <f t="shared" ca="1" si="108"/>
        <v>#NUM!</v>
      </c>
      <c r="AJ68" s="40" t="e">
        <f t="shared" ca="1" si="109"/>
        <v>#NUM!</v>
      </c>
      <c r="AK68" s="203" t="e">
        <f t="shared" ca="1" si="110"/>
        <v>#NUM!</v>
      </c>
      <c r="AL68" s="40" t="e">
        <f t="shared" ca="1" si="111"/>
        <v>#NUM!</v>
      </c>
      <c r="AM68" s="40" t="e">
        <f t="shared" ca="1" si="112"/>
        <v>#NUM!</v>
      </c>
      <c r="AN68" s="40" t="e">
        <f t="shared" ca="1" si="113"/>
        <v>#NUM!</v>
      </c>
      <c r="AO68" s="40" t="e">
        <f t="shared" ca="1" si="114"/>
        <v>#NUM!</v>
      </c>
      <c r="AP68" s="40" t="e">
        <f t="shared" ca="1" si="115"/>
        <v>#NUM!</v>
      </c>
      <c r="AQ68" s="40" t="e">
        <f t="shared" ca="1" si="116"/>
        <v>#NUM!</v>
      </c>
      <c r="AR68" s="40" t="e">
        <f t="shared" ca="1" si="117"/>
        <v>#NUM!</v>
      </c>
      <c r="AS68" s="40" t="e">
        <f t="shared" ca="1" si="118"/>
        <v>#NUM!</v>
      </c>
    </row>
    <row r="69" spans="1:45" x14ac:dyDescent="0.25">
      <c r="A69" s="154"/>
      <c r="B69" s="73">
        <f t="shared" si="94"/>
        <v>-59090.909090909088</v>
      </c>
      <c r="E69" s="148">
        <v>42826</v>
      </c>
      <c r="G69" s="139">
        <v>33</v>
      </c>
      <c r="H69" s="139">
        <v>0</v>
      </c>
      <c r="I69" s="49">
        <f t="shared" si="95"/>
        <v>46522</v>
      </c>
      <c r="J69" s="76">
        <v>1950000</v>
      </c>
      <c r="K69" s="40">
        <f t="shared" si="96"/>
        <v>33</v>
      </c>
      <c r="L69" s="74">
        <f t="shared" si="97"/>
        <v>1950000</v>
      </c>
      <c r="M69" s="76"/>
      <c r="N69" s="76">
        <f t="shared" si="98"/>
        <v>0</v>
      </c>
      <c r="O69" s="142"/>
      <c r="P69" s="142"/>
      <c r="Q69" s="142"/>
      <c r="R69" s="144"/>
      <c r="S69" s="144"/>
      <c r="T69" s="144"/>
      <c r="U69" s="144"/>
      <c r="V69" s="144"/>
      <c r="W69" s="144"/>
      <c r="X69" s="144"/>
      <c r="Y69" s="143"/>
      <c r="Z69" s="143">
        <f t="shared" si="99"/>
        <v>0</v>
      </c>
      <c r="AA69" s="9">
        <f t="shared" si="100"/>
        <v>0.375</v>
      </c>
      <c r="AB69" s="9">
        <f t="shared" si="101"/>
        <v>0</v>
      </c>
      <c r="AC69" s="9">
        <f t="shared" si="102"/>
        <v>0</v>
      </c>
      <c r="AD69" s="9">
        <f t="shared" si="103"/>
        <v>0</v>
      </c>
      <c r="AE69" s="40" t="e">
        <f t="shared" ca="1" si="104"/>
        <v>#NUM!</v>
      </c>
      <c r="AF69" s="40" t="e">
        <f t="shared" ca="1" si="105"/>
        <v>#NUM!</v>
      </c>
      <c r="AG69" s="40" t="e">
        <f t="shared" ca="1" si="106"/>
        <v>#NUM!</v>
      </c>
      <c r="AH69" s="40" t="e">
        <f t="shared" ca="1" si="107"/>
        <v>#NUM!</v>
      </c>
      <c r="AI69" s="40" t="e">
        <f t="shared" ca="1" si="108"/>
        <v>#NUM!</v>
      </c>
      <c r="AJ69" s="40" t="e">
        <f t="shared" ca="1" si="109"/>
        <v>#NUM!</v>
      </c>
      <c r="AK69" s="203" t="e">
        <f t="shared" ca="1" si="110"/>
        <v>#NUM!</v>
      </c>
      <c r="AL69" s="40" t="e">
        <f t="shared" ca="1" si="111"/>
        <v>#NUM!</v>
      </c>
      <c r="AM69" s="40" t="e">
        <f t="shared" ca="1" si="112"/>
        <v>#NUM!</v>
      </c>
      <c r="AN69" s="40" t="e">
        <f t="shared" ca="1" si="113"/>
        <v>#NUM!</v>
      </c>
      <c r="AO69" s="40" t="e">
        <f t="shared" ca="1" si="114"/>
        <v>#NUM!</v>
      </c>
      <c r="AP69" s="40" t="e">
        <f t="shared" ca="1" si="115"/>
        <v>#NUM!</v>
      </c>
      <c r="AQ69" s="40" t="e">
        <f t="shared" ca="1" si="116"/>
        <v>#NUM!</v>
      </c>
      <c r="AR69" s="40" t="e">
        <f t="shared" ca="1" si="117"/>
        <v>#NUM!</v>
      </c>
      <c r="AS69" s="40" t="e">
        <f t="shared" ca="1" si="118"/>
        <v>#NUM!</v>
      </c>
    </row>
    <row r="70" spans="1:45" x14ac:dyDescent="0.25">
      <c r="A70" s="154"/>
      <c r="B70" s="73">
        <f t="shared" si="94"/>
        <v>-59090.909090909088</v>
      </c>
      <c r="E70" s="148">
        <v>42826</v>
      </c>
      <c r="G70" s="139">
        <v>33</v>
      </c>
      <c r="H70" s="139">
        <v>0</v>
      </c>
      <c r="I70" s="49">
        <f t="shared" si="95"/>
        <v>46522</v>
      </c>
      <c r="J70" s="76">
        <v>1950000</v>
      </c>
      <c r="K70" s="40">
        <f t="shared" si="96"/>
        <v>33</v>
      </c>
      <c r="L70" s="74">
        <f t="shared" si="97"/>
        <v>1950000</v>
      </c>
      <c r="M70" s="76"/>
      <c r="N70" s="76">
        <f t="shared" si="98"/>
        <v>0</v>
      </c>
      <c r="O70" s="142"/>
      <c r="P70" s="142"/>
      <c r="Q70" s="142"/>
      <c r="R70" s="144"/>
      <c r="S70" s="144"/>
      <c r="T70" s="144"/>
      <c r="U70" s="144"/>
      <c r="V70" s="144"/>
      <c r="W70" s="144"/>
      <c r="X70" s="144"/>
      <c r="Y70" s="143"/>
      <c r="Z70" s="143">
        <f t="shared" si="99"/>
        <v>0</v>
      </c>
      <c r="AA70" s="9">
        <f t="shared" si="100"/>
        <v>0.375</v>
      </c>
      <c r="AB70" s="9">
        <f t="shared" si="101"/>
        <v>0</v>
      </c>
      <c r="AC70" s="9">
        <f t="shared" si="102"/>
        <v>0</v>
      </c>
      <c r="AD70" s="9">
        <f t="shared" si="103"/>
        <v>0</v>
      </c>
      <c r="AE70" s="40" t="e">
        <f t="shared" ca="1" si="104"/>
        <v>#NUM!</v>
      </c>
      <c r="AF70" s="40" t="e">
        <f t="shared" ca="1" si="105"/>
        <v>#NUM!</v>
      </c>
      <c r="AG70" s="40" t="e">
        <f t="shared" ca="1" si="106"/>
        <v>#NUM!</v>
      </c>
      <c r="AH70" s="40" t="e">
        <f t="shared" ca="1" si="107"/>
        <v>#NUM!</v>
      </c>
      <c r="AI70" s="40" t="e">
        <f t="shared" ca="1" si="108"/>
        <v>#NUM!</v>
      </c>
      <c r="AJ70" s="40" t="e">
        <f t="shared" ca="1" si="109"/>
        <v>#NUM!</v>
      </c>
      <c r="AK70" s="203" t="e">
        <f t="shared" ca="1" si="110"/>
        <v>#NUM!</v>
      </c>
      <c r="AL70" s="40" t="e">
        <f t="shared" ca="1" si="111"/>
        <v>#NUM!</v>
      </c>
      <c r="AM70" s="40" t="e">
        <f t="shared" ca="1" si="112"/>
        <v>#NUM!</v>
      </c>
      <c r="AN70" s="40" t="e">
        <f t="shared" ca="1" si="113"/>
        <v>#NUM!</v>
      </c>
      <c r="AO70" s="40" t="e">
        <f t="shared" ca="1" si="114"/>
        <v>#NUM!</v>
      </c>
      <c r="AP70" s="40" t="e">
        <f t="shared" ca="1" si="115"/>
        <v>#NUM!</v>
      </c>
      <c r="AQ70" s="40" t="e">
        <f t="shared" ca="1" si="116"/>
        <v>#NUM!</v>
      </c>
      <c r="AR70" s="40" t="e">
        <f t="shared" ca="1" si="117"/>
        <v>#NUM!</v>
      </c>
      <c r="AS70" s="40" t="e">
        <f t="shared" ca="1" si="118"/>
        <v>#NUM!</v>
      </c>
    </row>
    <row r="71" spans="1:45" x14ac:dyDescent="0.25">
      <c r="A71" s="154"/>
      <c r="B71" s="73">
        <f t="shared" si="94"/>
        <v>-59090.909090909088</v>
      </c>
      <c r="E71" s="148">
        <v>42826</v>
      </c>
      <c r="G71" s="139">
        <v>33</v>
      </c>
      <c r="H71" s="139">
        <v>0</v>
      </c>
      <c r="I71" s="49">
        <f t="shared" si="95"/>
        <v>46522</v>
      </c>
      <c r="J71" s="76">
        <v>1950000</v>
      </c>
      <c r="K71" s="40">
        <f t="shared" si="96"/>
        <v>33</v>
      </c>
      <c r="L71" s="74">
        <f t="shared" si="97"/>
        <v>1950000</v>
      </c>
      <c r="M71" s="76"/>
      <c r="N71" s="76">
        <f t="shared" si="98"/>
        <v>0</v>
      </c>
      <c r="O71" s="142"/>
      <c r="P71" s="142"/>
      <c r="Q71" s="142"/>
      <c r="R71" s="144"/>
      <c r="S71" s="144"/>
      <c r="T71" s="144"/>
      <c r="U71" s="144"/>
      <c r="V71" s="144"/>
      <c r="W71" s="144"/>
      <c r="X71" s="144"/>
      <c r="Y71" s="143"/>
      <c r="Z71" s="143">
        <f t="shared" si="99"/>
        <v>0</v>
      </c>
      <c r="AA71" s="9">
        <f t="shared" si="100"/>
        <v>0.375</v>
      </c>
      <c r="AB71" s="9">
        <f t="shared" si="101"/>
        <v>0</v>
      </c>
      <c r="AC71" s="9">
        <f t="shared" si="102"/>
        <v>0</v>
      </c>
      <c r="AD71" s="9">
        <f t="shared" si="103"/>
        <v>0</v>
      </c>
      <c r="AE71" s="40" t="e">
        <f t="shared" ca="1" si="104"/>
        <v>#NUM!</v>
      </c>
      <c r="AF71" s="40" t="e">
        <f t="shared" ca="1" si="105"/>
        <v>#NUM!</v>
      </c>
      <c r="AG71" s="40" t="e">
        <f t="shared" ca="1" si="106"/>
        <v>#NUM!</v>
      </c>
      <c r="AH71" s="40" t="e">
        <f t="shared" ca="1" si="107"/>
        <v>#NUM!</v>
      </c>
      <c r="AI71" s="40" t="e">
        <f t="shared" ca="1" si="108"/>
        <v>#NUM!</v>
      </c>
      <c r="AJ71" s="40" t="e">
        <f t="shared" ca="1" si="109"/>
        <v>#NUM!</v>
      </c>
      <c r="AK71" s="203" t="e">
        <f t="shared" ca="1" si="110"/>
        <v>#NUM!</v>
      </c>
      <c r="AL71" s="40" t="e">
        <f t="shared" ca="1" si="111"/>
        <v>#NUM!</v>
      </c>
      <c r="AM71" s="40" t="e">
        <f t="shared" ca="1" si="112"/>
        <v>#NUM!</v>
      </c>
      <c r="AN71" s="40" t="e">
        <f t="shared" ca="1" si="113"/>
        <v>#NUM!</v>
      </c>
      <c r="AO71" s="40" t="e">
        <f t="shared" ca="1" si="114"/>
        <v>#NUM!</v>
      </c>
      <c r="AP71" s="40" t="e">
        <f t="shared" ca="1" si="115"/>
        <v>#NUM!</v>
      </c>
      <c r="AQ71" s="40" t="e">
        <f t="shared" ca="1" si="116"/>
        <v>#NUM!</v>
      </c>
      <c r="AR71" s="40" t="e">
        <f t="shared" ca="1" si="117"/>
        <v>#NUM!</v>
      </c>
      <c r="AS71" s="40" t="e">
        <f t="shared" ca="1" si="118"/>
        <v>#NUM!</v>
      </c>
    </row>
    <row r="72" spans="1:45" x14ac:dyDescent="0.25">
      <c r="A72" s="154"/>
      <c r="B72" s="73">
        <f t="shared" si="94"/>
        <v>-59090.909090909088</v>
      </c>
      <c r="E72" s="148">
        <v>42826</v>
      </c>
      <c r="G72" s="139">
        <v>33</v>
      </c>
      <c r="H72" s="139">
        <v>0</v>
      </c>
      <c r="I72" s="49">
        <f t="shared" si="95"/>
        <v>46522</v>
      </c>
      <c r="J72" s="76">
        <v>1950000</v>
      </c>
      <c r="K72" s="40">
        <f t="shared" si="96"/>
        <v>33</v>
      </c>
      <c r="L72" s="74">
        <f t="shared" si="97"/>
        <v>1950000</v>
      </c>
      <c r="M72" s="76"/>
      <c r="N72" s="76">
        <f t="shared" si="98"/>
        <v>0</v>
      </c>
      <c r="O72" s="142"/>
      <c r="P72" s="142"/>
      <c r="Q72" s="142"/>
      <c r="R72" s="144"/>
      <c r="S72" s="144"/>
      <c r="T72" s="144"/>
      <c r="U72" s="144"/>
      <c r="V72" s="144"/>
      <c r="W72" s="144"/>
      <c r="X72" s="144"/>
      <c r="Y72" s="143"/>
      <c r="Z72" s="143">
        <f t="shared" si="99"/>
        <v>0</v>
      </c>
      <c r="AA72" s="9">
        <f t="shared" si="100"/>
        <v>0.375</v>
      </c>
      <c r="AB72" s="9">
        <f t="shared" si="101"/>
        <v>0</v>
      </c>
      <c r="AC72" s="9">
        <f t="shared" si="102"/>
        <v>0</v>
      </c>
      <c r="AD72" s="9">
        <f t="shared" si="103"/>
        <v>0</v>
      </c>
      <c r="AE72" s="40" t="e">
        <f t="shared" ca="1" si="104"/>
        <v>#NUM!</v>
      </c>
      <c r="AF72" s="40" t="e">
        <f t="shared" ca="1" si="105"/>
        <v>#NUM!</v>
      </c>
      <c r="AG72" s="40" t="e">
        <f t="shared" ca="1" si="106"/>
        <v>#NUM!</v>
      </c>
      <c r="AH72" s="40" t="e">
        <f t="shared" ca="1" si="107"/>
        <v>#NUM!</v>
      </c>
      <c r="AI72" s="40" t="e">
        <f t="shared" ca="1" si="108"/>
        <v>#NUM!</v>
      </c>
      <c r="AJ72" s="40" t="e">
        <f t="shared" ca="1" si="109"/>
        <v>#NUM!</v>
      </c>
      <c r="AK72" s="203" t="e">
        <f t="shared" ca="1" si="110"/>
        <v>#NUM!</v>
      </c>
      <c r="AL72" s="40" t="e">
        <f t="shared" ca="1" si="111"/>
        <v>#NUM!</v>
      </c>
      <c r="AM72" s="40" t="e">
        <f t="shared" ca="1" si="112"/>
        <v>#NUM!</v>
      </c>
      <c r="AN72" s="40" t="e">
        <f t="shared" ca="1" si="113"/>
        <v>#NUM!</v>
      </c>
      <c r="AO72" s="40" t="e">
        <f t="shared" ca="1" si="114"/>
        <v>#NUM!</v>
      </c>
      <c r="AP72" s="40" t="e">
        <f t="shared" ca="1" si="115"/>
        <v>#NUM!</v>
      </c>
      <c r="AQ72" s="40" t="e">
        <f t="shared" ca="1" si="116"/>
        <v>#NUM!</v>
      </c>
      <c r="AR72" s="40" t="e">
        <f t="shared" ca="1" si="117"/>
        <v>#NUM!</v>
      </c>
      <c r="AS72" s="40" t="e">
        <f t="shared" ca="1" si="118"/>
        <v>#NUM!</v>
      </c>
    </row>
    <row r="73" spans="1:45" x14ac:dyDescent="0.25">
      <c r="A73" s="154"/>
      <c r="B73" s="73">
        <f t="shared" si="94"/>
        <v>-59090.909090909088</v>
      </c>
      <c r="E73" s="148">
        <v>42826</v>
      </c>
      <c r="G73" s="139">
        <v>33</v>
      </c>
      <c r="H73" s="139">
        <v>0</v>
      </c>
      <c r="I73" s="49">
        <f t="shared" si="95"/>
        <v>46522</v>
      </c>
      <c r="J73" s="76">
        <v>1950000</v>
      </c>
      <c r="K73" s="40">
        <f t="shared" si="96"/>
        <v>33</v>
      </c>
      <c r="L73" s="74">
        <f t="shared" si="97"/>
        <v>1950000</v>
      </c>
      <c r="M73" s="76"/>
      <c r="N73" s="76">
        <f t="shared" si="98"/>
        <v>0</v>
      </c>
      <c r="O73" s="142"/>
      <c r="P73" s="142"/>
      <c r="Q73" s="142"/>
      <c r="R73" s="144"/>
      <c r="S73" s="144"/>
      <c r="T73" s="144"/>
      <c r="U73" s="144"/>
      <c r="V73" s="144"/>
      <c r="W73" s="144"/>
      <c r="X73" s="144"/>
      <c r="Y73" s="143"/>
      <c r="Z73" s="143">
        <f t="shared" si="99"/>
        <v>0</v>
      </c>
      <c r="AA73" s="9">
        <f t="shared" si="100"/>
        <v>0.375</v>
      </c>
      <c r="AB73" s="9">
        <f t="shared" si="101"/>
        <v>0</v>
      </c>
      <c r="AC73" s="9">
        <f t="shared" si="102"/>
        <v>0</v>
      </c>
      <c r="AD73" s="9">
        <f t="shared" si="103"/>
        <v>0</v>
      </c>
      <c r="AE73" s="40" t="e">
        <f t="shared" ca="1" si="104"/>
        <v>#NUM!</v>
      </c>
      <c r="AF73" s="40" t="e">
        <f t="shared" ca="1" si="105"/>
        <v>#NUM!</v>
      </c>
      <c r="AG73" s="40" t="e">
        <f t="shared" ca="1" si="106"/>
        <v>#NUM!</v>
      </c>
      <c r="AH73" s="40" t="e">
        <f t="shared" ca="1" si="107"/>
        <v>#NUM!</v>
      </c>
      <c r="AI73" s="40" t="e">
        <f t="shared" ca="1" si="108"/>
        <v>#NUM!</v>
      </c>
      <c r="AJ73" s="40" t="e">
        <f t="shared" ca="1" si="109"/>
        <v>#NUM!</v>
      </c>
      <c r="AK73" s="203" t="e">
        <f t="shared" ca="1" si="110"/>
        <v>#NUM!</v>
      </c>
      <c r="AL73" s="40" t="e">
        <f t="shared" ca="1" si="111"/>
        <v>#NUM!</v>
      </c>
      <c r="AM73" s="40" t="e">
        <f t="shared" ca="1" si="112"/>
        <v>#NUM!</v>
      </c>
      <c r="AN73" s="40" t="e">
        <f t="shared" ca="1" si="113"/>
        <v>#NUM!</v>
      </c>
      <c r="AO73" s="40" t="e">
        <f t="shared" ca="1" si="114"/>
        <v>#NUM!</v>
      </c>
      <c r="AP73" s="40" t="e">
        <f t="shared" ca="1" si="115"/>
        <v>#NUM!</v>
      </c>
      <c r="AQ73" s="40" t="e">
        <f t="shared" ca="1" si="116"/>
        <v>#NUM!</v>
      </c>
      <c r="AR73" s="40" t="e">
        <f t="shared" ca="1" si="117"/>
        <v>#NUM!</v>
      </c>
      <c r="AS73" s="40" t="e">
        <f t="shared" ca="1" si="118"/>
        <v>#NUM!</v>
      </c>
    </row>
    <row r="74" spans="1:45" x14ac:dyDescent="0.25">
      <c r="A74" s="154"/>
      <c r="B74" s="73">
        <f t="shared" si="94"/>
        <v>-59090.909090909088</v>
      </c>
      <c r="E74" s="148">
        <v>42826</v>
      </c>
      <c r="G74" s="139">
        <v>33</v>
      </c>
      <c r="H74" s="139">
        <v>0</v>
      </c>
      <c r="I74" s="49">
        <f t="shared" si="95"/>
        <v>46522</v>
      </c>
      <c r="J74" s="76">
        <v>1950000</v>
      </c>
      <c r="K74" s="40">
        <f t="shared" si="96"/>
        <v>33</v>
      </c>
      <c r="L74" s="74">
        <f t="shared" si="97"/>
        <v>1950000</v>
      </c>
      <c r="M74" s="76"/>
      <c r="N74" s="76">
        <f t="shared" si="98"/>
        <v>0</v>
      </c>
      <c r="O74" s="142"/>
      <c r="P74" s="142"/>
      <c r="Q74" s="142"/>
      <c r="R74" s="144"/>
      <c r="S74" s="144"/>
      <c r="T74" s="144"/>
      <c r="U74" s="144"/>
      <c r="V74" s="144"/>
      <c r="W74" s="144"/>
      <c r="X74" s="144"/>
      <c r="Y74" s="143"/>
      <c r="Z74" s="143">
        <f t="shared" si="99"/>
        <v>0</v>
      </c>
      <c r="AA74" s="9">
        <f t="shared" si="100"/>
        <v>0.375</v>
      </c>
      <c r="AB74" s="9">
        <f t="shared" si="101"/>
        <v>0</v>
      </c>
      <c r="AC74" s="9">
        <f t="shared" si="102"/>
        <v>0</v>
      </c>
      <c r="AD74" s="9">
        <f t="shared" si="103"/>
        <v>0</v>
      </c>
      <c r="AE74" s="40" t="e">
        <f t="shared" ca="1" si="104"/>
        <v>#NUM!</v>
      </c>
      <c r="AF74" s="40" t="e">
        <f t="shared" ca="1" si="105"/>
        <v>#NUM!</v>
      </c>
      <c r="AG74" s="40" t="e">
        <f t="shared" ca="1" si="106"/>
        <v>#NUM!</v>
      </c>
      <c r="AH74" s="40" t="e">
        <f t="shared" ca="1" si="107"/>
        <v>#NUM!</v>
      </c>
      <c r="AI74" s="40" t="e">
        <f t="shared" ca="1" si="108"/>
        <v>#NUM!</v>
      </c>
      <c r="AJ74" s="40" t="e">
        <f t="shared" ca="1" si="109"/>
        <v>#NUM!</v>
      </c>
      <c r="AK74" s="203" t="e">
        <f t="shared" ca="1" si="110"/>
        <v>#NUM!</v>
      </c>
      <c r="AL74" s="40" t="e">
        <f t="shared" ca="1" si="111"/>
        <v>#NUM!</v>
      </c>
      <c r="AM74" s="40" t="e">
        <f t="shared" ca="1" si="112"/>
        <v>#NUM!</v>
      </c>
      <c r="AN74" s="40" t="e">
        <f t="shared" ca="1" si="113"/>
        <v>#NUM!</v>
      </c>
      <c r="AO74" s="40" t="e">
        <f t="shared" ca="1" si="114"/>
        <v>#NUM!</v>
      </c>
      <c r="AP74" s="40" t="e">
        <f t="shared" ca="1" si="115"/>
        <v>#NUM!</v>
      </c>
      <c r="AQ74" s="40" t="e">
        <f t="shared" ca="1" si="116"/>
        <v>#NUM!</v>
      </c>
      <c r="AR74" s="40" t="e">
        <f t="shared" ca="1" si="117"/>
        <v>#NUM!</v>
      </c>
      <c r="AS74" s="40" t="e">
        <f t="shared" ca="1" si="118"/>
        <v>#NUM!</v>
      </c>
    </row>
    <row r="75" spans="1:45" x14ac:dyDescent="0.25">
      <c r="A75" s="154"/>
      <c r="B75" s="73">
        <f t="shared" si="94"/>
        <v>-59090.909090909088</v>
      </c>
      <c r="E75" s="148">
        <v>42826</v>
      </c>
      <c r="G75" s="139">
        <v>33</v>
      </c>
      <c r="H75" s="139">
        <v>0</v>
      </c>
      <c r="I75" s="49">
        <f t="shared" si="95"/>
        <v>46522</v>
      </c>
      <c r="J75" s="76">
        <v>1950000</v>
      </c>
      <c r="K75" s="40">
        <f t="shared" si="96"/>
        <v>33</v>
      </c>
      <c r="L75" s="74">
        <f t="shared" si="97"/>
        <v>1950000</v>
      </c>
      <c r="M75" s="76"/>
      <c r="N75" s="76">
        <f t="shared" si="98"/>
        <v>0</v>
      </c>
      <c r="O75" s="142"/>
      <c r="P75" s="142"/>
      <c r="Q75" s="142"/>
      <c r="R75" s="144"/>
      <c r="S75" s="144"/>
      <c r="T75" s="144"/>
      <c r="U75" s="144"/>
      <c r="V75" s="144"/>
      <c r="W75" s="144"/>
      <c r="X75" s="144"/>
      <c r="Y75" s="143"/>
      <c r="Z75" s="143">
        <f t="shared" si="99"/>
        <v>0</v>
      </c>
      <c r="AA75" s="9">
        <f t="shared" si="100"/>
        <v>0.375</v>
      </c>
      <c r="AB75" s="9">
        <f t="shared" si="101"/>
        <v>0</v>
      </c>
      <c r="AC75" s="9">
        <f t="shared" si="102"/>
        <v>0</v>
      </c>
      <c r="AD75" s="9">
        <f t="shared" si="103"/>
        <v>0</v>
      </c>
      <c r="AE75" s="40" t="e">
        <f t="shared" ca="1" si="104"/>
        <v>#NUM!</v>
      </c>
      <c r="AF75" s="40" t="e">
        <f t="shared" ca="1" si="105"/>
        <v>#NUM!</v>
      </c>
      <c r="AG75" s="40" t="e">
        <f t="shared" ca="1" si="106"/>
        <v>#NUM!</v>
      </c>
      <c r="AH75" s="40" t="e">
        <f t="shared" ca="1" si="107"/>
        <v>#NUM!</v>
      </c>
      <c r="AI75" s="40" t="e">
        <f t="shared" ca="1" si="108"/>
        <v>#NUM!</v>
      </c>
      <c r="AJ75" s="40" t="e">
        <f t="shared" ca="1" si="109"/>
        <v>#NUM!</v>
      </c>
      <c r="AK75" s="203" t="e">
        <f t="shared" ca="1" si="110"/>
        <v>#NUM!</v>
      </c>
      <c r="AL75" s="40" t="e">
        <f t="shared" ca="1" si="111"/>
        <v>#NUM!</v>
      </c>
      <c r="AM75" s="40" t="e">
        <f t="shared" ca="1" si="112"/>
        <v>#NUM!</v>
      </c>
      <c r="AN75" s="40" t="e">
        <f t="shared" ca="1" si="113"/>
        <v>#NUM!</v>
      </c>
      <c r="AO75" s="40" t="e">
        <f t="shared" ca="1" si="114"/>
        <v>#NUM!</v>
      </c>
      <c r="AP75" s="40" t="e">
        <f t="shared" ca="1" si="115"/>
        <v>#NUM!</v>
      </c>
      <c r="AQ75" s="40" t="e">
        <f t="shared" ca="1" si="116"/>
        <v>#NUM!</v>
      </c>
      <c r="AR75" s="40" t="e">
        <f t="shared" ca="1" si="117"/>
        <v>#NUM!</v>
      </c>
      <c r="AS75" s="40" t="e">
        <f t="shared" ca="1" si="118"/>
        <v>#NUM!</v>
      </c>
    </row>
    <row r="76" spans="1:45" x14ac:dyDescent="0.25">
      <c r="A76" s="154"/>
      <c r="B76" s="73">
        <f t="shared" si="94"/>
        <v>-59090.909090909088</v>
      </c>
      <c r="E76" s="148">
        <v>42826</v>
      </c>
      <c r="G76" s="139">
        <v>33</v>
      </c>
      <c r="H76" s="139">
        <v>0</v>
      </c>
      <c r="I76" s="49">
        <f t="shared" si="95"/>
        <v>46522</v>
      </c>
      <c r="J76" s="76">
        <v>1950000</v>
      </c>
      <c r="K76" s="40">
        <f t="shared" si="96"/>
        <v>33</v>
      </c>
      <c r="L76" s="74">
        <f t="shared" si="97"/>
        <v>1950000</v>
      </c>
      <c r="M76" s="76"/>
      <c r="N76" s="76">
        <f t="shared" si="98"/>
        <v>0</v>
      </c>
      <c r="O76" s="142"/>
      <c r="P76" s="142"/>
      <c r="Q76" s="142"/>
      <c r="R76" s="144"/>
      <c r="S76" s="144"/>
      <c r="T76" s="144"/>
      <c r="U76" s="144"/>
      <c r="V76" s="144"/>
      <c r="W76" s="144"/>
      <c r="X76" s="144"/>
      <c r="Y76" s="143"/>
      <c r="Z76" s="143">
        <f t="shared" si="99"/>
        <v>0</v>
      </c>
      <c r="AA76" s="9">
        <f t="shared" si="100"/>
        <v>0.375</v>
      </c>
      <c r="AB76" s="9">
        <f t="shared" si="101"/>
        <v>0</v>
      </c>
      <c r="AC76" s="9">
        <f t="shared" si="102"/>
        <v>0</v>
      </c>
      <c r="AD76" s="9">
        <f t="shared" si="103"/>
        <v>0</v>
      </c>
      <c r="AE76" s="40" t="e">
        <f t="shared" ca="1" si="104"/>
        <v>#NUM!</v>
      </c>
      <c r="AF76" s="40" t="e">
        <f t="shared" ca="1" si="105"/>
        <v>#NUM!</v>
      </c>
      <c r="AG76" s="40" t="e">
        <f t="shared" ca="1" si="106"/>
        <v>#NUM!</v>
      </c>
      <c r="AH76" s="40" t="e">
        <f t="shared" ca="1" si="107"/>
        <v>#NUM!</v>
      </c>
      <c r="AI76" s="40" t="e">
        <f t="shared" ca="1" si="108"/>
        <v>#NUM!</v>
      </c>
      <c r="AJ76" s="40" t="e">
        <f t="shared" ca="1" si="109"/>
        <v>#NUM!</v>
      </c>
      <c r="AK76" s="203" t="e">
        <f t="shared" ca="1" si="110"/>
        <v>#NUM!</v>
      </c>
      <c r="AL76" s="40" t="e">
        <f t="shared" ca="1" si="111"/>
        <v>#NUM!</v>
      </c>
      <c r="AM76" s="40" t="e">
        <f t="shared" ca="1" si="112"/>
        <v>#NUM!</v>
      </c>
      <c r="AN76" s="40" t="e">
        <f t="shared" ca="1" si="113"/>
        <v>#NUM!</v>
      </c>
      <c r="AO76" s="40" t="e">
        <f t="shared" ca="1" si="114"/>
        <v>#NUM!</v>
      </c>
      <c r="AP76" s="40" t="e">
        <f t="shared" ca="1" si="115"/>
        <v>#NUM!</v>
      </c>
      <c r="AQ76" s="40" t="e">
        <f t="shared" ca="1" si="116"/>
        <v>#NUM!</v>
      </c>
      <c r="AR76" s="40" t="e">
        <f t="shared" ca="1" si="117"/>
        <v>#NUM!</v>
      </c>
      <c r="AS76" s="40" t="e">
        <f t="shared" ca="1" si="118"/>
        <v>#NUM!</v>
      </c>
    </row>
    <row r="77" spans="1:45" x14ac:dyDescent="0.25">
      <c r="A77" s="154"/>
      <c r="B77" s="73">
        <f t="shared" si="94"/>
        <v>-59090.909090909088</v>
      </c>
      <c r="E77" s="148">
        <v>42826</v>
      </c>
      <c r="G77" s="139">
        <v>33</v>
      </c>
      <c r="H77" s="139">
        <v>0</v>
      </c>
      <c r="I77" s="49">
        <f t="shared" si="95"/>
        <v>46522</v>
      </c>
      <c r="J77" s="76">
        <v>1950000</v>
      </c>
      <c r="K77" s="40">
        <f t="shared" si="96"/>
        <v>33</v>
      </c>
      <c r="L77" s="74">
        <f t="shared" si="97"/>
        <v>1950000</v>
      </c>
      <c r="M77" s="76"/>
      <c r="N77" s="76">
        <f t="shared" si="98"/>
        <v>0</v>
      </c>
      <c r="O77" s="142"/>
      <c r="P77" s="142"/>
      <c r="Q77" s="142"/>
      <c r="R77" s="144"/>
      <c r="S77" s="144"/>
      <c r="T77" s="144"/>
      <c r="U77" s="144"/>
      <c r="V77" s="144"/>
      <c r="W77" s="144"/>
      <c r="X77" s="144"/>
      <c r="Y77" s="143"/>
      <c r="Z77" s="143">
        <f t="shared" si="99"/>
        <v>0</v>
      </c>
      <c r="AA77" s="9">
        <f t="shared" si="100"/>
        <v>0.375</v>
      </c>
      <c r="AB77" s="9">
        <f t="shared" si="101"/>
        <v>0</v>
      </c>
      <c r="AC77" s="9">
        <f t="shared" si="102"/>
        <v>0</v>
      </c>
      <c r="AD77" s="9">
        <f t="shared" si="103"/>
        <v>0</v>
      </c>
      <c r="AE77" s="40" t="e">
        <f t="shared" ca="1" si="104"/>
        <v>#NUM!</v>
      </c>
      <c r="AF77" s="40" t="e">
        <f t="shared" ca="1" si="105"/>
        <v>#NUM!</v>
      </c>
      <c r="AG77" s="40" t="e">
        <f t="shared" ca="1" si="106"/>
        <v>#NUM!</v>
      </c>
      <c r="AH77" s="40" t="e">
        <f t="shared" ca="1" si="107"/>
        <v>#NUM!</v>
      </c>
      <c r="AI77" s="40" t="e">
        <f t="shared" ca="1" si="108"/>
        <v>#NUM!</v>
      </c>
      <c r="AJ77" s="40" t="e">
        <f t="shared" ca="1" si="109"/>
        <v>#NUM!</v>
      </c>
      <c r="AK77" s="203" t="e">
        <f t="shared" ca="1" si="110"/>
        <v>#NUM!</v>
      </c>
      <c r="AL77" s="40" t="e">
        <f t="shared" ca="1" si="111"/>
        <v>#NUM!</v>
      </c>
      <c r="AM77" s="40" t="e">
        <f t="shared" ca="1" si="112"/>
        <v>#NUM!</v>
      </c>
      <c r="AN77" s="40" t="e">
        <f t="shared" ca="1" si="113"/>
        <v>#NUM!</v>
      </c>
      <c r="AO77" s="40" t="e">
        <f t="shared" ca="1" si="114"/>
        <v>#NUM!</v>
      </c>
      <c r="AP77" s="40" t="e">
        <f t="shared" ca="1" si="115"/>
        <v>#NUM!</v>
      </c>
      <c r="AQ77" s="40" t="e">
        <f t="shared" ca="1" si="116"/>
        <v>#NUM!</v>
      </c>
      <c r="AR77" s="40" t="e">
        <f t="shared" ca="1" si="117"/>
        <v>#NUM!</v>
      </c>
      <c r="AS77" s="40" t="e">
        <f t="shared" ca="1" si="118"/>
        <v>#NUM!</v>
      </c>
    </row>
    <row r="78" spans="1:45" x14ac:dyDescent="0.25">
      <c r="A78" s="154"/>
      <c r="B78" s="73">
        <f t="shared" si="94"/>
        <v>-59090.909090909088</v>
      </c>
      <c r="E78" s="148">
        <v>42826</v>
      </c>
      <c r="G78" s="139">
        <v>33</v>
      </c>
      <c r="H78" s="139">
        <v>0</v>
      </c>
      <c r="I78" s="49">
        <f t="shared" si="95"/>
        <v>46522</v>
      </c>
      <c r="J78" s="76">
        <v>1950000</v>
      </c>
      <c r="K78" s="40">
        <f t="shared" si="96"/>
        <v>33</v>
      </c>
      <c r="L78" s="74">
        <f t="shared" si="97"/>
        <v>1950000</v>
      </c>
      <c r="M78" s="76"/>
      <c r="N78" s="76">
        <f t="shared" si="98"/>
        <v>0</v>
      </c>
      <c r="O78" s="142"/>
      <c r="P78" s="142"/>
      <c r="Q78" s="142"/>
      <c r="R78" s="144"/>
      <c r="S78" s="144"/>
      <c r="T78" s="144"/>
      <c r="U78" s="144"/>
      <c r="V78" s="144"/>
      <c r="W78" s="144"/>
      <c r="X78" s="144"/>
      <c r="Y78" s="143"/>
      <c r="Z78" s="143">
        <f t="shared" si="99"/>
        <v>0</v>
      </c>
      <c r="AA78" s="9">
        <f t="shared" si="100"/>
        <v>0.375</v>
      </c>
      <c r="AB78" s="9">
        <f t="shared" si="101"/>
        <v>0</v>
      </c>
      <c r="AC78" s="9">
        <f t="shared" si="102"/>
        <v>0</v>
      </c>
      <c r="AD78" s="9">
        <f t="shared" si="103"/>
        <v>0</v>
      </c>
      <c r="AE78" s="40" t="e">
        <f t="shared" ca="1" si="104"/>
        <v>#NUM!</v>
      </c>
      <c r="AF78" s="40" t="e">
        <f t="shared" ca="1" si="105"/>
        <v>#NUM!</v>
      </c>
      <c r="AG78" s="40" t="e">
        <f t="shared" ca="1" si="106"/>
        <v>#NUM!</v>
      </c>
      <c r="AH78" s="40" t="e">
        <f t="shared" ca="1" si="107"/>
        <v>#NUM!</v>
      </c>
      <c r="AI78" s="40" t="e">
        <f t="shared" ca="1" si="108"/>
        <v>#NUM!</v>
      </c>
      <c r="AJ78" s="40" t="e">
        <f t="shared" ca="1" si="109"/>
        <v>#NUM!</v>
      </c>
      <c r="AK78" s="203" t="e">
        <f t="shared" ca="1" si="110"/>
        <v>#NUM!</v>
      </c>
      <c r="AL78" s="40" t="e">
        <f t="shared" ca="1" si="111"/>
        <v>#NUM!</v>
      </c>
      <c r="AM78" s="40" t="e">
        <f t="shared" ca="1" si="112"/>
        <v>#NUM!</v>
      </c>
      <c r="AN78" s="40" t="e">
        <f t="shared" ca="1" si="113"/>
        <v>#NUM!</v>
      </c>
      <c r="AO78" s="40" t="e">
        <f t="shared" ca="1" si="114"/>
        <v>#NUM!</v>
      </c>
      <c r="AP78" s="40" t="e">
        <f t="shared" ca="1" si="115"/>
        <v>#NUM!</v>
      </c>
      <c r="AQ78" s="40" t="e">
        <f t="shared" ca="1" si="116"/>
        <v>#NUM!</v>
      </c>
      <c r="AR78" s="40" t="e">
        <f t="shared" ca="1" si="117"/>
        <v>#NUM!</v>
      </c>
      <c r="AS78" s="40" t="e">
        <f t="shared" ca="1" si="118"/>
        <v>#NUM!</v>
      </c>
    </row>
    <row r="79" spans="1:45" x14ac:dyDescent="0.25">
      <c r="A79" s="154"/>
      <c r="B79" s="73">
        <f t="shared" si="94"/>
        <v>-59090.909090909088</v>
      </c>
      <c r="E79" s="148">
        <v>42826</v>
      </c>
      <c r="G79" s="139">
        <v>33</v>
      </c>
      <c r="H79" s="139">
        <v>0</v>
      </c>
      <c r="I79" s="49">
        <f t="shared" si="95"/>
        <v>46522</v>
      </c>
      <c r="J79" s="76">
        <v>1950000</v>
      </c>
      <c r="K79" s="40">
        <f t="shared" si="96"/>
        <v>33</v>
      </c>
      <c r="L79" s="74">
        <f t="shared" si="97"/>
        <v>1950000</v>
      </c>
      <c r="M79" s="76"/>
      <c r="N79" s="76">
        <f t="shared" si="98"/>
        <v>0</v>
      </c>
      <c r="O79" s="142"/>
      <c r="P79" s="142"/>
      <c r="Q79" s="142"/>
      <c r="R79" s="144"/>
      <c r="S79" s="144"/>
      <c r="T79" s="144"/>
      <c r="U79" s="144"/>
      <c r="V79" s="144"/>
      <c r="W79" s="144"/>
      <c r="X79" s="144"/>
      <c r="Y79" s="143"/>
      <c r="Z79" s="143">
        <f t="shared" si="99"/>
        <v>0</v>
      </c>
      <c r="AA79" s="9">
        <f t="shared" si="100"/>
        <v>0.375</v>
      </c>
      <c r="AB79" s="9">
        <f t="shared" si="101"/>
        <v>0</v>
      </c>
      <c r="AC79" s="9">
        <f t="shared" si="102"/>
        <v>0</v>
      </c>
      <c r="AD79" s="9">
        <f t="shared" si="103"/>
        <v>0</v>
      </c>
      <c r="AE79" s="40" t="e">
        <f t="shared" ca="1" si="104"/>
        <v>#NUM!</v>
      </c>
      <c r="AF79" s="40" t="e">
        <f t="shared" ca="1" si="105"/>
        <v>#NUM!</v>
      </c>
      <c r="AG79" s="40" t="e">
        <f t="shared" ca="1" si="106"/>
        <v>#NUM!</v>
      </c>
      <c r="AH79" s="40" t="e">
        <f t="shared" ca="1" si="107"/>
        <v>#NUM!</v>
      </c>
      <c r="AI79" s="40" t="e">
        <f t="shared" ca="1" si="108"/>
        <v>#NUM!</v>
      </c>
      <c r="AJ79" s="40" t="e">
        <f t="shared" ca="1" si="109"/>
        <v>#NUM!</v>
      </c>
      <c r="AK79" s="203" t="e">
        <f t="shared" ca="1" si="110"/>
        <v>#NUM!</v>
      </c>
      <c r="AL79" s="40" t="e">
        <f t="shared" ca="1" si="111"/>
        <v>#NUM!</v>
      </c>
      <c r="AM79" s="40" t="e">
        <f t="shared" ca="1" si="112"/>
        <v>#NUM!</v>
      </c>
      <c r="AN79" s="40" t="e">
        <f t="shared" ca="1" si="113"/>
        <v>#NUM!</v>
      </c>
      <c r="AO79" s="40" t="e">
        <f t="shared" ca="1" si="114"/>
        <v>#NUM!</v>
      </c>
      <c r="AP79" s="40" t="e">
        <f t="shared" ca="1" si="115"/>
        <v>#NUM!</v>
      </c>
      <c r="AQ79" s="40" t="e">
        <f t="shared" ca="1" si="116"/>
        <v>#NUM!</v>
      </c>
      <c r="AR79" s="40" t="e">
        <f t="shared" ca="1" si="117"/>
        <v>#NUM!</v>
      </c>
      <c r="AS79" s="40" t="e">
        <f t="shared" ca="1" si="118"/>
        <v>#NUM!</v>
      </c>
    </row>
    <row r="80" spans="1:45" x14ac:dyDescent="0.25">
      <c r="A80" s="154"/>
      <c r="B80" s="73">
        <f t="shared" si="94"/>
        <v>-59090.909090909088</v>
      </c>
      <c r="E80" s="148">
        <v>42826</v>
      </c>
      <c r="G80" s="139">
        <v>33</v>
      </c>
      <c r="H80" s="139">
        <v>0</v>
      </c>
      <c r="I80" s="49">
        <f t="shared" si="95"/>
        <v>46522</v>
      </c>
      <c r="J80" s="76">
        <v>1950000</v>
      </c>
      <c r="K80" s="40">
        <f t="shared" si="96"/>
        <v>33</v>
      </c>
      <c r="L80" s="74">
        <f t="shared" si="97"/>
        <v>1950000</v>
      </c>
      <c r="M80" s="76"/>
      <c r="N80" s="76">
        <f t="shared" si="98"/>
        <v>0</v>
      </c>
      <c r="O80" s="142"/>
      <c r="P80" s="142"/>
      <c r="Q80" s="142"/>
      <c r="R80" s="144"/>
      <c r="S80" s="144"/>
      <c r="T80" s="144"/>
      <c r="U80" s="144"/>
      <c r="V80" s="144"/>
      <c r="W80" s="144"/>
      <c r="X80" s="144"/>
      <c r="Y80" s="143"/>
      <c r="Z80" s="143">
        <f t="shared" si="99"/>
        <v>0</v>
      </c>
      <c r="AA80" s="9">
        <f t="shared" si="100"/>
        <v>0.375</v>
      </c>
      <c r="AB80" s="9">
        <f t="shared" si="101"/>
        <v>0</v>
      </c>
      <c r="AC80" s="9">
        <f t="shared" si="102"/>
        <v>0</v>
      </c>
      <c r="AD80" s="9">
        <f t="shared" si="103"/>
        <v>0</v>
      </c>
      <c r="AE80" s="40" t="e">
        <f t="shared" ca="1" si="104"/>
        <v>#NUM!</v>
      </c>
      <c r="AF80" s="40" t="e">
        <f t="shared" ca="1" si="105"/>
        <v>#NUM!</v>
      </c>
      <c r="AG80" s="40" t="e">
        <f t="shared" ca="1" si="106"/>
        <v>#NUM!</v>
      </c>
      <c r="AH80" s="40" t="e">
        <f t="shared" ca="1" si="107"/>
        <v>#NUM!</v>
      </c>
      <c r="AI80" s="40" t="e">
        <f t="shared" ca="1" si="108"/>
        <v>#NUM!</v>
      </c>
      <c r="AJ80" s="40" t="e">
        <f t="shared" ca="1" si="109"/>
        <v>#NUM!</v>
      </c>
      <c r="AK80" s="203" t="e">
        <f t="shared" ca="1" si="110"/>
        <v>#NUM!</v>
      </c>
      <c r="AL80" s="40" t="e">
        <f t="shared" ca="1" si="111"/>
        <v>#NUM!</v>
      </c>
      <c r="AM80" s="40" t="e">
        <f t="shared" ca="1" si="112"/>
        <v>#NUM!</v>
      </c>
      <c r="AN80" s="40" t="e">
        <f t="shared" ca="1" si="113"/>
        <v>#NUM!</v>
      </c>
      <c r="AO80" s="40" t="e">
        <f t="shared" ca="1" si="114"/>
        <v>#NUM!</v>
      </c>
      <c r="AP80" s="40" t="e">
        <f t="shared" ca="1" si="115"/>
        <v>#NUM!</v>
      </c>
      <c r="AQ80" s="40" t="e">
        <f t="shared" ca="1" si="116"/>
        <v>#NUM!</v>
      </c>
      <c r="AR80" s="40" t="e">
        <f t="shared" ca="1" si="117"/>
        <v>#NUM!</v>
      </c>
      <c r="AS80" s="40" t="e">
        <f t="shared" ca="1" si="118"/>
        <v>#NUM!</v>
      </c>
    </row>
    <row r="81" spans="1:45" x14ac:dyDescent="0.25">
      <c r="A81" s="154"/>
      <c r="B81" s="73">
        <f t="shared" si="94"/>
        <v>-59090.909090909088</v>
      </c>
      <c r="E81" s="148">
        <v>42826</v>
      </c>
      <c r="G81" s="139">
        <v>33</v>
      </c>
      <c r="H81" s="139">
        <v>0</v>
      </c>
      <c r="I81" s="49">
        <f t="shared" si="95"/>
        <v>46522</v>
      </c>
      <c r="J81" s="76">
        <v>1950000</v>
      </c>
      <c r="K81" s="40">
        <f t="shared" si="96"/>
        <v>33</v>
      </c>
      <c r="L81" s="74">
        <f t="shared" si="97"/>
        <v>1950000</v>
      </c>
      <c r="M81" s="76"/>
      <c r="N81" s="76">
        <f t="shared" si="98"/>
        <v>0</v>
      </c>
      <c r="O81" s="142"/>
      <c r="P81" s="142"/>
      <c r="Q81" s="142"/>
      <c r="R81" s="144"/>
      <c r="S81" s="144"/>
      <c r="T81" s="144"/>
      <c r="U81" s="144"/>
      <c r="V81" s="144"/>
      <c r="W81" s="144"/>
      <c r="X81" s="144"/>
      <c r="Y81" s="143"/>
      <c r="Z81" s="143">
        <f t="shared" si="99"/>
        <v>0</v>
      </c>
      <c r="AA81" s="9">
        <f t="shared" si="100"/>
        <v>0.375</v>
      </c>
      <c r="AB81" s="9">
        <f t="shared" si="101"/>
        <v>0</v>
      </c>
      <c r="AC81" s="9">
        <f t="shared" si="102"/>
        <v>0</v>
      </c>
      <c r="AD81" s="9">
        <f t="shared" si="103"/>
        <v>0</v>
      </c>
      <c r="AE81" s="40" t="e">
        <f t="shared" ca="1" si="104"/>
        <v>#NUM!</v>
      </c>
      <c r="AF81" s="40" t="e">
        <f t="shared" ca="1" si="105"/>
        <v>#NUM!</v>
      </c>
      <c r="AG81" s="40" t="e">
        <f t="shared" ca="1" si="106"/>
        <v>#NUM!</v>
      </c>
      <c r="AH81" s="40" t="e">
        <f t="shared" ca="1" si="107"/>
        <v>#NUM!</v>
      </c>
      <c r="AI81" s="40" t="e">
        <f t="shared" ca="1" si="108"/>
        <v>#NUM!</v>
      </c>
      <c r="AJ81" s="40" t="e">
        <f t="shared" ca="1" si="109"/>
        <v>#NUM!</v>
      </c>
      <c r="AK81" s="203" t="e">
        <f t="shared" ca="1" si="110"/>
        <v>#NUM!</v>
      </c>
      <c r="AL81" s="40" t="e">
        <f t="shared" ca="1" si="111"/>
        <v>#NUM!</v>
      </c>
      <c r="AM81" s="40" t="e">
        <f t="shared" ca="1" si="112"/>
        <v>#NUM!</v>
      </c>
      <c r="AN81" s="40" t="e">
        <f t="shared" ca="1" si="113"/>
        <v>#NUM!</v>
      </c>
      <c r="AO81" s="40" t="e">
        <f t="shared" ca="1" si="114"/>
        <v>#NUM!</v>
      </c>
      <c r="AP81" s="40" t="e">
        <f t="shared" ca="1" si="115"/>
        <v>#NUM!</v>
      </c>
      <c r="AQ81" s="40" t="e">
        <f t="shared" ca="1" si="116"/>
        <v>#NUM!</v>
      </c>
      <c r="AR81" s="40" t="e">
        <f t="shared" ca="1" si="117"/>
        <v>#NUM!</v>
      </c>
      <c r="AS81" s="40" t="e">
        <f t="shared" ca="1" si="118"/>
        <v>#NUM!</v>
      </c>
    </row>
    <row r="82" spans="1:45" x14ac:dyDescent="0.25">
      <c r="A82" s="154"/>
      <c r="B82" s="73">
        <f t="shared" si="94"/>
        <v>-59090.909090909088</v>
      </c>
      <c r="E82" s="148">
        <v>42826</v>
      </c>
      <c r="G82" s="139">
        <v>33</v>
      </c>
      <c r="H82" s="139">
        <v>0</v>
      </c>
      <c r="I82" s="49">
        <f t="shared" si="95"/>
        <v>46522</v>
      </c>
      <c r="J82" s="76">
        <v>1950000</v>
      </c>
      <c r="K82" s="40">
        <f t="shared" si="96"/>
        <v>33</v>
      </c>
      <c r="L82" s="74">
        <f t="shared" si="97"/>
        <v>1950000</v>
      </c>
      <c r="M82" s="76"/>
      <c r="N82" s="76">
        <f t="shared" si="98"/>
        <v>0</v>
      </c>
      <c r="O82" s="142"/>
      <c r="P82" s="142"/>
      <c r="Q82" s="142"/>
      <c r="R82" s="144"/>
      <c r="S82" s="144"/>
      <c r="T82" s="144"/>
      <c r="U82" s="144"/>
      <c r="V82" s="144"/>
      <c r="W82" s="144"/>
      <c r="X82" s="144"/>
      <c r="Y82" s="143"/>
      <c r="Z82" s="143">
        <f t="shared" si="99"/>
        <v>0</v>
      </c>
      <c r="AA82" s="9">
        <f t="shared" si="100"/>
        <v>0.375</v>
      </c>
      <c r="AB82" s="9">
        <f t="shared" si="101"/>
        <v>0</v>
      </c>
      <c r="AC82" s="9">
        <f t="shared" si="102"/>
        <v>0</v>
      </c>
      <c r="AD82" s="9">
        <f t="shared" si="103"/>
        <v>0</v>
      </c>
      <c r="AE82" s="40" t="e">
        <f t="shared" ca="1" si="104"/>
        <v>#NUM!</v>
      </c>
      <c r="AF82" s="40" t="e">
        <f t="shared" ca="1" si="105"/>
        <v>#NUM!</v>
      </c>
      <c r="AG82" s="40" t="e">
        <f t="shared" ca="1" si="106"/>
        <v>#NUM!</v>
      </c>
      <c r="AH82" s="40" t="e">
        <f t="shared" ca="1" si="107"/>
        <v>#NUM!</v>
      </c>
      <c r="AI82" s="40" t="e">
        <f t="shared" ca="1" si="108"/>
        <v>#NUM!</v>
      </c>
      <c r="AJ82" s="40" t="e">
        <f t="shared" ca="1" si="109"/>
        <v>#NUM!</v>
      </c>
      <c r="AK82" s="203" t="e">
        <f t="shared" ca="1" si="110"/>
        <v>#NUM!</v>
      </c>
      <c r="AL82" s="40" t="e">
        <f t="shared" ca="1" si="111"/>
        <v>#NUM!</v>
      </c>
      <c r="AM82" s="40" t="e">
        <f t="shared" ca="1" si="112"/>
        <v>#NUM!</v>
      </c>
      <c r="AN82" s="40" t="e">
        <f t="shared" ca="1" si="113"/>
        <v>#NUM!</v>
      </c>
      <c r="AO82" s="40" t="e">
        <f t="shared" ca="1" si="114"/>
        <v>#NUM!</v>
      </c>
      <c r="AP82" s="40" t="e">
        <f t="shared" ca="1" si="115"/>
        <v>#NUM!</v>
      </c>
      <c r="AQ82" s="40" t="e">
        <f t="shared" ca="1" si="116"/>
        <v>#NUM!</v>
      </c>
      <c r="AR82" s="40" t="e">
        <f t="shared" ca="1" si="117"/>
        <v>#NUM!</v>
      </c>
      <c r="AS82" s="40" t="e">
        <f t="shared" ca="1" si="118"/>
        <v>#NUM!</v>
      </c>
    </row>
    <row r="83" spans="1:45" x14ac:dyDescent="0.25">
      <c r="A83" s="154"/>
      <c r="B83" s="73">
        <f t="shared" si="94"/>
        <v>-59090.909090909088</v>
      </c>
      <c r="E83" s="148">
        <v>42826</v>
      </c>
      <c r="G83" s="139">
        <v>33</v>
      </c>
      <c r="H83" s="139">
        <v>0</v>
      </c>
      <c r="I83" s="49">
        <f t="shared" si="95"/>
        <v>46522</v>
      </c>
      <c r="J83" s="76">
        <v>1950000</v>
      </c>
      <c r="K83" s="40">
        <f t="shared" si="96"/>
        <v>33</v>
      </c>
      <c r="L83" s="74">
        <f t="shared" si="97"/>
        <v>1950000</v>
      </c>
      <c r="M83" s="76"/>
      <c r="N83" s="76">
        <f t="shared" si="98"/>
        <v>0</v>
      </c>
      <c r="O83" s="142"/>
      <c r="P83" s="142"/>
      <c r="Q83" s="142"/>
      <c r="R83" s="144"/>
      <c r="S83" s="144"/>
      <c r="T83" s="144"/>
      <c r="U83" s="144"/>
      <c r="V83" s="144"/>
      <c r="W83" s="144"/>
      <c r="X83" s="144"/>
      <c r="Y83" s="143"/>
      <c r="Z83" s="143">
        <f t="shared" si="99"/>
        <v>0</v>
      </c>
      <c r="AA83" s="9">
        <f t="shared" si="100"/>
        <v>0.375</v>
      </c>
      <c r="AB83" s="9">
        <f t="shared" si="101"/>
        <v>0</v>
      </c>
      <c r="AC83" s="9">
        <f t="shared" si="102"/>
        <v>0</v>
      </c>
      <c r="AD83" s="9">
        <f t="shared" si="103"/>
        <v>0</v>
      </c>
      <c r="AE83" s="40" t="e">
        <f t="shared" ca="1" si="104"/>
        <v>#NUM!</v>
      </c>
      <c r="AF83" s="40" t="e">
        <f t="shared" ca="1" si="105"/>
        <v>#NUM!</v>
      </c>
      <c r="AG83" s="40" t="e">
        <f t="shared" ca="1" si="106"/>
        <v>#NUM!</v>
      </c>
      <c r="AH83" s="40" t="e">
        <f t="shared" ca="1" si="107"/>
        <v>#NUM!</v>
      </c>
      <c r="AI83" s="40" t="e">
        <f t="shared" ca="1" si="108"/>
        <v>#NUM!</v>
      </c>
      <c r="AJ83" s="40" t="e">
        <f t="shared" ca="1" si="109"/>
        <v>#NUM!</v>
      </c>
      <c r="AK83" s="203" t="e">
        <f t="shared" ca="1" si="110"/>
        <v>#NUM!</v>
      </c>
      <c r="AL83" s="40" t="e">
        <f t="shared" ca="1" si="111"/>
        <v>#NUM!</v>
      </c>
      <c r="AM83" s="40" t="e">
        <f t="shared" ca="1" si="112"/>
        <v>#NUM!</v>
      </c>
      <c r="AN83" s="40" t="e">
        <f t="shared" ca="1" si="113"/>
        <v>#NUM!</v>
      </c>
      <c r="AO83" s="40" t="e">
        <f t="shared" ca="1" si="114"/>
        <v>#NUM!</v>
      </c>
      <c r="AP83" s="40" t="e">
        <f t="shared" ca="1" si="115"/>
        <v>#NUM!</v>
      </c>
      <c r="AQ83" s="40" t="e">
        <f t="shared" ca="1" si="116"/>
        <v>#NUM!</v>
      </c>
      <c r="AR83" s="40" t="e">
        <f t="shared" ca="1" si="117"/>
        <v>#NUM!</v>
      </c>
      <c r="AS83" s="40" t="e">
        <f t="shared" ca="1" si="118"/>
        <v>#NUM!</v>
      </c>
    </row>
    <row r="84" spans="1:45" x14ac:dyDescent="0.25">
      <c r="A84" s="154"/>
      <c r="B84" s="73">
        <f t="shared" si="94"/>
        <v>-59090.909090909088</v>
      </c>
      <c r="E84" s="148">
        <v>42826</v>
      </c>
      <c r="G84" s="139">
        <v>33</v>
      </c>
      <c r="H84" s="139">
        <v>0</v>
      </c>
      <c r="I84" s="49">
        <f t="shared" si="95"/>
        <v>46522</v>
      </c>
      <c r="J84" s="76">
        <v>1950000</v>
      </c>
      <c r="K84" s="40">
        <f t="shared" si="96"/>
        <v>33</v>
      </c>
      <c r="L84" s="74">
        <f t="shared" si="97"/>
        <v>1950000</v>
      </c>
      <c r="M84" s="76"/>
      <c r="N84" s="76">
        <f t="shared" si="98"/>
        <v>0</v>
      </c>
      <c r="O84" s="142"/>
      <c r="P84" s="142"/>
      <c r="Q84" s="142"/>
      <c r="R84" s="144"/>
      <c r="S84" s="144"/>
      <c r="T84" s="144"/>
      <c r="U84" s="144"/>
      <c r="V84" s="144"/>
      <c r="W84" s="144"/>
      <c r="X84" s="144"/>
      <c r="Y84" s="143"/>
      <c r="Z84" s="143">
        <f t="shared" si="99"/>
        <v>0</v>
      </c>
      <c r="AA84" s="9">
        <f t="shared" si="100"/>
        <v>0.375</v>
      </c>
      <c r="AB84" s="9">
        <f t="shared" si="101"/>
        <v>0</v>
      </c>
      <c r="AC84" s="9">
        <f t="shared" si="102"/>
        <v>0</v>
      </c>
      <c r="AD84" s="9">
        <f t="shared" si="103"/>
        <v>0</v>
      </c>
      <c r="AE84" s="40" t="e">
        <f t="shared" ca="1" si="104"/>
        <v>#NUM!</v>
      </c>
      <c r="AF84" s="40" t="e">
        <f t="shared" ca="1" si="105"/>
        <v>#NUM!</v>
      </c>
      <c r="AG84" s="40" t="e">
        <f t="shared" ca="1" si="106"/>
        <v>#NUM!</v>
      </c>
      <c r="AH84" s="40" t="e">
        <f t="shared" ca="1" si="107"/>
        <v>#NUM!</v>
      </c>
      <c r="AI84" s="40" t="e">
        <f t="shared" ca="1" si="108"/>
        <v>#NUM!</v>
      </c>
      <c r="AJ84" s="40" t="e">
        <f t="shared" ca="1" si="109"/>
        <v>#NUM!</v>
      </c>
      <c r="AK84" s="203" t="e">
        <f t="shared" ca="1" si="110"/>
        <v>#NUM!</v>
      </c>
      <c r="AL84" s="40" t="e">
        <f t="shared" ca="1" si="111"/>
        <v>#NUM!</v>
      </c>
      <c r="AM84" s="40" t="e">
        <f t="shared" ca="1" si="112"/>
        <v>#NUM!</v>
      </c>
      <c r="AN84" s="40" t="e">
        <f t="shared" ca="1" si="113"/>
        <v>#NUM!</v>
      </c>
      <c r="AO84" s="40" t="e">
        <f t="shared" ca="1" si="114"/>
        <v>#NUM!</v>
      </c>
      <c r="AP84" s="40" t="e">
        <f t="shared" ca="1" si="115"/>
        <v>#NUM!</v>
      </c>
      <c r="AQ84" s="40" t="e">
        <f t="shared" ca="1" si="116"/>
        <v>#NUM!</v>
      </c>
      <c r="AR84" s="40" t="e">
        <f t="shared" ca="1" si="117"/>
        <v>#NUM!</v>
      </c>
      <c r="AS84" s="40" t="e">
        <f t="shared" ca="1" si="118"/>
        <v>#NUM!</v>
      </c>
    </row>
    <row r="85" spans="1:45" x14ac:dyDescent="0.25">
      <c r="A85" s="154"/>
      <c r="B85" s="73">
        <f t="shared" si="94"/>
        <v>-59090.909090909088</v>
      </c>
      <c r="E85" s="148">
        <v>42826</v>
      </c>
      <c r="G85" s="139">
        <v>33</v>
      </c>
      <c r="H85" s="139">
        <v>0</v>
      </c>
      <c r="I85" s="49">
        <f t="shared" si="95"/>
        <v>46522</v>
      </c>
      <c r="J85" s="76">
        <v>1950000</v>
      </c>
      <c r="K85" s="40">
        <f t="shared" si="96"/>
        <v>33</v>
      </c>
      <c r="L85" s="74">
        <f t="shared" si="97"/>
        <v>1950000</v>
      </c>
      <c r="M85" s="76"/>
      <c r="N85" s="76">
        <f t="shared" si="98"/>
        <v>0</v>
      </c>
      <c r="O85" s="142"/>
      <c r="P85" s="142"/>
      <c r="Q85" s="142"/>
      <c r="R85" s="144"/>
      <c r="S85" s="144"/>
      <c r="T85" s="144"/>
      <c r="U85" s="144"/>
      <c r="V85" s="144"/>
      <c r="W85" s="144"/>
      <c r="X85" s="144"/>
      <c r="Y85" s="143"/>
      <c r="Z85" s="143">
        <f t="shared" si="99"/>
        <v>0</v>
      </c>
      <c r="AA85" s="9">
        <f t="shared" si="100"/>
        <v>0.375</v>
      </c>
      <c r="AB85" s="9">
        <f t="shared" si="101"/>
        <v>0</v>
      </c>
      <c r="AC85" s="9">
        <f t="shared" si="102"/>
        <v>0</v>
      </c>
      <c r="AD85" s="9">
        <f t="shared" si="103"/>
        <v>0</v>
      </c>
      <c r="AE85" s="40" t="e">
        <f t="shared" ca="1" si="104"/>
        <v>#NUM!</v>
      </c>
      <c r="AF85" s="40" t="e">
        <f t="shared" ca="1" si="105"/>
        <v>#NUM!</v>
      </c>
      <c r="AG85" s="40" t="e">
        <f t="shared" ca="1" si="106"/>
        <v>#NUM!</v>
      </c>
      <c r="AH85" s="40" t="e">
        <f t="shared" ca="1" si="107"/>
        <v>#NUM!</v>
      </c>
      <c r="AI85" s="40" t="e">
        <f t="shared" ca="1" si="108"/>
        <v>#NUM!</v>
      </c>
      <c r="AJ85" s="40" t="e">
        <f t="shared" ca="1" si="109"/>
        <v>#NUM!</v>
      </c>
      <c r="AK85" s="203" t="e">
        <f t="shared" ca="1" si="110"/>
        <v>#NUM!</v>
      </c>
      <c r="AL85" s="40" t="e">
        <f t="shared" ca="1" si="111"/>
        <v>#NUM!</v>
      </c>
      <c r="AM85" s="40" t="e">
        <f t="shared" ca="1" si="112"/>
        <v>#NUM!</v>
      </c>
      <c r="AN85" s="40" t="e">
        <f t="shared" ca="1" si="113"/>
        <v>#NUM!</v>
      </c>
      <c r="AO85" s="40" t="e">
        <f t="shared" ca="1" si="114"/>
        <v>#NUM!</v>
      </c>
      <c r="AP85" s="40" t="e">
        <f t="shared" ca="1" si="115"/>
        <v>#NUM!</v>
      </c>
      <c r="AQ85" s="40" t="e">
        <f t="shared" ca="1" si="116"/>
        <v>#NUM!</v>
      </c>
      <c r="AR85" s="40" t="e">
        <f t="shared" ca="1" si="117"/>
        <v>#NUM!</v>
      </c>
      <c r="AS85" s="40" t="e">
        <f t="shared" ca="1" si="118"/>
        <v>#NUM!</v>
      </c>
    </row>
    <row r="86" spans="1:45" x14ac:dyDescent="0.25">
      <c r="A86" s="154"/>
      <c r="B86" s="73">
        <f t="shared" si="94"/>
        <v>-59090.909090909088</v>
      </c>
      <c r="E86" s="148">
        <v>42826</v>
      </c>
      <c r="G86" s="139">
        <v>33</v>
      </c>
      <c r="H86" s="139">
        <v>0</v>
      </c>
      <c r="I86" s="49">
        <f t="shared" si="95"/>
        <v>46522</v>
      </c>
      <c r="J86" s="76">
        <v>1950000</v>
      </c>
      <c r="K86" s="40">
        <f t="shared" si="96"/>
        <v>33</v>
      </c>
      <c r="L86" s="74">
        <f t="shared" si="97"/>
        <v>1950000</v>
      </c>
      <c r="M86" s="76"/>
      <c r="N86" s="76">
        <f t="shared" si="98"/>
        <v>0</v>
      </c>
      <c r="O86" s="142"/>
      <c r="P86" s="142"/>
      <c r="Q86" s="142"/>
      <c r="R86" s="144"/>
      <c r="S86" s="144"/>
      <c r="T86" s="144"/>
      <c r="U86" s="144"/>
      <c r="V86" s="144"/>
      <c r="W86" s="144"/>
      <c r="X86" s="144"/>
      <c r="Y86" s="143"/>
      <c r="Z86" s="143">
        <f t="shared" si="99"/>
        <v>0</v>
      </c>
      <c r="AA86" s="9">
        <f t="shared" si="100"/>
        <v>0.375</v>
      </c>
      <c r="AB86" s="9">
        <f t="shared" si="101"/>
        <v>0</v>
      </c>
      <c r="AC86" s="9">
        <f t="shared" si="102"/>
        <v>0</v>
      </c>
      <c r="AD86" s="9">
        <f t="shared" si="103"/>
        <v>0</v>
      </c>
      <c r="AE86" s="40" t="e">
        <f t="shared" ca="1" si="104"/>
        <v>#NUM!</v>
      </c>
      <c r="AF86" s="40" t="e">
        <f t="shared" ca="1" si="105"/>
        <v>#NUM!</v>
      </c>
      <c r="AG86" s="40" t="e">
        <f t="shared" ca="1" si="106"/>
        <v>#NUM!</v>
      </c>
      <c r="AH86" s="40" t="e">
        <f t="shared" ca="1" si="107"/>
        <v>#NUM!</v>
      </c>
      <c r="AI86" s="40" t="e">
        <f t="shared" ca="1" si="108"/>
        <v>#NUM!</v>
      </c>
      <c r="AJ86" s="40" t="e">
        <f t="shared" ca="1" si="109"/>
        <v>#NUM!</v>
      </c>
      <c r="AK86" s="203" t="e">
        <f t="shared" ca="1" si="110"/>
        <v>#NUM!</v>
      </c>
      <c r="AL86" s="40" t="e">
        <f t="shared" ca="1" si="111"/>
        <v>#NUM!</v>
      </c>
      <c r="AM86" s="40" t="e">
        <f t="shared" ca="1" si="112"/>
        <v>#NUM!</v>
      </c>
      <c r="AN86" s="40" t="e">
        <f t="shared" ca="1" si="113"/>
        <v>#NUM!</v>
      </c>
      <c r="AO86" s="40" t="e">
        <f t="shared" ca="1" si="114"/>
        <v>#NUM!</v>
      </c>
      <c r="AP86" s="40" t="e">
        <f t="shared" ca="1" si="115"/>
        <v>#NUM!</v>
      </c>
      <c r="AQ86" s="40" t="e">
        <f t="shared" ca="1" si="116"/>
        <v>#NUM!</v>
      </c>
      <c r="AR86" s="40" t="e">
        <f t="shared" ca="1" si="117"/>
        <v>#NUM!</v>
      </c>
      <c r="AS86" s="40" t="e">
        <f t="shared" ca="1" si="118"/>
        <v>#NUM!</v>
      </c>
    </row>
    <row r="87" spans="1:45" x14ac:dyDescent="0.25">
      <c r="A87" s="154"/>
      <c r="B87" s="73">
        <f t="shared" si="94"/>
        <v>-59090.909090909088</v>
      </c>
      <c r="E87" s="148">
        <v>42826</v>
      </c>
      <c r="G87" s="139">
        <v>33</v>
      </c>
      <c r="H87" s="139">
        <v>0</v>
      </c>
      <c r="I87" s="49">
        <f t="shared" si="95"/>
        <v>46522</v>
      </c>
      <c r="J87" s="76">
        <v>1950000</v>
      </c>
      <c r="K87" s="40">
        <f t="shared" si="96"/>
        <v>33</v>
      </c>
      <c r="L87" s="74">
        <f t="shared" si="97"/>
        <v>1950000</v>
      </c>
      <c r="M87" s="76"/>
      <c r="N87" s="76">
        <f t="shared" si="98"/>
        <v>0</v>
      </c>
      <c r="O87" s="142"/>
      <c r="P87" s="142"/>
      <c r="Q87" s="142"/>
      <c r="R87" s="144"/>
      <c r="S87" s="144"/>
      <c r="T87" s="144"/>
      <c r="U87" s="144"/>
      <c r="V87" s="144"/>
      <c r="W87" s="144"/>
      <c r="X87" s="144"/>
      <c r="Y87" s="143"/>
      <c r="Z87" s="143">
        <f t="shared" si="99"/>
        <v>0</v>
      </c>
      <c r="AA87" s="9">
        <f t="shared" si="100"/>
        <v>0.375</v>
      </c>
      <c r="AB87" s="9">
        <f t="shared" si="101"/>
        <v>0</v>
      </c>
      <c r="AC87" s="9">
        <f t="shared" si="102"/>
        <v>0</v>
      </c>
      <c r="AD87" s="9">
        <f t="shared" si="103"/>
        <v>0</v>
      </c>
      <c r="AE87" s="40" t="e">
        <f t="shared" ca="1" si="104"/>
        <v>#NUM!</v>
      </c>
      <c r="AF87" s="40" t="e">
        <f t="shared" ca="1" si="105"/>
        <v>#NUM!</v>
      </c>
      <c r="AG87" s="40" t="e">
        <f t="shared" ca="1" si="106"/>
        <v>#NUM!</v>
      </c>
      <c r="AH87" s="40" t="e">
        <f t="shared" ca="1" si="107"/>
        <v>#NUM!</v>
      </c>
      <c r="AI87" s="40" t="e">
        <f t="shared" ca="1" si="108"/>
        <v>#NUM!</v>
      </c>
      <c r="AJ87" s="40" t="e">
        <f t="shared" ca="1" si="109"/>
        <v>#NUM!</v>
      </c>
      <c r="AK87" s="203" t="e">
        <f t="shared" ca="1" si="110"/>
        <v>#NUM!</v>
      </c>
      <c r="AL87" s="40" t="e">
        <f t="shared" ca="1" si="111"/>
        <v>#NUM!</v>
      </c>
      <c r="AM87" s="40" t="e">
        <f t="shared" ca="1" si="112"/>
        <v>#NUM!</v>
      </c>
      <c r="AN87" s="40" t="e">
        <f t="shared" ca="1" si="113"/>
        <v>#NUM!</v>
      </c>
      <c r="AO87" s="40" t="e">
        <f t="shared" ca="1" si="114"/>
        <v>#NUM!</v>
      </c>
      <c r="AP87" s="40" t="e">
        <f t="shared" ca="1" si="115"/>
        <v>#NUM!</v>
      </c>
      <c r="AQ87" s="40" t="e">
        <f t="shared" ca="1" si="116"/>
        <v>#NUM!</v>
      </c>
      <c r="AR87" s="40" t="e">
        <f t="shared" ca="1" si="117"/>
        <v>#NUM!</v>
      </c>
      <c r="AS87" s="40" t="e">
        <f t="shared" ca="1" si="118"/>
        <v>#NUM!</v>
      </c>
    </row>
    <row r="88" spans="1:45" x14ac:dyDescent="0.25">
      <c r="A88" s="154"/>
      <c r="B88" s="73">
        <f t="shared" si="94"/>
        <v>-59090.909090909088</v>
      </c>
      <c r="E88" s="148">
        <v>42826</v>
      </c>
      <c r="G88" s="139">
        <v>33</v>
      </c>
      <c r="H88" s="139">
        <v>0</v>
      </c>
      <c r="I88" s="49">
        <f t="shared" si="95"/>
        <v>46522</v>
      </c>
      <c r="J88" s="76">
        <v>1950000</v>
      </c>
      <c r="K88" s="40">
        <f t="shared" si="96"/>
        <v>33</v>
      </c>
      <c r="L88" s="74">
        <f t="shared" si="97"/>
        <v>1950000</v>
      </c>
      <c r="M88" s="76"/>
      <c r="N88" s="76">
        <f t="shared" si="98"/>
        <v>0</v>
      </c>
      <c r="O88" s="142"/>
      <c r="P88" s="142"/>
      <c r="Q88" s="142"/>
      <c r="R88" s="144"/>
      <c r="S88" s="144"/>
      <c r="T88" s="144"/>
      <c r="U88" s="144"/>
      <c r="V88" s="144"/>
      <c r="W88" s="144"/>
      <c r="X88" s="144"/>
      <c r="Y88" s="143"/>
      <c r="Z88" s="143">
        <f t="shared" si="99"/>
        <v>0</v>
      </c>
      <c r="AA88" s="9">
        <f t="shared" si="100"/>
        <v>0.375</v>
      </c>
      <c r="AB88" s="9">
        <f t="shared" si="101"/>
        <v>0</v>
      </c>
      <c r="AC88" s="9">
        <f t="shared" si="102"/>
        <v>0</v>
      </c>
      <c r="AD88" s="9">
        <f t="shared" si="103"/>
        <v>0</v>
      </c>
      <c r="AE88" s="40" t="e">
        <f t="shared" ca="1" si="104"/>
        <v>#NUM!</v>
      </c>
      <c r="AF88" s="40" t="e">
        <f t="shared" ca="1" si="105"/>
        <v>#NUM!</v>
      </c>
      <c r="AG88" s="40" t="e">
        <f t="shared" ca="1" si="106"/>
        <v>#NUM!</v>
      </c>
      <c r="AH88" s="40" t="e">
        <f t="shared" ca="1" si="107"/>
        <v>#NUM!</v>
      </c>
      <c r="AI88" s="40" t="e">
        <f t="shared" ca="1" si="108"/>
        <v>#NUM!</v>
      </c>
      <c r="AJ88" s="40" t="e">
        <f t="shared" ca="1" si="109"/>
        <v>#NUM!</v>
      </c>
      <c r="AK88" s="203" t="e">
        <f t="shared" ca="1" si="110"/>
        <v>#NUM!</v>
      </c>
      <c r="AL88" s="40" t="e">
        <f t="shared" ca="1" si="111"/>
        <v>#NUM!</v>
      </c>
      <c r="AM88" s="40" t="e">
        <f t="shared" ca="1" si="112"/>
        <v>#NUM!</v>
      </c>
      <c r="AN88" s="40" t="e">
        <f t="shared" ca="1" si="113"/>
        <v>#NUM!</v>
      </c>
      <c r="AO88" s="40" t="e">
        <f t="shared" ca="1" si="114"/>
        <v>#NUM!</v>
      </c>
      <c r="AP88" s="40" t="e">
        <f t="shared" ca="1" si="115"/>
        <v>#NUM!</v>
      </c>
      <c r="AQ88" s="40" t="e">
        <f t="shared" ca="1" si="116"/>
        <v>#NUM!</v>
      </c>
      <c r="AR88" s="40" t="e">
        <f t="shared" ca="1" si="117"/>
        <v>#NUM!</v>
      </c>
      <c r="AS88" s="40" t="e">
        <f t="shared" ca="1" si="118"/>
        <v>#NUM!</v>
      </c>
    </row>
    <row r="89" spans="1:45" x14ac:dyDescent="0.25">
      <c r="A89" s="154"/>
      <c r="B89" s="73">
        <f t="shared" si="94"/>
        <v>-59090.909090909088</v>
      </c>
      <c r="E89" s="148">
        <v>42826</v>
      </c>
      <c r="G89" s="139">
        <v>33</v>
      </c>
      <c r="H89" s="139">
        <v>0</v>
      </c>
      <c r="I89" s="49">
        <f t="shared" si="95"/>
        <v>46522</v>
      </c>
      <c r="J89" s="76">
        <v>1950000</v>
      </c>
      <c r="K89" s="40">
        <f t="shared" si="96"/>
        <v>33</v>
      </c>
      <c r="L89" s="74">
        <f t="shared" si="97"/>
        <v>1950000</v>
      </c>
      <c r="M89" s="76"/>
      <c r="N89" s="76">
        <f t="shared" si="98"/>
        <v>0</v>
      </c>
      <c r="O89" s="142"/>
      <c r="P89" s="142"/>
      <c r="Q89" s="142"/>
      <c r="R89" s="144"/>
      <c r="S89" s="144"/>
      <c r="T89" s="144"/>
      <c r="U89" s="144"/>
      <c r="V89" s="144"/>
      <c r="W89" s="144"/>
      <c r="X89" s="144"/>
      <c r="Y89" s="143"/>
      <c r="Z89" s="143">
        <f t="shared" si="99"/>
        <v>0</v>
      </c>
      <c r="AA89" s="9">
        <f t="shared" si="100"/>
        <v>0.375</v>
      </c>
      <c r="AB89" s="9">
        <f t="shared" si="101"/>
        <v>0</v>
      </c>
      <c r="AC89" s="9">
        <f t="shared" si="102"/>
        <v>0</v>
      </c>
      <c r="AD89" s="9">
        <f t="shared" si="103"/>
        <v>0</v>
      </c>
      <c r="AE89" s="40" t="e">
        <f t="shared" ca="1" si="104"/>
        <v>#NUM!</v>
      </c>
      <c r="AF89" s="40" t="e">
        <f t="shared" ca="1" si="105"/>
        <v>#NUM!</v>
      </c>
      <c r="AG89" s="40" t="e">
        <f t="shared" ca="1" si="106"/>
        <v>#NUM!</v>
      </c>
      <c r="AH89" s="40" t="e">
        <f t="shared" ca="1" si="107"/>
        <v>#NUM!</v>
      </c>
      <c r="AI89" s="40" t="e">
        <f t="shared" ca="1" si="108"/>
        <v>#NUM!</v>
      </c>
      <c r="AJ89" s="40" t="e">
        <f t="shared" ca="1" si="109"/>
        <v>#NUM!</v>
      </c>
      <c r="AK89" s="203" t="e">
        <f t="shared" ca="1" si="110"/>
        <v>#NUM!</v>
      </c>
      <c r="AL89" s="40" t="e">
        <f t="shared" ca="1" si="111"/>
        <v>#NUM!</v>
      </c>
      <c r="AM89" s="40" t="e">
        <f t="shared" ca="1" si="112"/>
        <v>#NUM!</v>
      </c>
      <c r="AN89" s="40" t="e">
        <f t="shared" ca="1" si="113"/>
        <v>#NUM!</v>
      </c>
      <c r="AO89" s="40" t="e">
        <f t="shared" ca="1" si="114"/>
        <v>#NUM!</v>
      </c>
      <c r="AP89" s="40" t="e">
        <f t="shared" ca="1" si="115"/>
        <v>#NUM!</v>
      </c>
      <c r="AQ89" s="40" t="e">
        <f t="shared" ca="1" si="116"/>
        <v>#NUM!</v>
      </c>
      <c r="AR89" s="40" t="e">
        <f t="shared" ca="1" si="117"/>
        <v>#NUM!</v>
      </c>
      <c r="AS89" s="40" t="e">
        <f t="shared" ca="1" si="118"/>
        <v>#NUM!</v>
      </c>
    </row>
    <row r="90" spans="1:45" x14ac:dyDescent="0.25">
      <c r="A90" s="154"/>
      <c r="B90" s="73">
        <f t="shared" si="94"/>
        <v>-59090.909090909088</v>
      </c>
      <c r="E90" s="148">
        <v>42826</v>
      </c>
      <c r="G90" s="139">
        <v>33</v>
      </c>
      <c r="H90" s="139">
        <v>0</v>
      </c>
      <c r="I90" s="49">
        <f t="shared" si="95"/>
        <v>46522</v>
      </c>
      <c r="J90" s="76">
        <v>1950000</v>
      </c>
      <c r="K90" s="40">
        <f t="shared" si="96"/>
        <v>33</v>
      </c>
      <c r="L90" s="74">
        <f t="shared" si="97"/>
        <v>1950000</v>
      </c>
      <c r="M90" s="76"/>
      <c r="N90" s="76">
        <f t="shared" si="98"/>
        <v>0</v>
      </c>
      <c r="O90" s="142"/>
      <c r="P90" s="142"/>
      <c r="Q90" s="142"/>
      <c r="R90" s="144"/>
      <c r="S90" s="144"/>
      <c r="T90" s="144"/>
      <c r="U90" s="144"/>
      <c r="V90" s="144"/>
      <c r="W90" s="144"/>
      <c r="X90" s="144"/>
      <c r="Y90" s="143"/>
      <c r="Z90" s="143">
        <f t="shared" si="99"/>
        <v>0</v>
      </c>
      <c r="AA90" s="9">
        <f t="shared" si="100"/>
        <v>0.375</v>
      </c>
      <c r="AB90" s="9">
        <f t="shared" si="101"/>
        <v>0</v>
      </c>
      <c r="AC90" s="9">
        <f t="shared" si="102"/>
        <v>0</v>
      </c>
      <c r="AD90" s="9">
        <f t="shared" si="103"/>
        <v>0</v>
      </c>
      <c r="AE90" s="40" t="e">
        <f t="shared" ca="1" si="104"/>
        <v>#NUM!</v>
      </c>
      <c r="AF90" s="40" t="e">
        <f t="shared" ca="1" si="105"/>
        <v>#NUM!</v>
      </c>
      <c r="AG90" s="40" t="e">
        <f t="shared" ca="1" si="106"/>
        <v>#NUM!</v>
      </c>
      <c r="AH90" s="40" t="e">
        <f t="shared" ca="1" si="107"/>
        <v>#NUM!</v>
      </c>
      <c r="AI90" s="40" t="e">
        <f t="shared" ca="1" si="108"/>
        <v>#NUM!</v>
      </c>
      <c r="AJ90" s="40" t="e">
        <f t="shared" ca="1" si="109"/>
        <v>#NUM!</v>
      </c>
      <c r="AK90" s="203" t="e">
        <f t="shared" ca="1" si="110"/>
        <v>#NUM!</v>
      </c>
      <c r="AL90" s="40" t="e">
        <f t="shared" ca="1" si="111"/>
        <v>#NUM!</v>
      </c>
      <c r="AM90" s="40" t="e">
        <f t="shared" ca="1" si="112"/>
        <v>#NUM!</v>
      </c>
      <c r="AN90" s="40" t="e">
        <f t="shared" ca="1" si="113"/>
        <v>#NUM!</v>
      </c>
      <c r="AO90" s="40" t="e">
        <f t="shared" ca="1" si="114"/>
        <v>#NUM!</v>
      </c>
      <c r="AP90" s="40" t="e">
        <f t="shared" ca="1" si="115"/>
        <v>#NUM!</v>
      </c>
      <c r="AQ90" s="40" t="e">
        <f t="shared" ca="1" si="116"/>
        <v>#NUM!</v>
      </c>
      <c r="AR90" s="40" t="e">
        <f t="shared" ca="1" si="117"/>
        <v>#NUM!</v>
      </c>
      <c r="AS90" s="40" t="e">
        <f t="shared" ca="1" si="118"/>
        <v>#NUM!</v>
      </c>
    </row>
    <row r="91" spans="1:45" x14ac:dyDescent="0.25">
      <c r="A91" s="154"/>
      <c r="B91" s="73">
        <f t="shared" si="94"/>
        <v>-59090.909090909088</v>
      </c>
      <c r="E91" s="148">
        <v>42826</v>
      </c>
      <c r="G91" s="139">
        <v>33</v>
      </c>
      <c r="H91" s="139">
        <v>0</v>
      </c>
      <c r="I91" s="49">
        <f t="shared" si="95"/>
        <v>46522</v>
      </c>
      <c r="J91" s="76">
        <v>1950000</v>
      </c>
      <c r="K91" s="40">
        <f t="shared" si="96"/>
        <v>33</v>
      </c>
      <c r="L91" s="74">
        <f t="shared" si="97"/>
        <v>1950000</v>
      </c>
      <c r="M91" s="76"/>
      <c r="N91" s="76">
        <f t="shared" si="98"/>
        <v>0</v>
      </c>
      <c r="O91" s="142"/>
      <c r="P91" s="142"/>
      <c r="Q91" s="142"/>
      <c r="R91" s="144"/>
      <c r="S91" s="144"/>
      <c r="T91" s="144"/>
      <c r="U91" s="144"/>
      <c r="V91" s="144"/>
      <c r="W91" s="144"/>
      <c r="X91" s="144"/>
      <c r="Y91" s="143"/>
      <c r="Z91" s="143">
        <f t="shared" si="99"/>
        <v>0</v>
      </c>
      <c r="AA91" s="9">
        <f t="shared" si="100"/>
        <v>0.375</v>
      </c>
      <c r="AB91" s="9">
        <f t="shared" si="101"/>
        <v>0</v>
      </c>
      <c r="AC91" s="9">
        <f t="shared" si="102"/>
        <v>0</v>
      </c>
      <c r="AD91" s="9">
        <f t="shared" si="103"/>
        <v>0</v>
      </c>
      <c r="AE91" s="40" t="e">
        <f t="shared" ca="1" si="104"/>
        <v>#NUM!</v>
      </c>
      <c r="AF91" s="40" t="e">
        <f t="shared" ca="1" si="105"/>
        <v>#NUM!</v>
      </c>
      <c r="AG91" s="40" t="e">
        <f t="shared" ca="1" si="106"/>
        <v>#NUM!</v>
      </c>
      <c r="AH91" s="40" t="e">
        <f t="shared" ca="1" si="107"/>
        <v>#NUM!</v>
      </c>
      <c r="AI91" s="40" t="e">
        <f t="shared" ca="1" si="108"/>
        <v>#NUM!</v>
      </c>
      <c r="AJ91" s="40" t="e">
        <f t="shared" ca="1" si="109"/>
        <v>#NUM!</v>
      </c>
      <c r="AK91" s="203" t="e">
        <f t="shared" ca="1" si="110"/>
        <v>#NUM!</v>
      </c>
      <c r="AL91" s="40" t="e">
        <f t="shared" ca="1" si="111"/>
        <v>#NUM!</v>
      </c>
      <c r="AM91" s="40" t="e">
        <f t="shared" ca="1" si="112"/>
        <v>#NUM!</v>
      </c>
      <c r="AN91" s="40" t="e">
        <f t="shared" ca="1" si="113"/>
        <v>#NUM!</v>
      </c>
      <c r="AO91" s="40" t="e">
        <f t="shared" ca="1" si="114"/>
        <v>#NUM!</v>
      </c>
      <c r="AP91" s="40" t="e">
        <f t="shared" ca="1" si="115"/>
        <v>#NUM!</v>
      </c>
      <c r="AQ91" s="40" t="e">
        <f t="shared" ca="1" si="116"/>
        <v>#NUM!</v>
      </c>
      <c r="AR91" s="40" t="e">
        <f t="shared" ca="1" si="117"/>
        <v>#NUM!</v>
      </c>
      <c r="AS91" s="40" t="e">
        <f t="shared" ca="1" si="118"/>
        <v>#NUM!</v>
      </c>
    </row>
    <row r="92" spans="1:45" x14ac:dyDescent="0.25">
      <c r="A92" s="154"/>
      <c r="B92" s="73">
        <f t="shared" si="94"/>
        <v>-59090.909090909088</v>
      </c>
      <c r="E92" s="148">
        <v>42826</v>
      </c>
      <c r="G92" s="139">
        <v>33</v>
      </c>
      <c r="H92" s="139">
        <v>0</v>
      </c>
      <c r="I92" s="49">
        <f t="shared" si="95"/>
        <v>46522</v>
      </c>
      <c r="J92" s="76">
        <v>1950000</v>
      </c>
      <c r="K92" s="40">
        <f t="shared" si="96"/>
        <v>33</v>
      </c>
      <c r="L92" s="74">
        <f t="shared" si="97"/>
        <v>1950000</v>
      </c>
      <c r="M92" s="76"/>
      <c r="N92" s="76">
        <f t="shared" si="98"/>
        <v>0</v>
      </c>
      <c r="O92" s="142"/>
      <c r="P92" s="142"/>
      <c r="Q92" s="142"/>
      <c r="R92" s="144"/>
      <c r="S92" s="144"/>
      <c r="T92" s="144"/>
      <c r="U92" s="144"/>
      <c r="V92" s="144"/>
      <c r="W92" s="144"/>
      <c r="X92" s="144"/>
      <c r="Y92" s="143"/>
      <c r="Z92" s="143">
        <f t="shared" si="99"/>
        <v>0</v>
      </c>
      <c r="AA92" s="9">
        <f t="shared" si="100"/>
        <v>0.375</v>
      </c>
      <c r="AB92" s="9">
        <f t="shared" si="101"/>
        <v>0</v>
      </c>
      <c r="AC92" s="9">
        <f t="shared" si="102"/>
        <v>0</v>
      </c>
      <c r="AD92" s="9">
        <f t="shared" si="103"/>
        <v>0</v>
      </c>
      <c r="AE92" s="40" t="e">
        <f t="shared" ca="1" si="104"/>
        <v>#NUM!</v>
      </c>
      <c r="AF92" s="40" t="e">
        <f t="shared" ca="1" si="105"/>
        <v>#NUM!</v>
      </c>
      <c r="AG92" s="40" t="e">
        <f t="shared" ca="1" si="106"/>
        <v>#NUM!</v>
      </c>
      <c r="AH92" s="40" t="e">
        <f t="shared" ca="1" si="107"/>
        <v>#NUM!</v>
      </c>
      <c r="AI92" s="40" t="e">
        <f t="shared" ca="1" si="108"/>
        <v>#NUM!</v>
      </c>
      <c r="AJ92" s="40" t="e">
        <f t="shared" ca="1" si="109"/>
        <v>#NUM!</v>
      </c>
      <c r="AK92" s="203" t="e">
        <f t="shared" ca="1" si="110"/>
        <v>#NUM!</v>
      </c>
      <c r="AL92" s="40" t="e">
        <f t="shared" ca="1" si="111"/>
        <v>#NUM!</v>
      </c>
      <c r="AM92" s="40" t="e">
        <f t="shared" ca="1" si="112"/>
        <v>#NUM!</v>
      </c>
      <c r="AN92" s="40" t="e">
        <f t="shared" ca="1" si="113"/>
        <v>#NUM!</v>
      </c>
      <c r="AO92" s="40" t="e">
        <f t="shared" ca="1" si="114"/>
        <v>#NUM!</v>
      </c>
      <c r="AP92" s="40" t="e">
        <f t="shared" ca="1" si="115"/>
        <v>#NUM!</v>
      </c>
      <c r="AQ92" s="40" t="e">
        <f t="shared" ca="1" si="116"/>
        <v>#NUM!</v>
      </c>
      <c r="AR92" s="40" t="e">
        <f t="shared" ca="1" si="117"/>
        <v>#NUM!</v>
      </c>
      <c r="AS92" s="40" t="e">
        <f t="shared" ca="1" si="118"/>
        <v>#NUM!</v>
      </c>
    </row>
    <row r="93" spans="1:45" x14ac:dyDescent="0.25">
      <c r="A93" s="154"/>
      <c r="B93" s="73">
        <f t="shared" ref="B93:B156" si="119">(N93+F93-J93)/K93</f>
        <v>-59090.909090909088</v>
      </c>
      <c r="E93" s="148">
        <v>42826</v>
      </c>
      <c r="G93" s="139">
        <v>33</v>
      </c>
      <c r="H93" s="139">
        <v>0</v>
      </c>
      <c r="I93" s="49">
        <f t="shared" ref="I93:I156" si="120">E93+(H93-D93+(G93-C93)*112)</f>
        <v>46522</v>
      </c>
      <c r="J93" s="76">
        <v>1950000</v>
      </c>
      <c r="K93" s="40">
        <f t="shared" ref="K93:K156" si="121">(I93-E93)/112</f>
        <v>33</v>
      </c>
      <c r="L93" s="74">
        <f t="shared" ref="L93:L156" si="122">J93-F93</f>
        <v>1950000</v>
      </c>
      <c r="M93" s="76"/>
      <c r="N93" s="76">
        <f t="shared" ref="N93:N156" si="123">((G93-C93)*M93*16)+(H93-D93)/7*M93</f>
        <v>0</v>
      </c>
      <c r="O93" s="142"/>
      <c r="P93" s="142"/>
      <c r="Q93" s="142"/>
      <c r="R93" s="144"/>
      <c r="S93" s="144"/>
      <c r="T93" s="144"/>
      <c r="U93" s="144"/>
      <c r="V93" s="144"/>
      <c r="W93" s="144"/>
      <c r="X93" s="144"/>
      <c r="Y93" s="143"/>
      <c r="Z93" s="143">
        <f t="shared" ref="Z93:Z156" si="124">O93*P93*P93</f>
        <v>0</v>
      </c>
      <c r="AA93" s="9">
        <f t="shared" ref="AA93:AA156" si="125">((S93+1)+(V93+1)*2)/8</f>
        <v>0.375</v>
      </c>
      <c r="AB93" s="9">
        <f t="shared" ref="AB93:AB156" si="126">X93*0.7+W93*0.3</f>
        <v>0</v>
      </c>
      <c r="AC93" s="9">
        <f t="shared" ref="AC93:AC156" si="127">(0.5*W93+ 0.3*X93)/10</f>
        <v>0</v>
      </c>
      <c r="AD93" s="9">
        <f t="shared" ref="AD93:AD156" si="128">(0.4*S93+0.3*X93)/10</f>
        <v>0</v>
      </c>
      <c r="AE93" s="40" t="e">
        <f t="shared" ref="AE93:AE156" ca="1" si="129">IF(TODAY()-E93&gt;335,((S93+1+(LOG(O93)*4/3))*0.516),((S93+(((TODAY()-E93)^0.5)/(336^0.516))+(LOG(O93)*4/3))*0.516))</f>
        <v>#NUM!</v>
      </c>
      <c r="AF93" s="40" t="e">
        <f t="shared" ref="AF93:AF156" ca="1" si="130">IF(TODAY()-E93&gt;335,((S93+1+(LOG(O93)*4/3))*1),((S93+(((TODAY()-E93)^0.5)/(336^0.5))+(LOG(O93)*4/3))*1))</f>
        <v>#NUM!</v>
      </c>
      <c r="AG93" s="40" t="e">
        <f t="shared" ref="AG93:AG156" ca="1" si="131">IF(TODAY()-E93&gt;335,((T93+1+(LOG(O93)*4/3))*0.238),((T93+(((TODAY()-E93)^0.5)/(336^0.238))+(LOG(O93)*4/3))*0.238))</f>
        <v>#NUM!</v>
      </c>
      <c r="AH93" s="40" t="e">
        <f t="shared" ref="AH93:AH156" ca="1" si="132">IF(TODAY()-E93&gt;335,((S93+1+(LOG(O93)*4/3))*0.92),((S93+(((TODAY()-E93)^0.5)/(336^0.5))+(LOG(O93)*4/3))*0.92))</f>
        <v>#NUM!</v>
      </c>
      <c r="AI93" s="40" t="e">
        <f t="shared" ref="AI93:AI156" ca="1" si="133">IF(TODAY()-E93&gt;335,((S93+1+(LOG(O93)*4/3))*0.414),((S93+(((TODAY()-E93)^0.5)/(336^0.414))+(LOG(O93)*4/3))*0.414))</f>
        <v>#NUM!</v>
      </c>
      <c r="AJ93" s="40" t="e">
        <f t="shared" ref="AJ93:AJ156" ca="1" si="134">IF(TODAY()-E93&gt;335,((T93+1+(LOG(O93)*4/3))*0.167),((T93+(((TODAY()-E93)^0.5)/(336^0.5))+(LOG(O93)*4/3))*0.167))</f>
        <v>#NUM!</v>
      </c>
      <c r="AK93" s="203" t="e">
        <f t="shared" ref="AK93:AK156" ca="1" si="135">IF(TODAY()-E93&gt;335,((U93+1+(LOG(O93)*4/3))*0.588),((U93+(((TODAY()-E93)^0.5)/(336^0.5))+(LOG(O93)*4/3))*0.588))</f>
        <v>#NUM!</v>
      </c>
      <c r="AL93" s="40" t="e">
        <f t="shared" ref="AL93:AL156" ca="1" si="136">IF(TODAY()-E93&gt;335,((S93+1+(LOG(O93)*4/3))*0.4),((S93+(((TODAY()-E93)^0.5)/(336^0.5))+(LOG(O93)*4/3))*0.4))</f>
        <v>#NUM!</v>
      </c>
      <c r="AM93" s="40" t="e">
        <f t="shared" ref="AM93:AM156" ca="1" si="137">IF(TODAY()-E93&gt;335,((T93+1+(LOG(O93)*4/3))*1),((T93+(((TODAY()-E93)^0.5)/(336^0.5))+(LOG(O93)*4/3))*1))</f>
        <v>#NUM!</v>
      </c>
      <c r="AN93" s="40" t="e">
        <f t="shared" ref="AN93:AN156" ca="1" si="138">IF(TODAY()-E93&gt;335,((W93+1+(LOG(O93)*4/3))*0.21)+((V93+1+(LOG(O93)*4/3))*0.341),((W93+(((TODAY()-E93)^0.5)/(336^0.5))+(LOG(O93)*4/3))*0.21)+((V93+(((TODAY()-E93)^0.5)/(336^0.5))+(LOG(O93)*4/3))*0.341))</f>
        <v>#NUM!</v>
      </c>
      <c r="AO93" s="40" t="e">
        <f t="shared" ref="AO93:AO156" ca="1" si="139">IF(TODAY()-E93&gt;335,((T93+1+(LOG(O93)*4/3))*0.305),((T93+(((TODAY()-E93)^0.5)/(336^0.5))+(LOG(O93)*4/3))*0.305))</f>
        <v>#NUM!</v>
      </c>
      <c r="AP93" s="40" t="e">
        <f t="shared" ref="AP93:AP156" ca="1" si="140">IF(TODAY()-E93&gt;335,((U93+1+(LOG(O93)*4/3))*1)+((V93+1+(LOG(O93)*4/3))*0.286),((U93+(((TODAY()-E93)^0.5)/(336^0.5))+(LOG(O93)*4/3))*1)+((V93+(((TODAY()-E93)^0.5)/(336^0.5))+(LOG(O93)*4/3))*0.286))</f>
        <v>#NUM!</v>
      </c>
      <c r="AQ93" s="40" t="e">
        <f t="shared" ref="AQ93:AQ156" ca="1" si="141">IF(TODAY()-E93&gt;335,((T93+1+(LOG(O93)*4/3))*0.406),((T93+(((TODAY()-E93)^0.5)/(336^0.5))+(LOG(O93)*4/3))*0.406))</f>
        <v>#NUM!</v>
      </c>
      <c r="AR93" s="40" t="e">
        <f t="shared" ref="AR93:AR156" ca="1" si="142">IF(Q93="TEC",IF(TODAY()-E93&gt;335,((V93+1+(LOG(O93)*4/3))*0.15)+((V93+1+(LOG(O93)*4/3))*0.324)+((W93+1+(LOG(O93)*4/3))*0.127),((U93+(((TODAY()-E93)^0.5)/(336^0.5))+(LOG(O93)*4/3))*0.15)+((V93+(((TODAY()-E93)^0.5)/(336^0.5))+(LOG(O93)*4/3))*0.324)+((W93+(((TODAY()-E93)^0.5)/(336^0.5))+(LOG(O93)*4/3))*0.127)),IF(TODAY()-E93&gt;335,((V93+1+(LOG(O93)*4/3))*0.144)+((W93+1+(LOG(O93)*4/3))*0.25)+((W93+1+(LOG(O93)*4/3))*0.127),((U93+(((TODAY()-E93)^0.5)/(336^0.5))+(LOG(O93)*4/3))*0.144)+((V93+(((TODAY()-E93)^0.5)/(336^0.5))+(LOG(O93)*4/3))*0.25)+((W93+(((TODAY()-E93)^0.5)/(336^0.5))+(LOG(O93)*4/3))*0.127)))</f>
        <v>#NUM!</v>
      </c>
      <c r="AS93" s="40" t="e">
        <f t="shared" ref="AS93:AS156" ca="1" si="143">IF(Q93="TEC",IF(TODAY()-E93&gt;335,((V93+1+(LOG(O93)*4/3))*0.543)+((W93+1+(LOG(O93)*4/3))*0.583),((V93+(((TODAY()-E93)^0.5)/(336^0.5))+(LOG(O93)*4/3))*0.543)+((W93+(((TODAY()-E93)^0.5)/(336^0.5))+(LOG(O93)*4/3))*0.583)),IF(TODAY()-E93&gt;335,((V93+1+(LOG(O93)*4/3))*0.543)+((W93+1+(LOG(O93)*4/3))*0.583),((V93+(((TODAY()-E93)^0.5)/(336^0.5))+(LOG(O93)*4/3))*0.543)+((W93+(((TODAY()-E93)^0.5)/(336^0.5))+(LOG(O93)*4/3))*0.583)))</f>
        <v>#NUM!</v>
      </c>
    </row>
    <row r="94" spans="1:45" x14ac:dyDescent="0.25">
      <c r="A94" s="154"/>
      <c r="B94" s="73">
        <f t="shared" si="119"/>
        <v>-59090.909090909088</v>
      </c>
      <c r="E94" s="148">
        <v>42826</v>
      </c>
      <c r="G94" s="139">
        <v>33</v>
      </c>
      <c r="H94" s="139">
        <v>0</v>
      </c>
      <c r="I94" s="49">
        <f t="shared" si="120"/>
        <v>46522</v>
      </c>
      <c r="J94" s="76">
        <v>1950000</v>
      </c>
      <c r="K94" s="40">
        <f t="shared" si="121"/>
        <v>33</v>
      </c>
      <c r="L94" s="74">
        <f t="shared" si="122"/>
        <v>1950000</v>
      </c>
      <c r="M94" s="76"/>
      <c r="N94" s="76">
        <f t="shared" si="123"/>
        <v>0</v>
      </c>
      <c r="O94" s="142"/>
      <c r="P94" s="142"/>
      <c r="Q94" s="142"/>
      <c r="R94" s="144"/>
      <c r="S94" s="144"/>
      <c r="T94" s="144"/>
      <c r="U94" s="144"/>
      <c r="V94" s="144"/>
      <c r="W94" s="144"/>
      <c r="X94" s="144"/>
      <c r="Y94" s="143"/>
      <c r="Z94" s="143">
        <f t="shared" si="124"/>
        <v>0</v>
      </c>
      <c r="AA94" s="9">
        <f t="shared" si="125"/>
        <v>0.375</v>
      </c>
      <c r="AB94" s="9">
        <f t="shared" si="126"/>
        <v>0</v>
      </c>
      <c r="AC94" s="9">
        <f t="shared" si="127"/>
        <v>0</v>
      </c>
      <c r="AD94" s="9">
        <f t="shared" si="128"/>
        <v>0</v>
      </c>
      <c r="AE94" s="40" t="e">
        <f t="shared" ca="1" si="129"/>
        <v>#NUM!</v>
      </c>
      <c r="AF94" s="40" t="e">
        <f t="shared" ca="1" si="130"/>
        <v>#NUM!</v>
      </c>
      <c r="AG94" s="40" t="e">
        <f t="shared" ca="1" si="131"/>
        <v>#NUM!</v>
      </c>
      <c r="AH94" s="40" t="e">
        <f t="shared" ca="1" si="132"/>
        <v>#NUM!</v>
      </c>
      <c r="AI94" s="40" t="e">
        <f t="shared" ca="1" si="133"/>
        <v>#NUM!</v>
      </c>
      <c r="AJ94" s="40" t="e">
        <f t="shared" ca="1" si="134"/>
        <v>#NUM!</v>
      </c>
      <c r="AK94" s="203" t="e">
        <f t="shared" ca="1" si="135"/>
        <v>#NUM!</v>
      </c>
      <c r="AL94" s="40" t="e">
        <f t="shared" ca="1" si="136"/>
        <v>#NUM!</v>
      </c>
      <c r="AM94" s="40" t="e">
        <f t="shared" ca="1" si="137"/>
        <v>#NUM!</v>
      </c>
      <c r="AN94" s="40" t="e">
        <f t="shared" ca="1" si="138"/>
        <v>#NUM!</v>
      </c>
      <c r="AO94" s="40" t="e">
        <f t="shared" ca="1" si="139"/>
        <v>#NUM!</v>
      </c>
      <c r="AP94" s="40" t="e">
        <f t="shared" ca="1" si="140"/>
        <v>#NUM!</v>
      </c>
      <c r="AQ94" s="40" t="e">
        <f t="shared" ca="1" si="141"/>
        <v>#NUM!</v>
      </c>
      <c r="AR94" s="40" t="e">
        <f t="shared" ca="1" si="142"/>
        <v>#NUM!</v>
      </c>
      <c r="AS94" s="40" t="e">
        <f t="shared" ca="1" si="143"/>
        <v>#NUM!</v>
      </c>
    </row>
    <row r="95" spans="1:45" x14ac:dyDescent="0.25">
      <c r="A95" s="154"/>
      <c r="B95" s="73">
        <f t="shared" si="119"/>
        <v>-59090.909090909088</v>
      </c>
      <c r="E95" s="148">
        <v>42826</v>
      </c>
      <c r="G95" s="139">
        <v>33</v>
      </c>
      <c r="H95" s="139">
        <v>0</v>
      </c>
      <c r="I95" s="49">
        <f t="shared" si="120"/>
        <v>46522</v>
      </c>
      <c r="J95" s="76">
        <v>1950000</v>
      </c>
      <c r="K95" s="40">
        <f t="shared" si="121"/>
        <v>33</v>
      </c>
      <c r="L95" s="74">
        <f t="shared" si="122"/>
        <v>1950000</v>
      </c>
      <c r="M95" s="76"/>
      <c r="N95" s="76">
        <f t="shared" si="123"/>
        <v>0</v>
      </c>
      <c r="O95" s="142"/>
      <c r="P95" s="142"/>
      <c r="Q95" s="142"/>
      <c r="R95" s="144"/>
      <c r="S95" s="144"/>
      <c r="T95" s="144"/>
      <c r="U95" s="144"/>
      <c r="V95" s="144"/>
      <c r="W95" s="144"/>
      <c r="X95" s="144"/>
      <c r="Y95" s="143"/>
      <c r="Z95" s="143">
        <f t="shared" si="124"/>
        <v>0</v>
      </c>
      <c r="AA95" s="9">
        <f t="shared" si="125"/>
        <v>0.375</v>
      </c>
      <c r="AB95" s="9">
        <f t="shared" si="126"/>
        <v>0</v>
      </c>
      <c r="AC95" s="9">
        <f t="shared" si="127"/>
        <v>0</v>
      </c>
      <c r="AD95" s="9">
        <f t="shared" si="128"/>
        <v>0</v>
      </c>
      <c r="AE95" s="40" t="e">
        <f t="shared" ca="1" si="129"/>
        <v>#NUM!</v>
      </c>
      <c r="AF95" s="40" t="e">
        <f t="shared" ca="1" si="130"/>
        <v>#NUM!</v>
      </c>
      <c r="AG95" s="40" t="e">
        <f t="shared" ca="1" si="131"/>
        <v>#NUM!</v>
      </c>
      <c r="AH95" s="40" t="e">
        <f t="shared" ca="1" si="132"/>
        <v>#NUM!</v>
      </c>
      <c r="AI95" s="40" t="e">
        <f t="shared" ca="1" si="133"/>
        <v>#NUM!</v>
      </c>
      <c r="AJ95" s="40" t="e">
        <f t="shared" ca="1" si="134"/>
        <v>#NUM!</v>
      </c>
      <c r="AK95" s="203" t="e">
        <f t="shared" ca="1" si="135"/>
        <v>#NUM!</v>
      </c>
      <c r="AL95" s="40" t="e">
        <f t="shared" ca="1" si="136"/>
        <v>#NUM!</v>
      </c>
      <c r="AM95" s="40" t="e">
        <f t="shared" ca="1" si="137"/>
        <v>#NUM!</v>
      </c>
      <c r="AN95" s="40" t="e">
        <f t="shared" ca="1" si="138"/>
        <v>#NUM!</v>
      </c>
      <c r="AO95" s="40" t="e">
        <f t="shared" ca="1" si="139"/>
        <v>#NUM!</v>
      </c>
      <c r="AP95" s="40" t="e">
        <f t="shared" ca="1" si="140"/>
        <v>#NUM!</v>
      </c>
      <c r="AQ95" s="40" t="e">
        <f t="shared" ca="1" si="141"/>
        <v>#NUM!</v>
      </c>
      <c r="AR95" s="40" t="e">
        <f t="shared" ca="1" si="142"/>
        <v>#NUM!</v>
      </c>
      <c r="AS95" s="40" t="e">
        <f t="shared" ca="1" si="143"/>
        <v>#NUM!</v>
      </c>
    </row>
    <row r="96" spans="1:45" x14ac:dyDescent="0.25">
      <c r="A96" s="154"/>
      <c r="B96" s="73">
        <f t="shared" si="119"/>
        <v>-59090.909090909088</v>
      </c>
      <c r="E96" s="148">
        <v>42826</v>
      </c>
      <c r="G96" s="139">
        <v>33</v>
      </c>
      <c r="H96" s="139">
        <v>0</v>
      </c>
      <c r="I96" s="49">
        <f t="shared" si="120"/>
        <v>46522</v>
      </c>
      <c r="J96" s="76">
        <v>1950000</v>
      </c>
      <c r="K96" s="40">
        <f t="shared" si="121"/>
        <v>33</v>
      </c>
      <c r="L96" s="74">
        <f t="shared" si="122"/>
        <v>1950000</v>
      </c>
      <c r="M96" s="76"/>
      <c r="N96" s="76">
        <f t="shared" si="123"/>
        <v>0</v>
      </c>
      <c r="O96" s="142"/>
      <c r="P96" s="142"/>
      <c r="Q96" s="142"/>
      <c r="R96" s="144"/>
      <c r="S96" s="144"/>
      <c r="T96" s="144"/>
      <c r="U96" s="144"/>
      <c r="V96" s="144"/>
      <c r="W96" s="144"/>
      <c r="X96" s="144"/>
      <c r="Y96" s="143"/>
      <c r="Z96" s="143">
        <f t="shared" si="124"/>
        <v>0</v>
      </c>
      <c r="AA96" s="9">
        <f t="shared" si="125"/>
        <v>0.375</v>
      </c>
      <c r="AB96" s="9">
        <f t="shared" si="126"/>
        <v>0</v>
      </c>
      <c r="AC96" s="9">
        <f t="shared" si="127"/>
        <v>0</v>
      </c>
      <c r="AD96" s="9">
        <f t="shared" si="128"/>
        <v>0</v>
      </c>
      <c r="AE96" s="40" t="e">
        <f t="shared" ca="1" si="129"/>
        <v>#NUM!</v>
      </c>
      <c r="AF96" s="40" t="e">
        <f t="shared" ca="1" si="130"/>
        <v>#NUM!</v>
      </c>
      <c r="AG96" s="40" t="e">
        <f t="shared" ca="1" si="131"/>
        <v>#NUM!</v>
      </c>
      <c r="AH96" s="40" t="e">
        <f t="shared" ca="1" si="132"/>
        <v>#NUM!</v>
      </c>
      <c r="AI96" s="40" t="e">
        <f t="shared" ca="1" si="133"/>
        <v>#NUM!</v>
      </c>
      <c r="AJ96" s="40" t="e">
        <f t="shared" ca="1" si="134"/>
        <v>#NUM!</v>
      </c>
      <c r="AK96" s="203" t="e">
        <f t="shared" ca="1" si="135"/>
        <v>#NUM!</v>
      </c>
      <c r="AL96" s="40" t="e">
        <f t="shared" ca="1" si="136"/>
        <v>#NUM!</v>
      </c>
      <c r="AM96" s="40" t="e">
        <f t="shared" ca="1" si="137"/>
        <v>#NUM!</v>
      </c>
      <c r="AN96" s="40" t="e">
        <f t="shared" ca="1" si="138"/>
        <v>#NUM!</v>
      </c>
      <c r="AO96" s="40" t="e">
        <f t="shared" ca="1" si="139"/>
        <v>#NUM!</v>
      </c>
      <c r="AP96" s="40" t="e">
        <f t="shared" ca="1" si="140"/>
        <v>#NUM!</v>
      </c>
      <c r="AQ96" s="40" t="e">
        <f t="shared" ca="1" si="141"/>
        <v>#NUM!</v>
      </c>
      <c r="AR96" s="40" t="e">
        <f t="shared" ca="1" si="142"/>
        <v>#NUM!</v>
      </c>
      <c r="AS96" s="40" t="e">
        <f t="shared" ca="1" si="143"/>
        <v>#NUM!</v>
      </c>
    </row>
    <row r="97" spans="1:45" x14ac:dyDescent="0.25">
      <c r="A97" s="154"/>
      <c r="B97" s="73">
        <f t="shared" si="119"/>
        <v>-59090.909090909088</v>
      </c>
      <c r="E97" s="148">
        <v>42826</v>
      </c>
      <c r="G97" s="139">
        <v>33</v>
      </c>
      <c r="H97" s="139">
        <v>0</v>
      </c>
      <c r="I97" s="49">
        <f t="shared" si="120"/>
        <v>46522</v>
      </c>
      <c r="J97" s="76">
        <v>1950000</v>
      </c>
      <c r="K97" s="40">
        <f t="shared" si="121"/>
        <v>33</v>
      </c>
      <c r="L97" s="74">
        <f t="shared" si="122"/>
        <v>1950000</v>
      </c>
      <c r="M97" s="76"/>
      <c r="N97" s="76">
        <f t="shared" si="123"/>
        <v>0</v>
      </c>
      <c r="O97" s="142"/>
      <c r="P97" s="142"/>
      <c r="Q97" s="142"/>
      <c r="R97" s="144"/>
      <c r="S97" s="144"/>
      <c r="T97" s="144"/>
      <c r="U97" s="144"/>
      <c r="V97" s="144"/>
      <c r="W97" s="144"/>
      <c r="X97" s="144"/>
      <c r="Y97" s="143"/>
      <c r="Z97" s="143">
        <f t="shared" si="124"/>
        <v>0</v>
      </c>
      <c r="AA97" s="9">
        <f t="shared" si="125"/>
        <v>0.375</v>
      </c>
      <c r="AB97" s="9">
        <f t="shared" si="126"/>
        <v>0</v>
      </c>
      <c r="AC97" s="9">
        <f t="shared" si="127"/>
        <v>0</v>
      </c>
      <c r="AD97" s="9">
        <f t="shared" si="128"/>
        <v>0</v>
      </c>
      <c r="AE97" s="40" t="e">
        <f t="shared" ca="1" si="129"/>
        <v>#NUM!</v>
      </c>
      <c r="AF97" s="40" t="e">
        <f t="shared" ca="1" si="130"/>
        <v>#NUM!</v>
      </c>
      <c r="AG97" s="40" t="e">
        <f t="shared" ca="1" si="131"/>
        <v>#NUM!</v>
      </c>
      <c r="AH97" s="40" t="e">
        <f t="shared" ca="1" si="132"/>
        <v>#NUM!</v>
      </c>
      <c r="AI97" s="40" t="e">
        <f t="shared" ca="1" si="133"/>
        <v>#NUM!</v>
      </c>
      <c r="AJ97" s="40" t="e">
        <f t="shared" ca="1" si="134"/>
        <v>#NUM!</v>
      </c>
      <c r="AK97" s="203" t="e">
        <f t="shared" ca="1" si="135"/>
        <v>#NUM!</v>
      </c>
      <c r="AL97" s="40" t="e">
        <f t="shared" ca="1" si="136"/>
        <v>#NUM!</v>
      </c>
      <c r="AM97" s="40" t="e">
        <f t="shared" ca="1" si="137"/>
        <v>#NUM!</v>
      </c>
      <c r="AN97" s="40" t="e">
        <f t="shared" ca="1" si="138"/>
        <v>#NUM!</v>
      </c>
      <c r="AO97" s="40" t="e">
        <f t="shared" ca="1" si="139"/>
        <v>#NUM!</v>
      </c>
      <c r="AP97" s="40" t="e">
        <f t="shared" ca="1" si="140"/>
        <v>#NUM!</v>
      </c>
      <c r="AQ97" s="40" t="e">
        <f t="shared" ca="1" si="141"/>
        <v>#NUM!</v>
      </c>
      <c r="AR97" s="40" t="e">
        <f t="shared" ca="1" si="142"/>
        <v>#NUM!</v>
      </c>
      <c r="AS97" s="40" t="e">
        <f t="shared" ca="1" si="143"/>
        <v>#NUM!</v>
      </c>
    </row>
    <row r="98" spans="1:45" x14ac:dyDescent="0.25">
      <c r="A98" s="154"/>
      <c r="B98" s="73">
        <f t="shared" si="119"/>
        <v>-59090.909090909088</v>
      </c>
      <c r="E98" s="148">
        <v>42826</v>
      </c>
      <c r="G98" s="139">
        <v>33</v>
      </c>
      <c r="H98" s="139">
        <v>0</v>
      </c>
      <c r="I98" s="49">
        <f t="shared" si="120"/>
        <v>46522</v>
      </c>
      <c r="J98" s="76">
        <v>1950000</v>
      </c>
      <c r="K98" s="40">
        <f t="shared" si="121"/>
        <v>33</v>
      </c>
      <c r="L98" s="74">
        <f t="shared" si="122"/>
        <v>1950000</v>
      </c>
      <c r="M98" s="76"/>
      <c r="N98" s="76">
        <f t="shared" si="123"/>
        <v>0</v>
      </c>
      <c r="O98" s="142"/>
      <c r="P98" s="142"/>
      <c r="Q98" s="142"/>
      <c r="R98" s="144"/>
      <c r="S98" s="144"/>
      <c r="T98" s="144"/>
      <c r="U98" s="144"/>
      <c r="V98" s="144"/>
      <c r="W98" s="144"/>
      <c r="X98" s="144"/>
      <c r="Y98" s="143"/>
      <c r="Z98" s="143">
        <f t="shared" si="124"/>
        <v>0</v>
      </c>
      <c r="AA98" s="9">
        <f t="shared" si="125"/>
        <v>0.375</v>
      </c>
      <c r="AB98" s="9">
        <f t="shared" si="126"/>
        <v>0</v>
      </c>
      <c r="AC98" s="9">
        <f t="shared" si="127"/>
        <v>0</v>
      </c>
      <c r="AD98" s="9">
        <f t="shared" si="128"/>
        <v>0</v>
      </c>
      <c r="AE98" s="40" t="e">
        <f t="shared" ca="1" si="129"/>
        <v>#NUM!</v>
      </c>
      <c r="AF98" s="40" t="e">
        <f t="shared" ca="1" si="130"/>
        <v>#NUM!</v>
      </c>
      <c r="AG98" s="40" t="e">
        <f t="shared" ca="1" si="131"/>
        <v>#NUM!</v>
      </c>
      <c r="AH98" s="40" t="e">
        <f t="shared" ca="1" si="132"/>
        <v>#NUM!</v>
      </c>
      <c r="AI98" s="40" t="e">
        <f t="shared" ca="1" si="133"/>
        <v>#NUM!</v>
      </c>
      <c r="AJ98" s="40" t="e">
        <f t="shared" ca="1" si="134"/>
        <v>#NUM!</v>
      </c>
      <c r="AK98" s="203" t="e">
        <f t="shared" ca="1" si="135"/>
        <v>#NUM!</v>
      </c>
      <c r="AL98" s="40" t="e">
        <f t="shared" ca="1" si="136"/>
        <v>#NUM!</v>
      </c>
      <c r="AM98" s="40" t="e">
        <f t="shared" ca="1" si="137"/>
        <v>#NUM!</v>
      </c>
      <c r="AN98" s="40" t="e">
        <f t="shared" ca="1" si="138"/>
        <v>#NUM!</v>
      </c>
      <c r="AO98" s="40" t="e">
        <f t="shared" ca="1" si="139"/>
        <v>#NUM!</v>
      </c>
      <c r="AP98" s="40" t="e">
        <f t="shared" ca="1" si="140"/>
        <v>#NUM!</v>
      </c>
      <c r="AQ98" s="40" t="e">
        <f t="shared" ca="1" si="141"/>
        <v>#NUM!</v>
      </c>
      <c r="AR98" s="40" t="e">
        <f t="shared" ca="1" si="142"/>
        <v>#NUM!</v>
      </c>
      <c r="AS98" s="40" t="e">
        <f t="shared" ca="1" si="143"/>
        <v>#NUM!</v>
      </c>
    </row>
    <row r="99" spans="1:45" x14ac:dyDescent="0.25">
      <c r="A99" s="154"/>
      <c r="B99" s="73">
        <f t="shared" si="119"/>
        <v>-59090.909090909088</v>
      </c>
      <c r="E99" s="148">
        <v>42826</v>
      </c>
      <c r="G99" s="139">
        <v>33</v>
      </c>
      <c r="H99" s="139">
        <v>0</v>
      </c>
      <c r="I99" s="49">
        <f t="shared" si="120"/>
        <v>46522</v>
      </c>
      <c r="J99" s="76">
        <v>1950000</v>
      </c>
      <c r="K99" s="40">
        <f t="shared" si="121"/>
        <v>33</v>
      </c>
      <c r="L99" s="74">
        <f t="shared" si="122"/>
        <v>1950000</v>
      </c>
      <c r="M99" s="76"/>
      <c r="N99" s="76">
        <f t="shared" si="123"/>
        <v>0</v>
      </c>
      <c r="O99" s="142"/>
      <c r="P99" s="142"/>
      <c r="Q99" s="142"/>
      <c r="R99" s="144"/>
      <c r="S99" s="144"/>
      <c r="T99" s="144"/>
      <c r="U99" s="144"/>
      <c r="V99" s="144"/>
      <c r="W99" s="144"/>
      <c r="X99" s="144"/>
      <c r="Y99" s="143"/>
      <c r="Z99" s="143">
        <f t="shared" si="124"/>
        <v>0</v>
      </c>
      <c r="AA99" s="9">
        <f t="shared" si="125"/>
        <v>0.375</v>
      </c>
      <c r="AB99" s="9">
        <f t="shared" si="126"/>
        <v>0</v>
      </c>
      <c r="AC99" s="9">
        <f t="shared" si="127"/>
        <v>0</v>
      </c>
      <c r="AD99" s="9">
        <f t="shared" si="128"/>
        <v>0</v>
      </c>
      <c r="AE99" s="40" t="e">
        <f t="shared" ca="1" si="129"/>
        <v>#NUM!</v>
      </c>
      <c r="AF99" s="40" t="e">
        <f t="shared" ca="1" si="130"/>
        <v>#NUM!</v>
      </c>
      <c r="AG99" s="40" t="e">
        <f t="shared" ca="1" si="131"/>
        <v>#NUM!</v>
      </c>
      <c r="AH99" s="40" t="e">
        <f t="shared" ca="1" si="132"/>
        <v>#NUM!</v>
      </c>
      <c r="AI99" s="40" t="e">
        <f t="shared" ca="1" si="133"/>
        <v>#NUM!</v>
      </c>
      <c r="AJ99" s="40" t="e">
        <f t="shared" ca="1" si="134"/>
        <v>#NUM!</v>
      </c>
      <c r="AK99" s="203" t="e">
        <f t="shared" ca="1" si="135"/>
        <v>#NUM!</v>
      </c>
      <c r="AL99" s="40" t="e">
        <f t="shared" ca="1" si="136"/>
        <v>#NUM!</v>
      </c>
      <c r="AM99" s="40" t="e">
        <f t="shared" ca="1" si="137"/>
        <v>#NUM!</v>
      </c>
      <c r="AN99" s="40" t="e">
        <f t="shared" ca="1" si="138"/>
        <v>#NUM!</v>
      </c>
      <c r="AO99" s="40" t="e">
        <f t="shared" ca="1" si="139"/>
        <v>#NUM!</v>
      </c>
      <c r="AP99" s="40" t="e">
        <f t="shared" ca="1" si="140"/>
        <v>#NUM!</v>
      </c>
      <c r="AQ99" s="40" t="e">
        <f t="shared" ca="1" si="141"/>
        <v>#NUM!</v>
      </c>
      <c r="AR99" s="40" t="e">
        <f t="shared" ca="1" si="142"/>
        <v>#NUM!</v>
      </c>
      <c r="AS99" s="40" t="e">
        <f t="shared" ca="1" si="143"/>
        <v>#NUM!</v>
      </c>
    </row>
    <row r="100" spans="1:45" x14ac:dyDescent="0.25">
      <c r="A100" s="154"/>
      <c r="B100" s="73">
        <f t="shared" si="119"/>
        <v>-59090.909090909088</v>
      </c>
      <c r="E100" s="148">
        <v>42826</v>
      </c>
      <c r="G100" s="139">
        <v>33</v>
      </c>
      <c r="H100" s="139">
        <v>0</v>
      </c>
      <c r="I100" s="49">
        <f t="shared" si="120"/>
        <v>46522</v>
      </c>
      <c r="J100" s="76">
        <v>1950000</v>
      </c>
      <c r="K100" s="40">
        <f t="shared" si="121"/>
        <v>33</v>
      </c>
      <c r="L100" s="74">
        <f t="shared" si="122"/>
        <v>1950000</v>
      </c>
      <c r="M100" s="76"/>
      <c r="N100" s="76">
        <f t="shared" si="123"/>
        <v>0</v>
      </c>
      <c r="O100" s="142"/>
      <c r="P100" s="142"/>
      <c r="Q100" s="142"/>
      <c r="R100" s="144"/>
      <c r="S100" s="144"/>
      <c r="T100" s="144"/>
      <c r="U100" s="144"/>
      <c r="V100" s="144"/>
      <c r="W100" s="144"/>
      <c r="X100" s="144"/>
      <c r="Y100" s="143"/>
      <c r="Z100" s="143">
        <f t="shared" si="124"/>
        <v>0</v>
      </c>
      <c r="AA100" s="9">
        <f t="shared" si="125"/>
        <v>0.375</v>
      </c>
      <c r="AB100" s="9">
        <f t="shared" si="126"/>
        <v>0</v>
      </c>
      <c r="AC100" s="9">
        <f t="shared" si="127"/>
        <v>0</v>
      </c>
      <c r="AD100" s="9">
        <f t="shared" si="128"/>
        <v>0</v>
      </c>
      <c r="AE100" s="40" t="e">
        <f t="shared" ca="1" si="129"/>
        <v>#NUM!</v>
      </c>
      <c r="AF100" s="40" t="e">
        <f t="shared" ca="1" si="130"/>
        <v>#NUM!</v>
      </c>
      <c r="AG100" s="40" t="e">
        <f t="shared" ca="1" si="131"/>
        <v>#NUM!</v>
      </c>
      <c r="AH100" s="40" t="e">
        <f t="shared" ca="1" si="132"/>
        <v>#NUM!</v>
      </c>
      <c r="AI100" s="40" t="e">
        <f t="shared" ca="1" si="133"/>
        <v>#NUM!</v>
      </c>
      <c r="AJ100" s="40" t="e">
        <f t="shared" ca="1" si="134"/>
        <v>#NUM!</v>
      </c>
      <c r="AK100" s="203" t="e">
        <f t="shared" ca="1" si="135"/>
        <v>#NUM!</v>
      </c>
      <c r="AL100" s="40" t="e">
        <f t="shared" ca="1" si="136"/>
        <v>#NUM!</v>
      </c>
      <c r="AM100" s="40" t="e">
        <f t="shared" ca="1" si="137"/>
        <v>#NUM!</v>
      </c>
      <c r="AN100" s="40" t="e">
        <f t="shared" ca="1" si="138"/>
        <v>#NUM!</v>
      </c>
      <c r="AO100" s="40" t="e">
        <f t="shared" ca="1" si="139"/>
        <v>#NUM!</v>
      </c>
      <c r="AP100" s="40" t="e">
        <f t="shared" ca="1" si="140"/>
        <v>#NUM!</v>
      </c>
      <c r="AQ100" s="40" t="e">
        <f t="shared" ca="1" si="141"/>
        <v>#NUM!</v>
      </c>
      <c r="AR100" s="40" t="e">
        <f t="shared" ca="1" si="142"/>
        <v>#NUM!</v>
      </c>
      <c r="AS100" s="40" t="e">
        <f t="shared" ca="1" si="143"/>
        <v>#NUM!</v>
      </c>
    </row>
    <row r="101" spans="1:45" x14ac:dyDescent="0.25">
      <c r="A101" s="154"/>
      <c r="B101" s="73">
        <f t="shared" si="119"/>
        <v>-59090.909090909088</v>
      </c>
      <c r="E101" s="148">
        <v>42826</v>
      </c>
      <c r="G101" s="139">
        <v>33</v>
      </c>
      <c r="H101" s="139">
        <v>0</v>
      </c>
      <c r="I101" s="49">
        <f t="shared" si="120"/>
        <v>46522</v>
      </c>
      <c r="J101" s="76">
        <v>1950000</v>
      </c>
      <c r="K101" s="40">
        <f t="shared" si="121"/>
        <v>33</v>
      </c>
      <c r="L101" s="74">
        <f t="shared" si="122"/>
        <v>1950000</v>
      </c>
      <c r="M101" s="76"/>
      <c r="N101" s="76">
        <f t="shared" si="123"/>
        <v>0</v>
      </c>
      <c r="O101" s="142"/>
      <c r="P101" s="142"/>
      <c r="Q101" s="142"/>
      <c r="R101" s="144"/>
      <c r="S101" s="144"/>
      <c r="T101" s="144"/>
      <c r="U101" s="144"/>
      <c r="V101" s="144"/>
      <c r="W101" s="144"/>
      <c r="X101" s="144"/>
      <c r="Y101" s="143"/>
      <c r="Z101" s="143">
        <f t="shared" si="124"/>
        <v>0</v>
      </c>
      <c r="AA101" s="9">
        <f t="shared" si="125"/>
        <v>0.375</v>
      </c>
      <c r="AB101" s="9">
        <f t="shared" si="126"/>
        <v>0</v>
      </c>
      <c r="AC101" s="9">
        <f t="shared" si="127"/>
        <v>0</v>
      </c>
      <c r="AD101" s="9">
        <f t="shared" si="128"/>
        <v>0</v>
      </c>
      <c r="AE101" s="40" t="e">
        <f t="shared" ca="1" si="129"/>
        <v>#NUM!</v>
      </c>
      <c r="AF101" s="40" t="e">
        <f t="shared" ca="1" si="130"/>
        <v>#NUM!</v>
      </c>
      <c r="AG101" s="40" t="e">
        <f t="shared" ca="1" si="131"/>
        <v>#NUM!</v>
      </c>
      <c r="AH101" s="40" t="e">
        <f t="shared" ca="1" si="132"/>
        <v>#NUM!</v>
      </c>
      <c r="AI101" s="40" t="e">
        <f t="shared" ca="1" si="133"/>
        <v>#NUM!</v>
      </c>
      <c r="AJ101" s="40" t="e">
        <f t="shared" ca="1" si="134"/>
        <v>#NUM!</v>
      </c>
      <c r="AK101" s="203" t="e">
        <f t="shared" ca="1" si="135"/>
        <v>#NUM!</v>
      </c>
      <c r="AL101" s="40" t="e">
        <f t="shared" ca="1" si="136"/>
        <v>#NUM!</v>
      </c>
      <c r="AM101" s="40" t="e">
        <f t="shared" ca="1" si="137"/>
        <v>#NUM!</v>
      </c>
      <c r="AN101" s="40" t="e">
        <f t="shared" ca="1" si="138"/>
        <v>#NUM!</v>
      </c>
      <c r="AO101" s="40" t="e">
        <f t="shared" ca="1" si="139"/>
        <v>#NUM!</v>
      </c>
      <c r="AP101" s="40" t="e">
        <f t="shared" ca="1" si="140"/>
        <v>#NUM!</v>
      </c>
      <c r="AQ101" s="40" t="e">
        <f t="shared" ca="1" si="141"/>
        <v>#NUM!</v>
      </c>
      <c r="AR101" s="40" t="e">
        <f t="shared" ca="1" si="142"/>
        <v>#NUM!</v>
      </c>
      <c r="AS101" s="40" t="e">
        <f t="shared" ca="1" si="143"/>
        <v>#NUM!</v>
      </c>
    </row>
    <row r="102" spans="1:45" x14ac:dyDescent="0.25">
      <c r="A102" s="154"/>
      <c r="B102" s="73">
        <f t="shared" si="119"/>
        <v>-59090.909090909088</v>
      </c>
      <c r="E102" s="148">
        <v>42826</v>
      </c>
      <c r="G102" s="139">
        <v>33</v>
      </c>
      <c r="H102" s="139">
        <v>0</v>
      </c>
      <c r="I102" s="49">
        <f t="shared" si="120"/>
        <v>46522</v>
      </c>
      <c r="J102" s="76">
        <v>1950000</v>
      </c>
      <c r="K102" s="40">
        <f t="shared" si="121"/>
        <v>33</v>
      </c>
      <c r="L102" s="74">
        <f t="shared" si="122"/>
        <v>1950000</v>
      </c>
      <c r="M102" s="76"/>
      <c r="N102" s="76">
        <f t="shared" si="123"/>
        <v>0</v>
      </c>
      <c r="O102" s="142"/>
      <c r="P102" s="142"/>
      <c r="Q102" s="142"/>
      <c r="R102" s="144"/>
      <c r="S102" s="144"/>
      <c r="T102" s="144"/>
      <c r="U102" s="144"/>
      <c r="V102" s="144"/>
      <c r="W102" s="144"/>
      <c r="X102" s="144"/>
      <c r="Y102" s="143"/>
      <c r="Z102" s="143">
        <f t="shared" si="124"/>
        <v>0</v>
      </c>
      <c r="AA102" s="9">
        <f t="shared" si="125"/>
        <v>0.375</v>
      </c>
      <c r="AB102" s="9">
        <f t="shared" si="126"/>
        <v>0</v>
      </c>
      <c r="AC102" s="9">
        <f t="shared" si="127"/>
        <v>0</v>
      </c>
      <c r="AD102" s="9">
        <f t="shared" si="128"/>
        <v>0</v>
      </c>
      <c r="AE102" s="40" t="e">
        <f t="shared" ca="1" si="129"/>
        <v>#NUM!</v>
      </c>
      <c r="AF102" s="40" t="e">
        <f t="shared" ca="1" si="130"/>
        <v>#NUM!</v>
      </c>
      <c r="AG102" s="40" t="e">
        <f t="shared" ca="1" si="131"/>
        <v>#NUM!</v>
      </c>
      <c r="AH102" s="40" t="e">
        <f t="shared" ca="1" si="132"/>
        <v>#NUM!</v>
      </c>
      <c r="AI102" s="40" t="e">
        <f t="shared" ca="1" si="133"/>
        <v>#NUM!</v>
      </c>
      <c r="AJ102" s="40" t="e">
        <f t="shared" ca="1" si="134"/>
        <v>#NUM!</v>
      </c>
      <c r="AK102" s="203" t="e">
        <f t="shared" ca="1" si="135"/>
        <v>#NUM!</v>
      </c>
      <c r="AL102" s="40" t="e">
        <f t="shared" ca="1" si="136"/>
        <v>#NUM!</v>
      </c>
      <c r="AM102" s="40" t="e">
        <f t="shared" ca="1" si="137"/>
        <v>#NUM!</v>
      </c>
      <c r="AN102" s="40" t="e">
        <f t="shared" ca="1" si="138"/>
        <v>#NUM!</v>
      </c>
      <c r="AO102" s="40" t="e">
        <f t="shared" ca="1" si="139"/>
        <v>#NUM!</v>
      </c>
      <c r="AP102" s="40" t="e">
        <f t="shared" ca="1" si="140"/>
        <v>#NUM!</v>
      </c>
      <c r="AQ102" s="40" t="e">
        <f t="shared" ca="1" si="141"/>
        <v>#NUM!</v>
      </c>
      <c r="AR102" s="40" t="e">
        <f t="shared" ca="1" si="142"/>
        <v>#NUM!</v>
      </c>
      <c r="AS102" s="40" t="e">
        <f t="shared" ca="1" si="143"/>
        <v>#NUM!</v>
      </c>
    </row>
    <row r="103" spans="1:45" x14ac:dyDescent="0.25">
      <c r="A103" s="154"/>
      <c r="B103" s="73">
        <f t="shared" si="119"/>
        <v>-59090.909090909088</v>
      </c>
      <c r="E103" s="148">
        <v>42826</v>
      </c>
      <c r="G103" s="139">
        <v>33</v>
      </c>
      <c r="H103" s="139">
        <v>0</v>
      </c>
      <c r="I103" s="49">
        <f t="shared" si="120"/>
        <v>46522</v>
      </c>
      <c r="J103" s="76">
        <v>1950000</v>
      </c>
      <c r="K103" s="40">
        <f t="shared" si="121"/>
        <v>33</v>
      </c>
      <c r="L103" s="74">
        <f t="shared" si="122"/>
        <v>1950000</v>
      </c>
      <c r="M103" s="76"/>
      <c r="N103" s="76">
        <f t="shared" si="123"/>
        <v>0</v>
      </c>
      <c r="O103" s="142"/>
      <c r="P103" s="142"/>
      <c r="Q103" s="142"/>
      <c r="R103" s="144"/>
      <c r="S103" s="144"/>
      <c r="T103" s="144"/>
      <c r="U103" s="144"/>
      <c r="V103" s="144"/>
      <c r="W103" s="144"/>
      <c r="X103" s="144"/>
      <c r="Y103" s="143"/>
      <c r="Z103" s="143">
        <f t="shared" si="124"/>
        <v>0</v>
      </c>
      <c r="AA103" s="9">
        <f t="shared" si="125"/>
        <v>0.375</v>
      </c>
      <c r="AB103" s="9">
        <f t="shared" si="126"/>
        <v>0</v>
      </c>
      <c r="AC103" s="9">
        <f t="shared" si="127"/>
        <v>0</v>
      </c>
      <c r="AD103" s="9">
        <f t="shared" si="128"/>
        <v>0</v>
      </c>
      <c r="AE103" s="40" t="e">
        <f t="shared" ca="1" si="129"/>
        <v>#NUM!</v>
      </c>
      <c r="AF103" s="40" t="e">
        <f t="shared" ca="1" si="130"/>
        <v>#NUM!</v>
      </c>
      <c r="AG103" s="40" t="e">
        <f t="shared" ca="1" si="131"/>
        <v>#NUM!</v>
      </c>
      <c r="AH103" s="40" t="e">
        <f t="shared" ca="1" si="132"/>
        <v>#NUM!</v>
      </c>
      <c r="AI103" s="40" t="e">
        <f t="shared" ca="1" si="133"/>
        <v>#NUM!</v>
      </c>
      <c r="AJ103" s="40" t="e">
        <f t="shared" ca="1" si="134"/>
        <v>#NUM!</v>
      </c>
      <c r="AK103" s="203" t="e">
        <f t="shared" ca="1" si="135"/>
        <v>#NUM!</v>
      </c>
      <c r="AL103" s="40" t="e">
        <f t="shared" ca="1" si="136"/>
        <v>#NUM!</v>
      </c>
      <c r="AM103" s="40" t="e">
        <f t="shared" ca="1" si="137"/>
        <v>#NUM!</v>
      </c>
      <c r="AN103" s="40" t="e">
        <f t="shared" ca="1" si="138"/>
        <v>#NUM!</v>
      </c>
      <c r="AO103" s="40" t="e">
        <f t="shared" ca="1" si="139"/>
        <v>#NUM!</v>
      </c>
      <c r="AP103" s="40" t="e">
        <f t="shared" ca="1" si="140"/>
        <v>#NUM!</v>
      </c>
      <c r="AQ103" s="40" t="e">
        <f t="shared" ca="1" si="141"/>
        <v>#NUM!</v>
      </c>
      <c r="AR103" s="40" t="e">
        <f t="shared" ca="1" si="142"/>
        <v>#NUM!</v>
      </c>
      <c r="AS103" s="40" t="e">
        <f t="shared" ca="1" si="143"/>
        <v>#NUM!</v>
      </c>
    </row>
    <row r="104" spans="1:45" x14ac:dyDescent="0.25">
      <c r="A104" s="154"/>
      <c r="B104" s="73">
        <f t="shared" si="119"/>
        <v>-59090.909090909088</v>
      </c>
      <c r="E104" s="148">
        <v>42826</v>
      </c>
      <c r="G104" s="139">
        <v>33</v>
      </c>
      <c r="H104" s="139">
        <v>0</v>
      </c>
      <c r="I104" s="49">
        <f t="shared" si="120"/>
        <v>46522</v>
      </c>
      <c r="J104" s="76">
        <v>1950000</v>
      </c>
      <c r="K104" s="40">
        <f t="shared" si="121"/>
        <v>33</v>
      </c>
      <c r="L104" s="74">
        <f t="shared" si="122"/>
        <v>1950000</v>
      </c>
      <c r="M104" s="76"/>
      <c r="N104" s="76">
        <f t="shared" si="123"/>
        <v>0</v>
      </c>
      <c r="O104" s="142"/>
      <c r="P104" s="142"/>
      <c r="Q104" s="142"/>
      <c r="R104" s="144"/>
      <c r="S104" s="144"/>
      <c r="T104" s="144"/>
      <c r="U104" s="144"/>
      <c r="V104" s="144"/>
      <c r="W104" s="144"/>
      <c r="X104" s="144"/>
      <c r="Y104" s="143"/>
      <c r="Z104" s="143">
        <f t="shared" si="124"/>
        <v>0</v>
      </c>
      <c r="AA104" s="9">
        <f t="shared" si="125"/>
        <v>0.375</v>
      </c>
      <c r="AB104" s="9">
        <f t="shared" si="126"/>
        <v>0</v>
      </c>
      <c r="AC104" s="9">
        <f t="shared" si="127"/>
        <v>0</v>
      </c>
      <c r="AD104" s="9">
        <f t="shared" si="128"/>
        <v>0</v>
      </c>
      <c r="AE104" s="40" t="e">
        <f t="shared" ca="1" si="129"/>
        <v>#NUM!</v>
      </c>
      <c r="AF104" s="40" t="e">
        <f t="shared" ca="1" si="130"/>
        <v>#NUM!</v>
      </c>
      <c r="AG104" s="40" t="e">
        <f t="shared" ca="1" si="131"/>
        <v>#NUM!</v>
      </c>
      <c r="AH104" s="40" t="e">
        <f t="shared" ca="1" si="132"/>
        <v>#NUM!</v>
      </c>
      <c r="AI104" s="40" t="e">
        <f t="shared" ca="1" si="133"/>
        <v>#NUM!</v>
      </c>
      <c r="AJ104" s="40" t="e">
        <f t="shared" ca="1" si="134"/>
        <v>#NUM!</v>
      </c>
      <c r="AK104" s="203" t="e">
        <f t="shared" ca="1" si="135"/>
        <v>#NUM!</v>
      </c>
      <c r="AL104" s="40" t="e">
        <f t="shared" ca="1" si="136"/>
        <v>#NUM!</v>
      </c>
      <c r="AM104" s="40" t="e">
        <f t="shared" ca="1" si="137"/>
        <v>#NUM!</v>
      </c>
      <c r="AN104" s="40" t="e">
        <f t="shared" ca="1" si="138"/>
        <v>#NUM!</v>
      </c>
      <c r="AO104" s="40" t="e">
        <f t="shared" ca="1" si="139"/>
        <v>#NUM!</v>
      </c>
      <c r="AP104" s="40" t="e">
        <f t="shared" ca="1" si="140"/>
        <v>#NUM!</v>
      </c>
      <c r="AQ104" s="40" t="e">
        <f t="shared" ca="1" si="141"/>
        <v>#NUM!</v>
      </c>
      <c r="AR104" s="40" t="e">
        <f t="shared" ca="1" si="142"/>
        <v>#NUM!</v>
      </c>
      <c r="AS104" s="40" t="e">
        <f t="shared" ca="1" si="143"/>
        <v>#NUM!</v>
      </c>
    </row>
    <row r="105" spans="1:45" x14ac:dyDescent="0.25">
      <c r="A105" s="154"/>
      <c r="B105" s="73">
        <f t="shared" si="119"/>
        <v>-59090.909090909088</v>
      </c>
      <c r="E105" s="148">
        <v>42826</v>
      </c>
      <c r="G105" s="139">
        <v>33</v>
      </c>
      <c r="H105" s="139">
        <v>0</v>
      </c>
      <c r="I105" s="49">
        <f t="shared" si="120"/>
        <v>46522</v>
      </c>
      <c r="J105" s="76">
        <v>1950000</v>
      </c>
      <c r="K105" s="40">
        <f t="shared" si="121"/>
        <v>33</v>
      </c>
      <c r="L105" s="74">
        <f t="shared" si="122"/>
        <v>1950000</v>
      </c>
      <c r="M105" s="76"/>
      <c r="N105" s="76">
        <f t="shared" si="123"/>
        <v>0</v>
      </c>
      <c r="O105" s="142"/>
      <c r="P105" s="142"/>
      <c r="Q105" s="142"/>
      <c r="R105" s="144"/>
      <c r="S105" s="144"/>
      <c r="T105" s="144"/>
      <c r="U105" s="144"/>
      <c r="V105" s="144"/>
      <c r="W105" s="144"/>
      <c r="X105" s="144"/>
      <c r="Y105" s="143"/>
      <c r="Z105" s="143">
        <f t="shared" si="124"/>
        <v>0</v>
      </c>
      <c r="AA105" s="9">
        <f t="shared" si="125"/>
        <v>0.375</v>
      </c>
      <c r="AB105" s="9">
        <f t="shared" si="126"/>
        <v>0</v>
      </c>
      <c r="AC105" s="9">
        <f t="shared" si="127"/>
        <v>0</v>
      </c>
      <c r="AD105" s="9">
        <f t="shared" si="128"/>
        <v>0</v>
      </c>
      <c r="AE105" s="40" t="e">
        <f t="shared" ca="1" si="129"/>
        <v>#NUM!</v>
      </c>
      <c r="AF105" s="40" t="e">
        <f t="shared" ca="1" si="130"/>
        <v>#NUM!</v>
      </c>
      <c r="AG105" s="40" t="e">
        <f t="shared" ca="1" si="131"/>
        <v>#NUM!</v>
      </c>
      <c r="AH105" s="40" t="e">
        <f t="shared" ca="1" si="132"/>
        <v>#NUM!</v>
      </c>
      <c r="AI105" s="40" t="e">
        <f t="shared" ca="1" si="133"/>
        <v>#NUM!</v>
      </c>
      <c r="AJ105" s="40" t="e">
        <f t="shared" ca="1" si="134"/>
        <v>#NUM!</v>
      </c>
      <c r="AK105" s="203" t="e">
        <f t="shared" ca="1" si="135"/>
        <v>#NUM!</v>
      </c>
      <c r="AL105" s="40" t="e">
        <f t="shared" ca="1" si="136"/>
        <v>#NUM!</v>
      </c>
      <c r="AM105" s="40" t="e">
        <f t="shared" ca="1" si="137"/>
        <v>#NUM!</v>
      </c>
      <c r="AN105" s="40" t="e">
        <f t="shared" ca="1" si="138"/>
        <v>#NUM!</v>
      </c>
      <c r="AO105" s="40" t="e">
        <f t="shared" ca="1" si="139"/>
        <v>#NUM!</v>
      </c>
      <c r="AP105" s="40" t="e">
        <f t="shared" ca="1" si="140"/>
        <v>#NUM!</v>
      </c>
      <c r="AQ105" s="40" t="e">
        <f t="shared" ca="1" si="141"/>
        <v>#NUM!</v>
      </c>
      <c r="AR105" s="40" t="e">
        <f t="shared" ca="1" si="142"/>
        <v>#NUM!</v>
      </c>
      <c r="AS105" s="40" t="e">
        <f t="shared" ca="1" si="143"/>
        <v>#NUM!</v>
      </c>
    </row>
    <row r="106" spans="1:45" x14ac:dyDescent="0.25">
      <c r="A106" s="154"/>
      <c r="B106" s="73">
        <f t="shared" si="119"/>
        <v>-59090.909090909088</v>
      </c>
      <c r="E106" s="148">
        <v>42826</v>
      </c>
      <c r="G106" s="139">
        <v>33</v>
      </c>
      <c r="H106" s="139">
        <v>0</v>
      </c>
      <c r="I106" s="49">
        <f t="shared" si="120"/>
        <v>46522</v>
      </c>
      <c r="J106" s="76">
        <v>1950000</v>
      </c>
      <c r="K106" s="40">
        <f t="shared" si="121"/>
        <v>33</v>
      </c>
      <c r="L106" s="74">
        <f t="shared" si="122"/>
        <v>1950000</v>
      </c>
      <c r="M106" s="76"/>
      <c r="N106" s="76">
        <f t="shared" si="123"/>
        <v>0</v>
      </c>
      <c r="O106" s="142"/>
      <c r="P106" s="142"/>
      <c r="Q106" s="142"/>
      <c r="R106" s="144"/>
      <c r="S106" s="144"/>
      <c r="T106" s="144"/>
      <c r="U106" s="144"/>
      <c r="V106" s="144"/>
      <c r="W106" s="144"/>
      <c r="X106" s="144"/>
      <c r="Y106" s="143"/>
      <c r="Z106" s="143">
        <f t="shared" si="124"/>
        <v>0</v>
      </c>
      <c r="AA106" s="9">
        <f t="shared" si="125"/>
        <v>0.375</v>
      </c>
      <c r="AB106" s="9">
        <f t="shared" si="126"/>
        <v>0</v>
      </c>
      <c r="AC106" s="9">
        <f t="shared" si="127"/>
        <v>0</v>
      </c>
      <c r="AD106" s="9">
        <f t="shared" si="128"/>
        <v>0</v>
      </c>
      <c r="AE106" s="40" t="e">
        <f t="shared" ca="1" si="129"/>
        <v>#NUM!</v>
      </c>
      <c r="AF106" s="40" t="e">
        <f t="shared" ca="1" si="130"/>
        <v>#NUM!</v>
      </c>
      <c r="AG106" s="40" t="e">
        <f t="shared" ca="1" si="131"/>
        <v>#NUM!</v>
      </c>
      <c r="AH106" s="40" t="e">
        <f t="shared" ca="1" si="132"/>
        <v>#NUM!</v>
      </c>
      <c r="AI106" s="40" t="e">
        <f t="shared" ca="1" si="133"/>
        <v>#NUM!</v>
      </c>
      <c r="AJ106" s="40" t="e">
        <f t="shared" ca="1" si="134"/>
        <v>#NUM!</v>
      </c>
      <c r="AK106" s="203" t="e">
        <f t="shared" ca="1" si="135"/>
        <v>#NUM!</v>
      </c>
      <c r="AL106" s="40" t="e">
        <f t="shared" ca="1" si="136"/>
        <v>#NUM!</v>
      </c>
      <c r="AM106" s="40" t="e">
        <f t="shared" ca="1" si="137"/>
        <v>#NUM!</v>
      </c>
      <c r="AN106" s="40" t="e">
        <f t="shared" ca="1" si="138"/>
        <v>#NUM!</v>
      </c>
      <c r="AO106" s="40" t="e">
        <f t="shared" ca="1" si="139"/>
        <v>#NUM!</v>
      </c>
      <c r="AP106" s="40" t="e">
        <f t="shared" ca="1" si="140"/>
        <v>#NUM!</v>
      </c>
      <c r="AQ106" s="40" t="e">
        <f t="shared" ca="1" si="141"/>
        <v>#NUM!</v>
      </c>
      <c r="AR106" s="40" t="e">
        <f t="shared" ca="1" si="142"/>
        <v>#NUM!</v>
      </c>
      <c r="AS106" s="40" t="e">
        <f t="shared" ca="1" si="143"/>
        <v>#NUM!</v>
      </c>
    </row>
    <row r="107" spans="1:45" x14ac:dyDescent="0.25">
      <c r="A107" s="154"/>
      <c r="B107" s="73">
        <f t="shared" si="119"/>
        <v>-59090.909090909088</v>
      </c>
      <c r="E107" s="148">
        <v>42826</v>
      </c>
      <c r="G107" s="139">
        <v>33</v>
      </c>
      <c r="H107" s="139">
        <v>0</v>
      </c>
      <c r="I107" s="49">
        <f t="shared" si="120"/>
        <v>46522</v>
      </c>
      <c r="J107" s="76">
        <v>1950000</v>
      </c>
      <c r="K107" s="40">
        <f t="shared" si="121"/>
        <v>33</v>
      </c>
      <c r="L107" s="74">
        <f t="shared" si="122"/>
        <v>1950000</v>
      </c>
      <c r="M107" s="76"/>
      <c r="N107" s="76">
        <f t="shared" si="123"/>
        <v>0</v>
      </c>
      <c r="O107" s="142"/>
      <c r="P107" s="142"/>
      <c r="Q107" s="142"/>
      <c r="R107" s="144"/>
      <c r="S107" s="144"/>
      <c r="T107" s="144"/>
      <c r="U107" s="144"/>
      <c r="V107" s="144"/>
      <c r="W107" s="144"/>
      <c r="X107" s="144"/>
      <c r="Y107" s="143"/>
      <c r="Z107" s="143">
        <f t="shared" si="124"/>
        <v>0</v>
      </c>
      <c r="AA107" s="9">
        <f t="shared" si="125"/>
        <v>0.375</v>
      </c>
      <c r="AB107" s="9">
        <f t="shared" si="126"/>
        <v>0</v>
      </c>
      <c r="AC107" s="9">
        <f t="shared" si="127"/>
        <v>0</v>
      </c>
      <c r="AD107" s="9">
        <f t="shared" si="128"/>
        <v>0</v>
      </c>
      <c r="AE107" s="40" t="e">
        <f t="shared" ca="1" si="129"/>
        <v>#NUM!</v>
      </c>
      <c r="AF107" s="40" t="e">
        <f t="shared" ca="1" si="130"/>
        <v>#NUM!</v>
      </c>
      <c r="AG107" s="40" t="e">
        <f t="shared" ca="1" si="131"/>
        <v>#NUM!</v>
      </c>
      <c r="AH107" s="40" t="e">
        <f t="shared" ca="1" si="132"/>
        <v>#NUM!</v>
      </c>
      <c r="AI107" s="40" t="e">
        <f t="shared" ca="1" si="133"/>
        <v>#NUM!</v>
      </c>
      <c r="AJ107" s="40" t="e">
        <f t="shared" ca="1" si="134"/>
        <v>#NUM!</v>
      </c>
      <c r="AK107" s="203" t="e">
        <f t="shared" ca="1" si="135"/>
        <v>#NUM!</v>
      </c>
      <c r="AL107" s="40" t="e">
        <f t="shared" ca="1" si="136"/>
        <v>#NUM!</v>
      </c>
      <c r="AM107" s="40" t="e">
        <f t="shared" ca="1" si="137"/>
        <v>#NUM!</v>
      </c>
      <c r="AN107" s="40" t="e">
        <f t="shared" ca="1" si="138"/>
        <v>#NUM!</v>
      </c>
      <c r="AO107" s="40" t="e">
        <f t="shared" ca="1" si="139"/>
        <v>#NUM!</v>
      </c>
      <c r="AP107" s="40" t="e">
        <f t="shared" ca="1" si="140"/>
        <v>#NUM!</v>
      </c>
      <c r="AQ107" s="40" t="e">
        <f t="shared" ca="1" si="141"/>
        <v>#NUM!</v>
      </c>
      <c r="AR107" s="40" t="e">
        <f t="shared" ca="1" si="142"/>
        <v>#NUM!</v>
      </c>
      <c r="AS107" s="40" t="e">
        <f t="shared" ca="1" si="143"/>
        <v>#NUM!</v>
      </c>
    </row>
    <row r="108" spans="1:45" x14ac:dyDescent="0.25">
      <c r="A108" s="154"/>
      <c r="B108" s="73">
        <f t="shared" si="119"/>
        <v>-59090.909090909088</v>
      </c>
      <c r="E108" s="148">
        <v>42826</v>
      </c>
      <c r="G108" s="139">
        <v>33</v>
      </c>
      <c r="H108" s="139">
        <v>0</v>
      </c>
      <c r="I108" s="49">
        <f t="shared" si="120"/>
        <v>46522</v>
      </c>
      <c r="J108" s="76">
        <v>1950000</v>
      </c>
      <c r="K108" s="40">
        <f t="shared" si="121"/>
        <v>33</v>
      </c>
      <c r="L108" s="74">
        <f t="shared" si="122"/>
        <v>1950000</v>
      </c>
      <c r="M108" s="76"/>
      <c r="N108" s="76">
        <f t="shared" si="123"/>
        <v>0</v>
      </c>
      <c r="O108" s="142"/>
      <c r="P108" s="142"/>
      <c r="Q108" s="142"/>
      <c r="R108" s="144"/>
      <c r="S108" s="144"/>
      <c r="T108" s="144"/>
      <c r="U108" s="144"/>
      <c r="V108" s="144"/>
      <c r="W108" s="144"/>
      <c r="X108" s="144"/>
      <c r="Y108" s="143"/>
      <c r="Z108" s="143">
        <f t="shared" si="124"/>
        <v>0</v>
      </c>
      <c r="AA108" s="9">
        <f t="shared" si="125"/>
        <v>0.375</v>
      </c>
      <c r="AB108" s="9">
        <f t="shared" si="126"/>
        <v>0</v>
      </c>
      <c r="AC108" s="9">
        <f t="shared" si="127"/>
        <v>0</v>
      </c>
      <c r="AD108" s="9">
        <f t="shared" si="128"/>
        <v>0</v>
      </c>
      <c r="AE108" s="40" t="e">
        <f t="shared" ca="1" si="129"/>
        <v>#NUM!</v>
      </c>
      <c r="AF108" s="40" t="e">
        <f t="shared" ca="1" si="130"/>
        <v>#NUM!</v>
      </c>
      <c r="AG108" s="40" t="e">
        <f t="shared" ca="1" si="131"/>
        <v>#NUM!</v>
      </c>
      <c r="AH108" s="40" t="e">
        <f t="shared" ca="1" si="132"/>
        <v>#NUM!</v>
      </c>
      <c r="AI108" s="40" t="e">
        <f t="shared" ca="1" si="133"/>
        <v>#NUM!</v>
      </c>
      <c r="AJ108" s="40" t="e">
        <f t="shared" ca="1" si="134"/>
        <v>#NUM!</v>
      </c>
      <c r="AK108" s="203" t="e">
        <f t="shared" ca="1" si="135"/>
        <v>#NUM!</v>
      </c>
      <c r="AL108" s="40" t="e">
        <f t="shared" ca="1" si="136"/>
        <v>#NUM!</v>
      </c>
      <c r="AM108" s="40" t="e">
        <f t="shared" ca="1" si="137"/>
        <v>#NUM!</v>
      </c>
      <c r="AN108" s="40" t="e">
        <f t="shared" ca="1" si="138"/>
        <v>#NUM!</v>
      </c>
      <c r="AO108" s="40" t="e">
        <f t="shared" ca="1" si="139"/>
        <v>#NUM!</v>
      </c>
      <c r="AP108" s="40" t="e">
        <f t="shared" ca="1" si="140"/>
        <v>#NUM!</v>
      </c>
      <c r="AQ108" s="40" t="e">
        <f t="shared" ca="1" si="141"/>
        <v>#NUM!</v>
      </c>
      <c r="AR108" s="40" t="e">
        <f t="shared" ca="1" si="142"/>
        <v>#NUM!</v>
      </c>
      <c r="AS108" s="40" t="e">
        <f t="shared" ca="1" si="143"/>
        <v>#NUM!</v>
      </c>
    </row>
    <row r="109" spans="1:45" x14ac:dyDescent="0.25">
      <c r="A109" s="154"/>
      <c r="B109" s="73">
        <f t="shared" si="119"/>
        <v>-59090.909090909088</v>
      </c>
      <c r="E109" s="148">
        <v>42826</v>
      </c>
      <c r="G109" s="139">
        <v>33</v>
      </c>
      <c r="H109" s="139">
        <v>0</v>
      </c>
      <c r="I109" s="49">
        <f t="shared" si="120"/>
        <v>46522</v>
      </c>
      <c r="J109" s="76">
        <v>1950000</v>
      </c>
      <c r="K109" s="40">
        <f t="shared" si="121"/>
        <v>33</v>
      </c>
      <c r="L109" s="74">
        <f t="shared" si="122"/>
        <v>1950000</v>
      </c>
      <c r="M109" s="76"/>
      <c r="N109" s="76">
        <f t="shared" si="123"/>
        <v>0</v>
      </c>
      <c r="O109" s="142"/>
      <c r="P109" s="142"/>
      <c r="Q109" s="142"/>
      <c r="R109" s="144"/>
      <c r="S109" s="144"/>
      <c r="T109" s="144"/>
      <c r="U109" s="144"/>
      <c r="V109" s="144"/>
      <c r="W109" s="144"/>
      <c r="X109" s="144"/>
      <c r="Y109" s="143"/>
      <c r="Z109" s="143">
        <f t="shared" si="124"/>
        <v>0</v>
      </c>
      <c r="AA109" s="9">
        <f t="shared" si="125"/>
        <v>0.375</v>
      </c>
      <c r="AB109" s="9">
        <f t="shared" si="126"/>
        <v>0</v>
      </c>
      <c r="AC109" s="9">
        <f t="shared" si="127"/>
        <v>0</v>
      </c>
      <c r="AD109" s="9">
        <f t="shared" si="128"/>
        <v>0</v>
      </c>
      <c r="AE109" s="40" t="e">
        <f t="shared" ca="1" si="129"/>
        <v>#NUM!</v>
      </c>
      <c r="AF109" s="40" t="e">
        <f t="shared" ca="1" si="130"/>
        <v>#NUM!</v>
      </c>
      <c r="AG109" s="40" t="e">
        <f t="shared" ca="1" si="131"/>
        <v>#NUM!</v>
      </c>
      <c r="AH109" s="40" t="e">
        <f t="shared" ca="1" si="132"/>
        <v>#NUM!</v>
      </c>
      <c r="AI109" s="40" t="e">
        <f t="shared" ca="1" si="133"/>
        <v>#NUM!</v>
      </c>
      <c r="AJ109" s="40" t="e">
        <f t="shared" ca="1" si="134"/>
        <v>#NUM!</v>
      </c>
      <c r="AK109" s="203" t="e">
        <f t="shared" ca="1" si="135"/>
        <v>#NUM!</v>
      </c>
      <c r="AL109" s="40" t="e">
        <f t="shared" ca="1" si="136"/>
        <v>#NUM!</v>
      </c>
      <c r="AM109" s="40" t="e">
        <f t="shared" ca="1" si="137"/>
        <v>#NUM!</v>
      </c>
      <c r="AN109" s="40" t="e">
        <f t="shared" ca="1" si="138"/>
        <v>#NUM!</v>
      </c>
      <c r="AO109" s="40" t="e">
        <f t="shared" ca="1" si="139"/>
        <v>#NUM!</v>
      </c>
      <c r="AP109" s="40" t="e">
        <f t="shared" ca="1" si="140"/>
        <v>#NUM!</v>
      </c>
      <c r="AQ109" s="40" t="e">
        <f t="shared" ca="1" si="141"/>
        <v>#NUM!</v>
      </c>
      <c r="AR109" s="40" t="e">
        <f t="shared" ca="1" si="142"/>
        <v>#NUM!</v>
      </c>
      <c r="AS109" s="40" t="e">
        <f t="shared" ca="1" si="143"/>
        <v>#NUM!</v>
      </c>
    </row>
    <row r="110" spans="1:45" x14ac:dyDescent="0.25">
      <c r="A110" s="154"/>
      <c r="B110" s="73">
        <f t="shared" si="119"/>
        <v>-59090.909090909088</v>
      </c>
      <c r="E110" s="148">
        <v>42826</v>
      </c>
      <c r="G110" s="139">
        <v>33</v>
      </c>
      <c r="H110" s="139">
        <v>0</v>
      </c>
      <c r="I110" s="49">
        <f t="shared" si="120"/>
        <v>46522</v>
      </c>
      <c r="J110" s="76">
        <v>1950000</v>
      </c>
      <c r="K110" s="40">
        <f t="shared" si="121"/>
        <v>33</v>
      </c>
      <c r="L110" s="74">
        <f t="shared" si="122"/>
        <v>1950000</v>
      </c>
      <c r="M110" s="76"/>
      <c r="N110" s="76">
        <f t="shared" si="123"/>
        <v>0</v>
      </c>
      <c r="O110" s="142"/>
      <c r="P110" s="142"/>
      <c r="Q110" s="142"/>
      <c r="R110" s="144"/>
      <c r="S110" s="144"/>
      <c r="T110" s="144"/>
      <c r="U110" s="144"/>
      <c r="V110" s="144"/>
      <c r="W110" s="144"/>
      <c r="X110" s="144"/>
      <c r="Y110" s="143"/>
      <c r="Z110" s="143">
        <f t="shared" si="124"/>
        <v>0</v>
      </c>
      <c r="AA110" s="9">
        <f t="shared" si="125"/>
        <v>0.375</v>
      </c>
      <c r="AB110" s="9">
        <f t="shared" si="126"/>
        <v>0</v>
      </c>
      <c r="AC110" s="9">
        <f t="shared" si="127"/>
        <v>0</v>
      </c>
      <c r="AD110" s="9">
        <f t="shared" si="128"/>
        <v>0</v>
      </c>
      <c r="AE110" s="40" t="e">
        <f t="shared" ca="1" si="129"/>
        <v>#NUM!</v>
      </c>
      <c r="AF110" s="40" t="e">
        <f t="shared" ca="1" si="130"/>
        <v>#NUM!</v>
      </c>
      <c r="AG110" s="40" t="e">
        <f t="shared" ca="1" si="131"/>
        <v>#NUM!</v>
      </c>
      <c r="AH110" s="40" t="e">
        <f t="shared" ca="1" si="132"/>
        <v>#NUM!</v>
      </c>
      <c r="AI110" s="40" t="e">
        <f t="shared" ca="1" si="133"/>
        <v>#NUM!</v>
      </c>
      <c r="AJ110" s="40" t="e">
        <f t="shared" ca="1" si="134"/>
        <v>#NUM!</v>
      </c>
      <c r="AK110" s="203" t="e">
        <f t="shared" ca="1" si="135"/>
        <v>#NUM!</v>
      </c>
      <c r="AL110" s="40" t="e">
        <f t="shared" ca="1" si="136"/>
        <v>#NUM!</v>
      </c>
      <c r="AM110" s="40" t="e">
        <f t="shared" ca="1" si="137"/>
        <v>#NUM!</v>
      </c>
      <c r="AN110" s="40" t="e">
        <f t="shared" ca="1" si="138"/>
        <v>#NUM!</v>
      </c>
      <c r="AO110" s="40" t="e">
        <f t="shared" ca="1" si="139"/>
        <v>#NUM!</v>
      </c>
      <c r="AP110" s="40" t="e">
        <f t="shared" ca="1" si="140"/>
        <v>#NUM!</v>
      </c>
      <c r="AQ110" s="40" t="e">
        <f t="shared" ca="1" si="141"/>
        <v>#NUM!</v>
      </c>
      <c r="AR110" s="40" t="e">
        <f t="shared" ca="1" si="142"/>
        <v>#NUM!</v>
      </c>
      <c r="AS110" s="40" t="e">
        <f t="shared" ca="1" si="143"/>
        <v>#NUM!</v>
      </c>
    </row>
    <row r="111" spans="1:45" x14ac:dyDescent="0.25">
      <c r="A111" s="154"/>
      <c r="B111" s="73">
        <f t="shared" si="119"/>
        <v>-59090.909090909088</v>
      </c>
      <c r="E111" s="148">
        <v>42826</v>
      </c>
      <c r="G111" s="139">
        <v>33</v>
      </c>
      <c r="H111" s="139">
        <v>0</v>
      </c>
      <c r="I111" s="49">
        <f t="shared" si="120"/>
        <v>46522</v>
      </c>
      <c r="J111" s="76">
        <v>1950000</v>
      </c>
      <c r="K111" s="40">
        <f t="shared" si="121"/>
        <v>33</v>
      </c>
      <c r="L111" s="74">
        <f t="shared" si="122"/>
        <v>1950000</v>
      </c>
      <c r="M111" s="76"/>
      <c r="N111" s="76">
        <f t="shared" si="123"/>
        <v>0</v>
      </c>
      <c r="O111" s="142"/>
      <c r="P111" s="142"/>
      <c r="Q111" s="142"/>
      <c r="R111" s="144"/>
      <c r="S111" s="144"/>
      <c r="T111" s="144"/>
      <c r="U111" s="144"/>
      <c r="V111" s="144"/>
      <c r="W111" s="144"/>
      <c r="X111" s="144"/>
      <c r="Y111" s="143"/>
      <c r="Z111" s="143">
        <f t="shared" si="124"/>
        <v>0</v>
      </c>
      <c r="AA111" s="9">
        <f t="shared" si="125"/>
        <v>0.375</v>
      </c>
      <c r="AB111" s="9">
        <f t="shared" si="126"/>
        <v>0</v>
      </c>
      <c r="AC111" s="9">
        <f t="shared" si="127"/>
        <v>0</v>
      </c>
      <c r="AD111" s="9">
        <f t="shared" si="128"/>
        <v>0</v>
      </c>
      <c r="AE111" s="40" t="e">
        <f t="shared" ca="1" si="129"/>
        <v>#NUM!</v>
      </c>
      <c r="AF111" s="40" t="e">
        <f t="shared" ca="1" si="130"/>
        <v>#NUM!</v>
      </c>
      <c r="AG111" s="40" t="e">
        <f t="shared" ca="1" si="131"/>
        <v>#NUM!</v>
      </c>
      <c r="AH111" s="40" t="e">
        <f t="shared" ca="1" si="132"/>
        <v>#NUM!</v>
      </c>
      <c r="AI111" s="40" t="e">
        <f t="shared" ca="1" si="133"/>
        <v>#NUM!</v>
      </c>
      <c r="AJ111" s="40" t="e">
        <f t="shared" ca="1" si="134"/>
        <v>#NUM!</v>
      </c>
      <c r="AK111" s="203" t="e">
        <f t="shared" ca="1" si="135"/>
        <v>#NUM!</v>
      </c>
      <c r="AL111" s="40" t="e">
        <f t="shared" ca="1" si="136"/>
        <v>#NUM!</v>
      </c>
      <c r="AM111" s="40" t="e">
        <f t="shared" ca="1" si="137"/>
        <v>#NUM!</v>
      </c>
      <c r="AN111" s="40" t="e">
        <f t="shared" ca="1" si="138"/>
        <v>#NUM!</v>
      </c>
      <c r="AO111" s="40" t="e">
        <f t="shared" ca="1" si="139"/>
        <v>#NUM!</v>
      </c>
      <c r="AP111" s="40" t="e">
        <f t="shared" ca="1" si="140"/>
        <v>#NUM!</v>
      </c>
      <c r="AQ111" s="40" t="e">
        <f t="shared" ca="1" si="141"/>
        <v>#NUM!</v>
      </c>
      <c r="AR111" s="40" t="e">
        <f t="shared" ca="1" si="142"/>
        <v>#NUM!</v>
      </c>
      <c r="AS111" s="40" t="e">
        <f t="shared" ca="1" si="143"/>
        <v>#NUM!</v>
      </c>
    </row>
    <row r="112" spans="1:45" x14ac:dyDescent="0.25">
      <c r="A112" s="154"/>
      <c r="B112" s="73">
        <f t="shared" si="119"/>
        <v>-59090.909090909088</v>
      </c>
      <c r="E112" s="148">
        <v>42826</v>
      </c>
      <c r="G112" s="139">
        <v>33</v>
      </c>
      <c r="H112" s="139">
        <v>0</v>
      </c>
      <c r="I112" s="49">
        <f t="shared" si="120"/>
        <v>46522</v>
      </c>
      <c r="J112" s="76">
        <v>1950000</v>
      </c>
      <c r="K112" s="40">
        <f t="shared" si="121"/>
        <v>33</v>
      </c>
      <c r="L112" s="74">
        <f t="shared" si="122"/>
        <v>1950000</v>
      </c>
      <c r="M112" s="76"/>
      <c r="N112" s="76">
        <f t="shared" si="123"/>
        <v>0</v>
      </c>
      <c r="O112" s="142"/>
      <c r="P112" s="142"/>
      <c r="Q112" s="142"/>
      <c r="R112" s="144"/>
      <c r="S112" s="144"/>
      <c r="T112" s="144"/>
      <c r="U112" s="144"/>
      <c r="V112" s="144"/>
      <c r="W112" s="144"/>
      <c r="X112" s="144"/>
      <c r="Y112" s="143"/>
      <c r="Z112" s="143">
        <f t="shared" si="124"/>
        <v>0</v>
      </c>
      <c r="AA112" s="9">
        <f t="shared" si="125"/>
        <v>0.375</v>
      </c>
      <c r="AB112" s="9">
        <f t="shared" si="126"/>
        <v>0</v>
      </c>
      <c r="AC112" s="9">
        <f t="shared" si="127"/>
        <v>0</v>
      </c>
      <c r="AD112" s="9">
        <f t="shared" si="128"/>
        <v>0</v>
      </c>
      <c r="AE112" s="40" t="e">
        <f t="shared" ca="1" si="129"/>
        <v>#NUM!</v>
      </c>
      <c r="AF112" s="40" t="e">
        <f t="shared" ca="1" si="130"/>
        <v>#NUM!</v>
      </c>
      <c r="AG112" s="40" t="e">
        <f t="shared" ca="1" si="131"/>
        <v>#NUM!</v>
      </c>
      <c r="AH112" s="40" t="e">
        <f t="shared" ca="1" si="132"/>
        <v>#NUM!</v>
      </c>
      <c r="AI112" s="40" t="e">
        <f t="shared" ca="1" si="133"/>
        <v>#NUM!</v>
      </c>
      <c r="AJ112" s="40" t="e">
        <f t="shared" ca="1" si="134"/>
        <v>#NUM!</v>
      </c>
      <c r="AK112" s="203" t="e">
        <f t="shared" ca="1" si="135"/>
        <v>#NUM!</v>
      </c>
      <c r="AL112" s="40" t="e">
        <f t="shared" ca="1" si="136"/>
        <v>#NUM!</v>
      </c>
      <c r="AM112" s="40" t="e">
        <f t="shared" ca="1" si="137"/>
        <v>#NUM!</v>
      </c>
      <c r="AN112" s="40" t="e">
        <f t="shared" ca="1" si="138"/>
        <v>#NUM!</v>
      </c>
      <c r="AO112" s="40" t="e">
        <f t="shared" ca="1" si="139"/>
        <v>#NUM!</v>
      </c>
      <c r="AP112" s="40" t="e">
        <f t="shared" ca="1" si="140"/>
        <v>#NUM!</v>
      </c>
      <c r="AQ112" s="40" t="e">
        <f t="shared" ca="1" si="141"/>
        <v>#NUM!</v>
      </c>
      <c r="AR112" s="40" t="e">
        <f t="shared" ca="1" si="142"/>
        <v>#NUM!</v>
      </c>
      <c r="AS112" s="40" t="e">
        <f t="shared" ca="1" si="143"/>
        <v>#NUM!</v>
      </c>
    </row>
    <row r="113" spans="1:45" x14ac:dyDescent="0.25">
      <c r="A113" s="154"/>
      <c r="B113" s="73">
        <f t="shared" si="119"/>
        <v>-59090.909090909088</v>
      </c>
      <c r="E113" s="148">
        <v>42826</v>
      </c>
      <c r="G113" s="139">
        <v>33</v>
      </c>
      <c r="H113" s="139">
        <v>0</v>
      </c>
      <c r="I113" s="49">
        <f t="shared" si="120"/>
        <v>46522</v>
      </c>
      <c r="J113" s="76">
        <v>1950000</v>
      </c>
      <c r="K113" s="40">
        <f t="shared" si="121"/>
        <v>33</v>
      </c>
      <c r="L113" s="74">
        <f t="shared" si="122"/>
        <v>1950000</v>
      </c>
      <c r="M113" s="76"/>
      <c r="N113" s="76">
        <f t="shared" si="123"/>
        <v>0</v>
      </c>
      <c r="O113" s="142"/>
      <c r="P113" s="142"/>
      <c r="Q113" s="142"/>
      <c r="R113" s="144"/>
      <c r="S113" s="144"/>
      <c r="T113" s="144"/>
      <c r="U113" s="144"/>
      <c r="V113" s="144"/>
      <c r="W113" s="144"/>
      <c r="X113" s="144"/>
      <c r="Y113" s="143"/>
      <c r="Z113" s="143">
        <f t="shared" si="124"/>
        <v>0</v>
      </c>
      <c r="AA113" s="9">
        <f t="shared" si="125"/>
        <v>0.375</v>
      </c>
      <c r="AB113" s="9">
        <f t="shared" si="126"/>
        <v>0</v>
      </c>
      <c r="AC113" s="9">
        <f t="shared" si="127"/>
        <v>0</v>
      </c>
      <c r="AD113" s="9">
        <f t="shared" si="128"/>
        <v>0</v>
      </c>
      <c r="AE113" s="40" t="e">
        <f t="shared" ca="1" si="129"/>
        <v>#NUM!</v>
      </c>
      <c r="AF113" s="40" t="e">
        <f t="shared" ca="1" si="130"/>
        <v>#NUM!</v>
      </c>
      <c r="AG113" s="40" t="e">
        <f t="shared" ca="1" si="131"/>
        <v>#NUM!</v>
      </c>
      <c r="AH113" s="40" t="e">
        <f t="shared" ca="1" si="132"/>
        <v>#NUM!</v>
      </c>
      <c r="AI113" s="40" t="e">
        <f t="shared" ca="1" si="133"/>
        <v>#NUM!</v>
      </c>
      <c r="AJ113" s="40" t="e">
        <f t="shared" ca="1" si="134"/>
        <v>#NUM!</v>
      </c>
      <c r="AK113" s="203" t="e">
        <f t="shared" ca="1" si="135"/>
        <v>#NUM!</v>
      </c>
      <c r="AL113" s="40" t="e">
        <f t="shared" ca="1" si="136"/>
        <v>#NUM!</v>
      </c>
      <c r="AM113" s="40" t="e">
        <f t="shared" ca="1" si="137"/>
        <v>#NUM!</v>
      </c>
      <c r="AN113" s="40" t="e">
        <f t="shared" ca="1" si="138"/>
        <v>#NUM!</v>
      </c>
      <c r="AO113" s="40" t="e">
        <f t="shared" ca="1" si="139"/>
        <v>#NUM!</v>
      </c>
      <c r="AP113" s="40" t="e">
        <f t="shared" ca="1" si="140"/>
        <v>#NUM!</v>
      </c>
      <c r="AQ113" s="40" t="e">
        <f t="shared" ca="1" si="141"/>
        <v>#NUM!</v>
      </c>
      <c r="AR113" s="40" t="e">
        <f t="shared" ca="1" si="142"/>
        <v>#NUM!</v>
      </c>
      <c r="AS113" s="40" t="e">
        <f t="shared" ca="1" si="143"/>
        <v>#NUM!</v>
      </c>
    </row>
    <row r="114" spans="1:45" x14ac:dyDescent="0.25">
      <c r="A114" s="154"/>
      <c r="B114" s="73">
        <f t="shared" si="119"/>
        <v>-59090.909090909088</v>
      </c>
      <c r="E114" s="148">
        <v>42826</v>
      </c>
      <c r="G114" s="139">
        <v>33</v>
      </c>
      <c r="H114" s="139">
        <v>0</v>
      </c>
      <c r="I114" s="49">
        <f t="shared" si="120"/>
        <v>46522</v>
      </c>
      <c r="J114" s="76">
        <v>1950000</v>
      </c>
      <c r="K114" s="40">
        <f t="shared" si="121"/>
        <v>33</v>
      </c>
      <c r="L114" s="74">
        <f t="shared" si="122"/>
        <v>1950000</v>
      </c>
      <c r="M114" s="76"/>
      <c r="N114" s="76">
        <f t="shared" si="123"/>
        <v>0</v>
      </c>
      <c r="O114" s="142"/>
      <c r="P114" s="142"/>
      <c r="Q114" s="142"/>
      <c r="R114" s="144"/>
      <c r="S114" s="144"/>
      <c r="T114" s="144"/>
      <c r="U114" s="144"/>
      <c r="V114" s="144"/>
      <c r="W114" s="144"/>
      <c r="X114" s="144"/>
      <c r="Y114" s="143"/>
      <c r="Z114" s="143">
        <f t="shared" si="124"/>
        <v>0</v>
      </c>
      <c r="AA114" s="9">
        <f t="shared" si="125"/>
        <v>0.375</v>
      </c>
      <c r="AB114" s="9">
        <f t="shared" si="126"/>
        <v>0</v>
      </c>
      <c r="AC114" s="9">
        <f t="shared" si="127"/>
        <v>0</v>
      </c>
      <c r="AD114" s="9">
        <f t="shared" si="128"/>
        <v>0</v>
      </c>
      <c r="AE114" s="40" t="e">
        <f t="shared" ca="1" si="129"/>
        <v>#NUM!</v>
      </c>
      <c r="AF114" s="40" t="e">
        <f t="shared" ca="1" si="130"/>
        <v>#NUM!</v>
      </c>
      <c r="AG114" s="40" t="e">
        <f t="shared" ca="1" si="131"/>
        <v>#NUM!</v>
      </c>
      <c r="AH114" s="40" t="e">
        <f t="shared" ca="1" si="132"/>
        <v>#NUM!</v>
      </c>
      <c r="AI114" s="40" t="e">
        <f t="shared" ca="1" si="133"/>
        <v>#NUM!</v>
      </c>
      <c r="AJ114" s="40" t="e">
        <f t="shared" ca="1" si="134"/>
        <v>#NUM!</v>
      </c>
      <c r="AK114" s="203" t="e">
        <f t="shared" ca="1" si="135"/>
        <v>#NUM!</v>
      </c>
      <c r="AL114" s="40" t="e">
        <f t="shared" ca="1" si="136"/>
        <v>#NUM!</v>
      </c>
      <c r="AM114" s="40" t="e">
        <f t="shared" ca="1" si="137"/>
        <v>#NUM!</v>
      </c>
      <c r="AN114" s="40" t="e">
        <f t="shared" ca="1" si="138"/>
        <v>#NUM!</v>
      </c>
      <c r="AO114" s="40" t="e">
        <f t="shared" ca="1" si="139"/>
        <v>#NUM!</v>
      </c>
      <c r="AP114" s="40" t="e">
        <f t="shared" ca="1" si="140"/>
        <v>#NUM!</v>
      </c>
      <c r="AQ114" s="40" t="e">
        <f t="shared" ca="1" si="141"/>
        <v>#NUM!</v>
      </c>
      <c r="AR114" s="40" t="e">
        <f t="shared" ca="1" si="142"/>
        <v>#NUM!</v>
      </c>
      <c r="AS114" s="40" t="e">
        <f t="shared" ca="1" si="143"/>
        <v>#NUM!</v>
      </c>
    </row>
    <row r="115" spans="1:45" x14ac:dyDescent="0.25">
      <c r="A115" s="154"/>
      <c r="B115" s="73">
        <f t="shared" si="119"/>
        <v>-59090.909090909088</v>
      </c>
      <c r="E115" s="148">
        <v>42826</v>
      </c>
      <c r="G115" s="139">
        <v>33</v>
      </c>
      <c r="H115" s="139">
        <v>0</v>
      </c>
      <c r="I115" s="49">
        <f t="shared" si="120"/>
        <v>46522</v>
      </c>
      <c r="J115" s="76">
        <v>1950000</v>
      </c>
      <c r="K115" s="40">
        <f t="shared" si="121"/>
        <v>33</v>
      </c>
      <c r="L115" s="74">
        <f t="shared" si="122"/>
        <v>1950000</v>
      </c>
      <c r="M115" s="76"/>
      <c r="N115" s="76">
        <f t="shared" si="123"/>
        <v>0</v>
      </c>
      <c r="O115" s="142"/>
      <c r="P115" s="142"/>
      <c r="Q115" s="142"/>
      <c r="R115" s="144"/>
      <c r="S115" s="144"/>
      <c r="T115" s="144"/>
      <c r="U115" s="144"/>
      <c r="V115" s="144"/>
      <c r="W115" s="144"/>
      <c r="X115" s="144"/>
      <c r="Y115" s="143"/>
      <c r="Z115" s="143">
        <f t="shared" si="124"/>
        <v>0</v>
      </c>
      <c r="AA115" s="9">
        <f t="shared" si="125"/>
        <v>0.375</v>
      </c>
      <c r="AB115" s="9">
        <f t="shared" si="126"/>
        <v>0</v>
      </c>
      <c r="AC115" s="9">
        <f t="shared" si="127"/>
        <v>0</v>
      </c>
      <c r="AD115" s="9">
        <f t="shared" si="128"/>
        <v>0</v>
      </c>
      <c r="AE115" s="40" t="e">
        <f t="shared" ca="1" si="129"/>
        <v>#NUM!</v>
      </c>
      <c r="AF115" s="40" t="e">
        <f t="shared" ca="1" si="130"/>
        <v>#NUM!</v>
      </c>
      <c r="AG115" s="40" t="e">
        <f t="shared" ca="1" si="131"/>
        <v>#NUM!</v>
      </c>
      <c r="AH115" s="40" t="e">
        <f t="shared" ca="1" si="132"/>
        <v>#NUM!</v>
      </c>
      <c r="AI115" s="40" t="e">
        <f t="shared" ca="1" si="133"/>
        <v>#NUM!</v>
      </c>
      <c r="AJ115" s="40" t="e">
        <f t="shared" ca="1" si="134"/>
        <v>#NUM!</v>
      </c>
      <c r="AK115" s="203" t="e">
        <f t="shared" ca="1" si="135"/>
        <v>#NUM!</v>
      </c>
      <c r="AL115" s="40" t="e">
        <f t="shared" ca="1" si="136"/>
        <v>#NUM!</v>
      </c>
      <c r="AM115" s="40" t="e">
        <f t="shared" ca="1" si="137"/>
        <v>#NUM!</v>
      </c>
      <c r="AN115" s="40" t="e">
        <f t="shared" ca="1" si="138"/>
        <v>#NUM!</v>
      </c>
      <c r="AO115" s="40" t="e">
        <f t="shared" ca="1" si="139"/>
        <v>#NUM!</v>
      </c>
      <c r="AP115" s="40" t="e">
        <f t="shared" ca="1" si="140"/>
        <v>#NUM!</v>
      </c>
      <c r="AQ115" s="40" t="e">
        <f t="shared" ca="1" si="141"/>
        <v>#NUM!</v>
      </c>
      <c r="AR115" s="40" t="e">
        <f t="shared" ca="1" si="142"/>
        <v>#NUM!</v>
      </c>
      <c r="AS115" s="40" t="e">
        <f t="shared" ca="1" si="143"/>
        <v>#NUM!</v>
      </c>
    </row>
    <row r="116" spans="1:45" x14ac:dyDescent="0.25">
      <c r="A116" s="154"/>
      <c r="B116" s="73">
        <f t="shared" si="119"/>
        <v>-59090.909090909088</v>
      </c>
      <c r="E116" s="148">
        <v>42826</v>
      </c>
      <c r="G116" s="139">
        <v>33</v>
      </c>
      <c r="H116" s="139">
        <v>0</v>
      </c>
      <c r="I116" s="49">
        <f t="shared" si="120"/>
        <v>46522</v>
      </c>
      <c r="J116" s="76">
        <v>1950000</v>
      </c>
      <c r="K116" s="40">
        <f t="shared" si="121"/>
        <v>33</v>
      </c>
      <c r="L116" s="74">
        <f t="shared" si="122"/>
        <v>1950000</v>
      </c>
      <c r="M116" s="76"/>
      <c r="N116" s="76">
        <f t="shared" si="123"/>
        <v>0</v>
      </c>
      <c r="O116" s="142"/>
      <c r="P116" s="142"/>
      <c r="Q116" s="142"/>
      <c r="R116" s="144"/>
      <c r="S116" s="144"/>
      <c r="T116" s="144"/>
      <c r="U116" s="144"/>
      <c r="V116" s="144"/>
      <c r="W116" s="144"/>
      <c r="X116" s="144"/>
      <c r="Y116" s="143"/>
      <c r="Z116" s="143">
        <f t="shared" si="124"/>
        <v>0</v>
      </c>
      <c r="AA116" s="9">
        <f t="shared" si="125"/>
        <v>0.375</v>
      </c>
      <c r="AB116" s="9">
        <f t="shared" si="126"/>
        <v>0</v>
      </c>
      <c r="AC116" s="9">
        <f t="shared" si="127"/>
        <v>0</v>
      </c>
      <c r="AD116" s="9">
        <f t="shared" si="128"/>
        <v>0</v>
      </c>
      <c r="AE116" s="40" t="e">
        <f t="shared" ca="1" si="129"/>
        <v>#NUM!</v>
      </c>
      <c r="AF116" s="40" t="e">
        <f t="shared" ca="1" si="130"/>
        <v>#NUM!</v>
      </c>
      <c r="AG116" s="40" t="e">
        <f t="shared" ca="1" si="131"/>
        <v>#NUM!</v>
      </c>
      <c r="AH116" s="40" t="e">
        <f t="shared" ca="1" si="132"/>
        <v>#NUM!</v>
      </c>
      <c r="AI116" s="40" t="e">
        <f t="shared" ca="1" si="133"/>
        <v>#NUM!</v>
      </c>
      <c r="AJ116" s="40" t="e">
        <f t="shared" ca="1" si="134"/>
        <v>#NUM!</v>
      </c>
      <c r="AK116" s="203" t="e">
        <f t="shared" ca="1" si="135"/>
        <v>#NUM!</v>
      </c>
      <c r="AL116" s="40" t="e">
        <f t="shared" ca="1" si="136"/>
        <v>#NUM!</v>
      </c>
      <c r="AM116" s="40" t="e">
        <f t="shared" ca="1" si="137"/>
        <v>#NUM!</v>
      </c>
      <c r="AN116" s="40" t="e">
        <f t="shared" ca="1" si="138"/>
        <v>#NUM!</v>
      </c>
      <c r="AO116" s="40" t="e">
        <f t="shared" ca="1" si="139"/>
        <v>#NUM!</v>
      </c>
      <c r="AP116" s="40" t="e">
        <f t="shared" ca="1" si="140"/>
        <v>#NUM!</v>
      </c>
      <c r="AQ116" s="40" t="e">
        <f t="shared" ca="1" si="141"/>
        <v>#NUM!</v>
      </c>
      <c r="AR116" s="40" t="e">
        <f t="shared" ca="1" si="142"/>
        <v>#NUM!</v>
      </c>
      <c r="AS116" s="40" t="e">
        <f t="shared" ca="1" si="143"/>
        <v>#NUM!</v>
      </c>
    </row>
    <row r="117" spans="1:45" x14ac:dyDescent="0.25">
      <c r="A117" s="154"/>
      <c r="B117" s="73">
        <f t="shared" si="119"/>
        <v>-59090.909090909088</v>
      </c>
      <c r="E117" s="148">
        <v>42826</v>
      </c>
      <c r="G117" s="139">
        <v>33</v>
      </c>
      <c r="H117" s="139">
        <v>0</v>
      </c>
      <c r="I117" s="49">
        <f t="shared" si="120"/>
        <v>46522</v>
      </c>
      <c r="J117" s="76">
        <v>1950000</v>
      </c>
      <c r="K117" s="40">
        <f t="shared" si="121"/>
        <v>33</v>
      </c>
      <c r="L117" s="74">
        <f t="shared" si="122"/>
        <v>1950000</v>
      </c>
      <c r="M117" s="76"/>
      <c r="N117" s="76">
        <f t="shared" si="123"/>
        <v>0</v>
      </c>
      <c r="O117" s="142"/>
      <c r="P117" s="142"/>
      <c r="Q117" s="142"/>
      <c r="R117" s="144"/>
      <c r="S117" s="144"/>
      <c r="T117" s="144"/>
      <c r="U117" s="144"/>
      <c r="V117" s="144"/>
      <c r="W117" s="144"/>
      <c r="X117" s="144"/>
      <c r="Y117" s="143"/>
      <c r="Z117" s="143">
        <f t="shared" si="124"/>
        <v>0</v>
      </c>
      <c r="AA117" s="9">
        <f t="shared" si="125"/>
        <v>0.375</v>
      </c>
      <c r="AB117" s="9">
        <f t="shared" si="126"/>
        <v>0</v>
      </c>
      <c r="AC117" s="9">
        <f t="shared" si="127"/>
        <v>0</v>
      </c>
      <c r="AD117" s="9">
        <f t="shared" si="128"/>
        <v>0</v>
      </c>
      <c r="AE117" s="40" t="e">
        <f t="shared" ca="1" si="129"/>
        <v>#NUM!</v>
      </c>
      <c r="AF117" s="40" t="e">
        <f t="shared" ca="1" si="130"/>
        <v>#NUM!</v>
      </c>
      <c r="AG117" s="40" t="e">
        <f t="shared" ca="1" si="131"/>
        <v>#NUM!</v>
      </c>
      <c r="AH117" s="40" t="e">
        <f t="shared" ca="1" si="132"/>
        <v>#NUM!</v>
      </c>
      <c r="AI117" s="40" t="e">
        <f t="shared" ca="1" si="133"/>
        <v>#NUM!</v>
      </c>
      <c r="AJ117" s="40" t="e">
        <f t="shared" ca="1" si="134"/>
        <v>#NUM!</v>
      </c>
      <c r="AK117" s="203" t="e">
        <f t="shared" ca="1" si="135"/>
        <v>#NUM!</v>
      </c>
      <c r="AL117" s="40" t="e">
        <f t="shared" ca="1" si="136"/>
        <v>#NUM!</v>
      </c>
      <c r="AM117" s="40" t="e">
        <f t="shared" ca="1" si="137"/>
        <v>#NUM!</v>
      </c>
      <c r="AN117" s="40" t="e">
        <f t="shared" ca="1" si="138"/>
        <v>#NUM!</v>
      </c>
      <c r="AO117" s="40" t="e">
        <f t="shared" ca="1" si="139"/>
        <v>#NUM!</v>
      </c>
      <c r="AP117" s="40" t="e">
        <f t="shared" ca="1" si="140"/>
        <v>#NUM!</v>
      </c>
      <c r="AQ117" s="40" t="e">
        <f t="shared" ca="1" si="141"/>
        <v>#NUM!</v>
      </c>
      <c r="AR117" s="40" t="e">
        <f t="shared" ca="1" si="142"/>
        <v>#NUM!</v>
      </c>
      <c r="AS117" s="40" t="e">
        <f t="shared" ca="1" si="143"/>
        <v>#NUM!</v>
      </c>
    </row>
    <row r="118" spans="1:45" x14ac:dyDescent="0.25">
      <c r="A118" s="154"/>
      <c r="B118" s="73">
        <f t="shared" si="119"/>
        <v>-59090.909090909088</v>
      </c>
      <c r="E118" s="148">
        <v>42826</v>
      </c>
      <c r="G118" s="139">
        <v>33</v>
      </c>
      <c r="H118" s="139">
        <v>0</v>
      </c>
      <c r="I118" s="49">
        <f t="shared" si="120"/>
        <v>46522</v>
      </c>
      <c r="J118" s="76">
        <v>1950000</v>
      </c>
      <c r="K118" s="40">
        <f t="shared" si="121"/>
        <v>33</v>
      </c>
      <c r="L118" s="74">
        <f t="shared" si="122"/>
        <v>1950000</v>
      </c>
      <c r="M118" s="76"/>
      <c r="N118" s="76">
        <f t="shared" si="123"/>
        <v>0</v>
      </c>
      <c r="O118" s="142"/>
      <c r="P118" s="142"/>
      <c r="Q118" s="142"/>
      <c r="R118" s="144"/>
      <c r="S118" s="144"/>
      <c r="T118" s="144"/>
      <c r="U118" s="144"/>
      <c r="V118" s="144"/>
      <c r="W118" s="144"/>
      <c r="X118" s="144"/>
      <c r="Y118" s="143"/>
      <c r="Z118" s="143">
        <f t="shared" si="124"/>
        <v>0</v>
      </c>
      <c r="AA118" s="9">
        <f t="shared" si="125"/>
        <v>0.375</v>
      </c>
      <c r="AB118" s="9">
        <f t="shared" si="126"/>
        <v>0</v>
      </c>
      <c r="AC118" s="9">
        <f t="shared" si="127"/>
        <v>0</v>
      </c>
      <c r="AD118" s="9">
        <f t="shared" si="128"/>
        <v>0</v>
      </c>
      <c r="AE118" s="40" t="e">
        <f t="shared" ca="1" si="129"/>
        <v>#NUM!</v>
      </c>
      <c r="AF118" s="40" t="e">
        <f t="shared" ca="1" si="130"/>
        <v>#NUM!</v>
      </c>
      <c r="AG118" s="40" t="e">
        <f t="shared" ca="1" si="131"/>
        <v>#NUM!</v>
      </c>
      <c r="AH118" s="40" t="e">
        <f t="shared" ca="1" si="132"/>
        <v>#NUM!</v>
      </c>
      <c r="AI118" s="40" t="e">
        <f t="shared" ca="1" si="133"/>
        <v>#NUM!</v>
      </c>
      <c r="AJ118" s="40" t="e">
        <f t="shared" ca="1" si="134"/>
        <v>#NUM!</v>
      </c>
      <c r="AK118" s="203" t="e">
        <f t="shared" ca="1" si="135"/>
        <v>#NUM!</v>
      </c>
      <c r="AL118" s="40" t="e">
        <f t="shared" ca="1" si="136"/>
        <v>#NUM!</v>
      </c>
      <c r="AM118" s="40" t="e">
        <f t="shared" ca="1" si="137"/>
        <v>#NUM!</v>
      </c>
      <c r="AN118" s="40" t="e">
        <f t="shared" ca="1" si="138"/>
        <v>#NUM!</v>
      </c>
      <c r="AO118" s="40" t="e">
        <f t="shared" ca="1" si="139"/>
        <v>#NUM!</v>
      </c>
      <c r="AP118" s="40" t="e">
        <f t="shared" ca="1" si="140"/>
        <v>#NUM!</v>
      </c>
      <c r="AQ118" s="40" t="e">
        <f t="shared" ca="1" si="141"/>
        <v>#NUM!</v>
      </c>
      <c r="AR118" s="40" t="e">
        <f t="shared" ca="1" si="142"/>
        <v>#NUM!</v>
      </c>
      <c r="AS118" s="40" t="e">
        <f t="shared" ca="1" si="143"/>
        <v>#NUM!</v>
      </c>
    </row>
    <row r="119" spans="1:45" x14ac:dyDescent="0.25">
      <c r="A119" s="154"/>
      <c r="B119" s="73">
        <f t="shared" si="119"/>
        <v>-59090.909090909088</v>
      </c>
      <c r="E119" s="148">
        <v>42826</v>
      </c>
      <c r="G119" s="139">
        <v>33</v>
      </c>
      <c r="H119" s="139">
        <v>0</v>
      </c>
      <c r="I119" s="49">
        <f t="shared" si="120"/>
        <v>46522</v>
      </c>
      <c r="J119" s="76">
        <v>1950000</v>
      </c>
      <c r="K119" s="40">
        <f t="shared" si="121"/>
        <v>33</v>
      </c>
      <c r="L119" s="74">
        <f t="shared" si="122"/>
        <v>1950000</v>
      </c>
      <c r="M119" s="76"/>
      <c r="N119" s="76">
        <f t="shared" si="123"/>
        <v>0</v>
      </c>
      <c r="O119" s="142"/>
      <c r="P119" s="142"/>
      <c r="Q119" s="142"/>
      <c r="R119" s="144"/>
      <c r="S119" s="144"/>
      <c r="T119" s="144"/>
      <c r="U119" s="144"/>
      <c r="V119" s="144"/>
      <c r="W119" s="144"/>
      <c r="X119" s="144"/>
      <c r="Y119" s="143"/>
      <c r="Z119" s="143">
        <f t="shared" si="124"/>
        <v>0</v>
      </c>
      <c r="AA119" s="9">
        <f t="shared" si="125"/>
        <v>0.375</v>
      </c>
      <c r="AB119" s="9">
        <f t="shared" si="126"/>
        <v>0</v>
      </c>
      <c r="AC119" s="9">
        <f t="shared" si="127"/>
        <v>0</v>
      </c>
      <c r="AD119" s="9">
        <f t="shared" si="128"/>
        <v>0</v>
      </c>
      <c r="AE119" s="40" t="e">
        <f t="shared" ca="1" si="129"/>
        <v>#NUM!</v>
      </c>
      <c r="AF119" s="40" t="e">
        <f t="shared" ca="1" si="130"/>
        <v>#NUM!</v>
      </c>
      <c r="AG119" s="40" t="e">
        <f t="shared" ca="1" si="131"/>
        <v>#NUM!</v>
      </c>
      <c r="AH119" s="40" t="e">
        <f t="shared" ca="1" si="132"/>
        <v>#NUM!</v>
      </c>
      <c r="AI119" s="40" t="e">
        <f t="shared" ca="1" si="133"/>
        <v>#NUM!</v>
      </c>
      <c r="AJ119" s="40" t="e">
        <f t="shared" ca="1" si="134"/>
        <v>#NUM!</v>
      </c>
      <c r="AK119" s="203" t="e">
        <f t="shared" ca="1" si="135"/>
        <v>#NUM!</v>
      </c>
      <c r="AL119" s="40" t="e">
        <f t="shared" ca="1" si="136"/>
        <v>#NUM!</v>
      </c>
      <c r="AM119" s="40" t="e">
        <f t="shared" ca="1" si="137"/>
        <v>#NUM!</v>
      </c>
      <c r="AN119" s="40" t="e">
        <f t="shared" ca="1" si="138"/>
        <v>#NUM!</v>
      </c>
      <c r="AO119" s="40" t="e">
        <f t="shared" ca="1" si="139"/>
        <v>#NUM!</v>
      </c>
      <c r="AP119" s="40" t="e">
        <f t="shared" ca="1" si="140"/>
        <v>#NUM!</v>
      </c>
      <c r="AQ119" s="40" t="e">
        <f t="shared" ca="1" si="141"/>
        <v>#NUM!</v>
      </c>
      <c r="AR119" s="40" t="e">
        <f t="shared" ca="1" si="142"/>
        <v>#NUM!</v>
      </c>
      <c r="AS119" s="40" t="e">
        <f t="shared" ca="1" si="143"/>
        <v>#NUM!</v>
      </c>
    </row>
    <row r="120" spans="1:45" x14ac:dyDescent="0.25">
      <c r="A120" s="154"/>
      <c r="B120" s="73">
        <f t="shared" si="119"/>
        <v>-59090.909090909088</v>
      </c>
      <c r="E120" s="148">
        <v>42826</v>
      </c>
      <c r="G120" s="139">
        <v>33</v>
      </c>
      <c r="H120" s="139">
        <v>0</v>
      </c>
      <c r="I120" s="49">
        <f t="shared" si="120"/>
        <v>46522</v>
      </c>
      <c r="J120" s="76">
        <v>1950000</v>
      </c>
      <c r="K120" s="40">
        <f t="shared" si="121"/>
        <v>33</v>
      </c>
      <c r="L120" s="74">
        <f t="shared" si="122"/>
        <v>1950000</v>
      </c>
      <c r="M120" s="76"/>
      <c r="N120" s="76">
        <f t="shared" si="123"/>
        <v>0</v>
      </c>
      <c r="O120" s="142"/>
      <c r="P120" s="142"/>
      <c r="Q120" s="142"/>
      <c r="R120" s="144"/>
      <c r="S120" s="144"/>
      <c r="T120" s="144"/>
      <c r="U120" s="144"/>
      <c r="V120" s="144"/>
      <c r="W120" s="144"/>
      <c r="X120" s="144"/>
      <c r="Y120" s="143"/>
      <c r="Z120" s="143">
        <f t="shared" si="124"/>
        <v>0</v>
      </c>
      <c r="AA120" s="9">
        <f t="shared" si="125"/>
        <v>0.375</v>
      </c>
      <c r="AB120" s="9">
        <f t="shared" si="126"/>
        <v>0</v>
      </c>
      <c r="AC120" s="9">
        <f t="shared" si="127"/>
        <v>0</v>
      </c>
      <c r="AD120" s="9">
        <f t="shared" si="128"/>
        <v>0</v>
      </c>
      <c r="AE120" s="40" t="e">
        <f t="shared" ca="1" si="129"/>
        <v>#NUM!</v>
      </c>
      <c r="AF120" s="40" t="e">
        <f t="shared" ca="1" si="130"/>
        <v>#NUM!</v>
      </c>
      <c r="AG120" s="40" t="e">
        <f t="shared" ca="1" si="131"/>
        <v>#NUM!</v>
      </c>
      <c r="AH120" s="40" t="e">
        <f t="shared" ca="1" si="132"/>
        <v>#NUM!</v>
      </c>
      <c r="AI120" s="40" t="e">
        <f t="shared" ca="1" si="133"/>
        <v>#NUM!</v>
      </c>
      <c r="AJ120" s="40" t="e">
        <f t="shared" ca="1" si="134"/>
        <v>#NUM!</v>
      </c>
      <c r="AK120" s="203" t="e">
        <f t="shared" ca="1" si="135"/>
        <v>#NUM!</v>
      </c>
      <c r="AL120" s="40" t="e">
        <f t="shared" ca="1" si="136"/>
        <v>#NUM!</v>
      </c>
      <c r="AM120" s="40" t="e">
        <f t="shared" ca="1" si="137"/>
        <v>#NUM!</v>
      </c>
      <c r="AN120" s="40" t="e">
        <f t="shared" ca="1" si="138"/>
        <v>#NUM!</v>
      </c>
      <c r="AO120" s="40" t="e">
        <f t="shared" ca="1" si="139"/>
        <v>#NUM!</v>
      </c>
      <c r="AP120" s="40" t="e">
        <f t="shared" ca="1" si="140"/>
        <v>#NUM!</v>
      </c>
      <c r="AQ120" s="40" t="e">
        <f t="shared" ca="1" si="141"/>
        <v>#NUM!</v>
      </c>
      <c r="AR120" s="40" t="e">
        <f t="shared" ca="1" si="142"/>
        <v>#NUM!</v>
      </c>
      <c r="AS120" s="40" t="e">
        <f t="shared" ca="1" si="143"/>
        <v>#NUM!</v>
      </c>
    </row>
    <row r="121" spans="1:45" x14ac:dyDescent="0.25">
      <c r="A121" s="154"/>
      <c r="B121" s="73">
        <f t="shared" si="119"/>
        <v>-59090.909090909088</v>
      </c>
      <c r="E121" s="148">
        <v>42826</v>
      </c>
      <c r="G121" s="139">
        <v>33</v>
      </c>
      <c r="H121" s="139">
        <v>0</v>
      </c>
      <c r="I121" s="49">
        <f t="shared" si="120"/>
        <v>46522</v>
      </c>
      <c r="J121" s="76">
        <v>1950000</v>
      </c>
      <c r="K121" s="40">
        <f t="shared" si="121"/>
        <v>33</v>
      </c>
      <c r="L121" s="74">
        <f t="shared" si="122"/>
        <v>1950000</v>
      </c>
      <c r="M121" s="76"/>
      <c r="N121" s="76">
        <f t="shared" si="123"/>
        <v>0</v>
      </c>
      <c r="O121" s="142"/>
      <c r="P121" s="142"/>
      <c r="Q121" s="142"/>
      <c r="R121" s="144"/>
      <c r="S121" s="144"/>
      <c r="T121" s="144"/>
      <c r="U121" s="144"/>
      <c r="V121" s="144"/>
      <c r="W121" s="144"/>
      <c r="X121" s="144"/>
      <c r="Y121" s="143"/>
      <c r="Z121" s="143">
        <f t="shared" si="124"/>
        <v>0</v>
      </c>
      <c r="AA121" s="9">
        <f t="shared" si="125"/>
        <v>0.375</v>
      </c>
      <c r="AB121" s="9">
        <f t="shared" si="126"/>
        <v>0</v>
      </c>
      <c r="AC121" s="9">
        <f t="shared" si="127"/>
        <v>0</v>
      </c>
      <c r="AD121" s="9">
        <f t="shared" si="128"/>
        <v>0</v>
      </c>
      <c r="AE121" s="40" t="e">
        <f t="shared" ca="1" si="129"/>
        <v>#NUM!</v>
      </c>
      <c r="AF121" s="40" t="e">
        <f t="shared" ca="1" si="130"/>
        <v>#NUM!</v>
      </c>
      <c r="AG121" s="40" t="e">
        <f t="shared" ca="1" si="131"/>
        <v>#NUM!</v>
      </c>
      <c r="AH121" s="40" t="e">
        <f t="shared" ca="1" si="132"/>
        <v>#NUM!</v>
      </c>
      <c r="AI121" s="40" t="e">
        <f t="shared" ca="1" si="133"/>
        <v>#NUM!</v>
      </c>
      <c r="AJ121" s="40" t="e">
        <f t="shared" ca="1" si="134"/>
        <v>#NUM!</v>
      </c>
      <c r="AK121" s="203" t="e">
        <f t="shared" ca="1" si="135"/>
        <v>#NUM!</v>
      </c>
      <c r="AL121" s="40" t="e">
        <f t="shared" ca="1" si="136"/>
        <v>#NUM!</v>
      </c>
      <c r="AM121" s="40" t="e">
        <f t="shared" ca="1" si="137"/>
        <v>#NUM!</v>
      </c>
      <c r="AN121" s="40" t="e">
        <f t="shared" ca="1" si="138"/>
        <v>#NUM!</v>
      </c>
      <c r="AO121" s="40" t="e">
        <f t="shared" ca="1" si="139"/>
        <v>#NUM!</v>
      </c>
      <c r="AP121" s="40" t="e">
        <f t="shared" ca="1" si="140"/>
        <v>#NUM!</v>
      </c>
      <c r="AQ121" s="40" t="e">
        <f t="shared" ca="1" si="141"/>
        <v>#NUM!</v>
      </c>
      <c r="AR121" s="40" t="e">
        <f t="shared" ca="1" si="142"/>
        <v>#NUM!</v>
      </c>
      <c r="AS121" s="40" t="e">
        <f t="shared" ca="1" si="143"/>
        <v>#NUM!</v>
      </c>
    </row>
    <row r="122" spans="1:45" x14ac:dyDescent="0.25">
      <c r="A122" s="154"/>
      <c r="B122" s="73">
        <f t="shared" si="119"/>
        <v>-59090.909090909088</v>
      </c>
      <c r="E122" s="148">
        <v>42826</v>
      </c>
      <c r="G122" s="139">
        <v>33</v>
      </c>
      <c r="H122" s="139">
        <v>0</v>
      </c>
      <c r="I122" s="49">
        <f t="shared" si="120"/>
        <v>46522</v>
      </c>
      <c r="J122" s="76">
        <v>1950000</v>
      </c>
      <c r="K122" s="40">
        <f t="shared" si="121"/>
        <v>33</v>
      </c>
      <c r="L122" s="74">
        <f t="shared" si="122"/>
        <v>1950000</v>
      </c>
      <c r="M122" s="76"/>
      <c r="N122" s="76">
        <f t="shared" si="123"/>
        <v>0</v>
      </c>
      <c r="O122" s="142"/>
      <c r="P122" s="142"/>
      <c r="Q122" s="142"/>
      <c r="R122" s="144"/>
      <c r="S122" s="144"/>
      <c r="T122" s="144"/>
      <c r="U122" s="144"/>
      <c r="V122" s="144"/>
      <c r="W122" s="144"/>
      <c r="X122" s="144"/>
      <c r="Y122" s="143"/>
      <c r="Z122" s="143">
        <f t="shared" si="124"/>
        <v>0</v>
      </c>
      <c r="AA122" s="9">
        <f t="shared" si="125"/>
        <v>0.375</v>
      </c>
      <c r="AB122" s="9">
        <f t="shared" si="126"/>
        <v>0</v>
      </c>
      <c r="AC122" s="9">
        <f t="shared" si="127"/>
        <v>0</v>
      </c>
      <c r="AD122" s="9">
        <f t="shared" si="128"/>
        <v>0</v>
      </c>
      <c r="AE122" s="40" t="e">
        <f t="shared" ca="1" si="129"/>
        <v>#NUM!</v>
      </c>
      <c r="AF122" s="40" t="e">
        <f t="shared" ca="1" si="130"/>
        <v>#NUM!</v>
      </c>
      <c r="AG122" s="40" t="e">
        <f t="shared" ca="1" si="131"/>
        <v>#NUM!</v>
      </c>
      <c r="AH122" s="40" t="e">
        <f t="shared" ca="1" si="132"/>
        <v>#NUM!</v>
      </c>
      <c r="AI122" s="40" t="e">
        <f t="shared" ca="1" si="133"/>
        <v>#NUM!</v>
      </c>
      <c r="AJ122" s="40" t="e">
        <f t="shared" ca="1" si="134"/>
        <v>#NUM!</v>
      </c>
      <c r="AK122" s="203" t="e">
        <f t="shared" ca="1" si="135"/>
        <v>#NUM!</v>
      </c>
      <c r="AL122" s="40" t="e">
        <f t="shared" ca="1" si="136"/>
        <v>#NUM!</v>
      </c>
      <c r="AM122" s="40" t="e">
        <f t="shared" ca="1" si="137"/>
        <v>#NUM!</v>
      </c>
      <c r="AN122" s="40" t="e">
        <f t="shared" ca="1" si="138"/>
        <v>#NUM!</v>
      </c>
      <c r="AO122" s="40" t="e">
        <f t="shared" ca="1" si="139"/>
        <v>#NUM!</v>
      </c>
      <c r="AP122" s="40" t="e">
        <f t="shared" ca="1" si="140"/>
        <v>#NUM!</v>
      </c>
      <c r="AQ122" s="40" t="e">
        <f t="shared" ca="1" si="141"/>
        <v>#NUM!</v>
      </c>
      <c r="AR122" s="40" t="e">
        <f t="shared" ca="1" si="142"/>
        <v>#NUM!</v>
      </c>
      <c r="AS122" s="40" t="e">
        <f t="shared" ca="1" si="143"/>
        <v>#NUM!</v>
      </c>
    </row>
    <row r="123" spans="1:45" x14ac:dyDescent="0.25">
      <c r="A123" s="154"/>
      <c r="B123" s="73">
        <f t="shared" si="119"/>
        <v>-59090.909090909088</v>
      </c>
      <c r="E123" s="148">
        <v>42826</v>
      </c>
      <c r="G123" s="139">
        <v>33</v>
      </c>
      <c r="H123" s="139">
        <v>0</v>
      </c>
      <c r="I123" s="49">
        <f t="shared" si="120"/>
        <v>46522</v>
      </c>
      <c r="J123" s="76">
        <v>1950000</v>
      </c>
      <c r="K123" s="40">
        <f t="shared" si="121"/>
        <v>33</v>
      </c>
      <c r="L123" s="74">
        <f t="shared" si="122"/>
        <v>1950000</v>
      </c>
      <c r="M123" s="76"/>
      <c r="N123" s="76">
        <f t="shared" si="123"/>
        <v>0</v>
      </c>
      <c r="O123" s="142"/>
      <c r="P123" s="142"/>
      <c r="Q123" s="142"/>
      <c r="R123" s="144"/>
      <c r="S123" s="144"/>
      <c r="T123" s="144"/>
      <c r="U123" s="144"/>
      <c r="V123" s="144"/>
      <c r="W123" s="144"/>
      <c r="X123" s="144"/>
      <c r="Y123" s="143"/>
      <c r="Z123" s="143">
        <f t="shared" si="124"/>
        <v>0</v>
      </c>
      <c r="AA123" s="9">
        <f t="shared" si="125"/>
        <v>0.375</v>
      </c>
      <c r="AB123" s="9">
        <f t="shared" si="126"/>
        <v>0</v>
      </c>
      <c r="AC123" s="9">
        <f t="shared" si="127"/>
        <v>0</v>
      </c>
      <c r="AD123" s="9">
        <f t="shared" si="128"/>
        <v>0</v>
      </c>
      <c r="AE123" s="40" t="e">
        <f t="shared" ca="1" si="129"/>
        <v>#NUM!</v>
      </c>
      <c r="AF123" s="40" t="e">
        <f t="shared" ca="1" si="130"/>
        <v>#NUM!</v>
      </c>
      <c r="AG123" s="40" t="e">
        <f t="shared" ca="1" si="131"/>
        <v>#NUM!</v>
      </c>
      <c r="AH123" s="40" t="e">
        <f t="shared" ca="1" si="132"/>
        <v>#NUM!</v>
      </c>
      <c r="AI123" s="40" t="e">
        <f t="shared" ca="1" si="133"/>
        <v>#NUM!</v>
      </c>
      <c r="AJ123" s="40" t="e">
        <f t="shared" ca="1" si="134"/>
        <v>#NUM!</v>
      </c>
      <c r="AK123" s="203" t="e">
        <f t="shared" ca="1" si="135"/>
        <v>#NUM!</v>
      </c>
      <c r="AL123" s="40" t="e">
        <f t="shared" ca="1" si="136"/>
        <v>#NUM!</v>
      </c>
      <c r="AM123" s="40" t="e">
        <f t="shared" ca="1" si="137"/>
        <v>#NUM!</v>
      </c>
      <c r="AN123" s="40" t="e">
        <f t="shared" ca="1" si="138"/>
        <v>#NUM!</v>
      </c>
      <c r="AO123" s="40" t="e">
        <f t="shared" ca="1" si="139"/>
        <v>#NUM!</v>
      </c>
      <c r="AP123" s="40" t="e">
        <f t="shared" ca="1" si="140"/>
        <v>#NUM!</v>
      </c>
      <c r="AQ123" s="40" t="e">
        <f t="shared" ca="1" si="141"/>
        <v>#NUM!</v>
      </c>
      <c r="AR123" s="40" t="e">
        <f t="shared" ca="1" si="142"/>
        <v>#NUM!</v>
      </c>
      <c r="AS123" s="40" t="e">
        <f t="shared" ca="1" si="143"/>
        <v>#NUM!</v>
      </c>
    </row>
    <row r="124" spans="1:45" x14ac:dyDescent="0.25">
      <c r="A124" s="154"/>
      <c r="B124" s="73">
        <f t="shared" si="119"/>
        <v>-59090.909090909088</v>
      </c>
      <c r="E124" s="148">
        <v>42826</v>
      </c>
      <c r="G124" s="139">
        <v>33</v>
      </c>
      <c r="H124" s="139">
        <v>0</v>
      </c>
      <c r="I124" s="49">
        <f t="shared" si="120"/>
        <v>46522</v>
      </c>
      <c r="J124" s="76">
        <v>1950000</v>
      </c>
      <c r="K124" s="40">
        <f t="shared" si="121"/>
        <v>33</v>
      </c>
      <c r="L124" s="74">
        <f t="shared" si="122"/>
        <v>1950000</v>
      </c>
      <c r="M124" s="76"/>
      <c r="N124" s="76">
        <f t="shared" si="123"/>
        <v>0</v>
      </c>
      <c r="O124" s="142"/>
      <c r="P124" s="142"/>
      <c r="Q124" s="142"/>
      <c r="R124" s="144"/>
      <c r="S124" s="144"/>
      <c r="T124" s="144"/>
      <c r="U124" s="144"/>
      <c r="V124" s="144"/>
      <c r="W124" s="144"/>
      <c r="X124" s="144"/>
      <c r="Y124" s="143"/>
      <c r="Z124" s="143">
        <f t="shared" si="124"/>
        <v>0</v>
      </c>
      <c r="AA124" s="9">
        <f t="shared" si="125"/>
        <v>0.375</v>
      </c>
      <c r="AB124" s="9">
        <f t="shared" si="126"/>
        <v>0</v>
      </c>
      <c r="AC124" s="9">
        <f t="shared" si="127"/>
        <v>0</v>
      </c>
      <c r="AD124" s="9">
        <f t="shared" si="128"/>
        <v>0</v>
      </c>
      <c r="AE124" s="40" t="e">
        <f t="shared" ca="1" si="129"/>
        <v>#NUM!</v>
      </c>
      <c r="AF124" s="40" t="e">
        <f t="shared" ca="1" si="130"/>
        <v>#NUM!</v>
      </c>
      <c r="AG124" s="40" t="e">
        <f t="shared" ca="1" si="131"/>
        <v>#NUM!</v>
      </c>
      <c r="AH124" s="40" t="e">
        <f t="shared" ca="1" si="132"/>
        <v>#NUM!</v>
      </c>
      <c r="AI124" s="40" t="e">
        <f t="shared" ca="1" si="133"/>
        <v>#NUM!</v>
      </c>
      <c r="AJ124" s="40" t="e">
        <f t="shared" ca="1" si="134"/>
        <v>#NUM!</v>
      </c>
      <c r="AK124" s="203" t="e">
        <f t="shared" ca="1" si="135"/>
        <v>#NUM!</v>
      </c>
      <c r="AL124" s="40" t="e">
        <f t="shared" ca="1" si="136"/>
        <v>#NUM!</v>
      </c>
      <c r="AM124" s="40" t="e">
        <f t="shared" ca="1" si="137"/>
        <v>#NUM!</v>
      </c>
      <c r="AN124" s="40" t="e">
        <f t="shared" ca="1" si="138"/>
        <v>#NUM!</v>
      </c>
      <c r="AO124" s="40" t="e">
        <f t="shared" ca="1" si="139"/>
        <v>#NUM!</v>
      </c>
      <c r="AP124" s="40" t="e">
        <f t="shared" ca="1" si="140"/>
        <v>#NUM!</v>
      </c>
      <c r="AQ124" s="40" t="e">
        <f t="shared" ca="1" si="141"/>
        <v>#NUM!</v>
      </c>
      <c r="AR124" s="40" t="e">
        <f t="shared" ca="1" si="142"/>
        <v>#NUM!</v>
      </c>
      <c r="AS124" s="40" t="e">
        <f t="shared" ca="1" si="143"/>
        <v>#NUM!</v>
      </c>
    </row>
    <row r="125" spans="1:45" x14ac:dyDescent="0.25">
      <c r="A125" s="154"/>
      <c r="B125" s="73">
        <f t="shared" si="119"/>
        <v>-59090.909090909088</v>
      </c>
      <c r="E125" s="148">
        <v>42826</v>
      </c>
      <c r="G125" s="139">
        <v>33</v>
      </c>
      <c r="H125" s="139">
        <v>0</v>
      </c>
      <c r="I125" s="49">
        <f t="shared" si="120"/>
        <v>46522</v>
      </c>
      <c r="J125" s="76">
        <v>1950000</v>
      </c>
      <c r="K125" s="40">
        <f t="shared" si="121"/>
        <v>33</v>
      </c>
      <c r="L125" s="74">
        <f t="shared" si="122"/>
        <v>1950000</v>
      </c>
      <c r="M125" s="76"/>
      <c r="N125" s="76">
        <f t="shared" si="123"/>
        <v>0</v>
      </c>
      <c r="O125" s="142"/>
      <c r="P125" s="142"/>
      <c r="Q125" s="142"/>
      <c r="R125" s="144"/>
      <c r="S125" s="144"/>
      <c r="T125" s="144"/>
      <c r="U125" s="144"/>
      <c r="V125" s="144"/>
      <c r="W125" s="144"/>
      <c r="X125" s="144"/>
      <c r="Y125" s="143"/>
      <c r="Z125" s="143">
        <f t="shared" si="124"/>
        <v>0</v>
      </c>
      <c r="AA125" s="9">
        <f t="shared" si="125"/>
        <v>0.375</v>
      </c>
      <c r="AB125" s="9">
        <f t="shared" si="126"/>
        <v>0</v>
      </c>
      <c r="AC125" s="9">
        <f t="shared" si="127"/>
        <v>0</v>
      </c>
      <c r="AD125" s="9">
        <f t="shared" si="128"/>
        <v>0</v>
      </c>
      <c r="AE125" s="40" t="e">
        <f t="shared" ca="1" si="129"/>
        <v>#NUM!</v>
      </c>
      <c r="AF125" s="40" t="e">
        <f t="shared" ca="1" si="130"/>
        <v>#NUM!</v>
      </c>
      <c r="AG125" s="40" t="e">
        <f t="shared" ca="1" si="131"/>
        <v>#NUM!</v>
      </c>
      <c r="AH125" s="40" t="e">
        <f t="shared" ca="1" si="132"/>
        <v>#NUM!</v>
      </c>
      <c r="AI125" s="40" t="e">
        <f t="shared" ca="1" si="133"/>
        <v>#NUM!</v>
      </c>
      <c r="AJ125" s="40" t="e">
        <f t="shared" ca="1" si="134"/>
        <v>#NUM!</v>
      </c>
      <c r="AK125" s="203" t="e">
        <f t="shared" ca="1" si="135"/>
        <v>#NUM!</v>
      </c>
      <c r="AL125" s="40" t="e">
        <f t="shared" ca="1" si="136"/>
        <v>#NUM!</v>
      </c>
      <c r="AM125" s="40" t="e">
        <f t="shared" ca="1" si="137"/>
        <v>#NUM!</v>
      </c>
      <c r="AN125" s="40" t="e">
        <f t="shared" ca="1" si="138"/>
        <v>#NUM!</v>
      </c>
      <c r="AO125" s="40" t="e">
        <f t="shared" ca="1" si="139"/>
        <v>#NUM!</v>
      </c>
      <c r="AP125" s="40" t="e">
        <f t="shared" ca="1" si="140"/>
        <v>#NUM!</v>
      </c>
      <c r="AQ125" s="40" t="e">
        <f t="shared" ca="1" si="141"/>
        <v>#NUM!</v>
      </c>
      <c r="AR125" s="40" t="e">
        <f t="shared" ca="1" si="142"/>
        <v>#NUM!</v>
      </c>
      <c r="AS125" s="40" t="e">
        <f t="shared" ca="1" si="143"/>
        <v>#NUM!</v>
      </c>
    </row>
    <row r="126" spans="1:45" x14ac:dyDescent="0.25">
      <c r="A126" s="154"/>
      <c r="B126" s="73">
        <f t="shared" si="119"/>
        <v>-59090.909090909088</v>
      </c>
      <c r="E126" s="148">
        <v>42826</v>
      </c>
      <c r="G126" s="139">
        <v>33</v>
      </c>
      <c r="H126" s="139">
        <v>0</v>
      </c>
      <c r="I126" s="49">
        <f t="shared" si="120"/>
        <v>46522</v>
      </c>
      <c r="J126" s="76">
        <v>1950000</v>
      </c>
      <c r="K126" s="40">
        <f t="shared" si="121"/>
        <v>33</v>
      </c>
      <c r="L126" s="74">
        <f t="shared" si="122"/>
        <v>1950000</v>
      </c>
      <c r="M126" s="76"/>
      <c r="N126" s="76">
        <f t="shared" si="123"/>
        <v>0</v>
      </c>
      <c r="O126" s="142"/>
      <c r="P126" s="142"/>
      <c r="Q126" s="142"/>
      <c r="R126" s="144"/>
      <c r="S126" s="144"/>
      <c r="T126" s="144"/>
      <c r="U126" s="144"/>
      <c r="V126" s="144"/>
      <c r="W126" s="144"/>
      <c r="X126" s="144"/>
      <c r="Y126" s="143"/>
      <c r="Z126" s="143">
        <f t="shared" si="124"/>
        <v>0</v>
      </c>
      <c r="AA126" s="9">
        <f t="shared" si="125"/>
        <v>0.375</v>
      </c>
      <c r="AB126" s="9">
        <f t="shared" si="126"/>
        <v>0</v>
      </c>
      <c r="AC126" s="9">
        <f t="shared" si="127"/>
        <v>0</v>
      </c>
      <c r="AD126" s="9">
        <f t="shared" si="128"/>
        <v>0</v>
      </c>
      <c r="AE126" s="40" t="e">
        <f t="shared" ca="1" si="129"/>
        <v>#NUM!</v>
      </c>
      <c r="AF126" s="40" t="e">
        <f t="shared" ca="1" si="130"/>
        <v>#NUM!</v>
      </c>
      <c r="AG126" s="40" t="e">
        <f t="shared" ca="1" si="131"/>
        <v>#NUM!</v>
      </c>
      <c r="AH126" s="40" t="e">
        <f t="shared" ca="1" si="132"/>
        <v>#NUM!</v>
      </c>
      <c r="AI126" s="40" t="e">
        <f t="shared" ca="1" si="133"/>
        <v>#NUM!</v>
      </c>
      <c r="AJ126" s="40" t="e">
        <f t="shared" ca="1" si="134"/>
        <v>#NUM!</v>
      </c>
      <c r="AK126" s="203" t="e">
        <f t="shared" ca="1" si="135"/>
        <v>#NUM!</v>
      </c>
      <c r="AL126" s="40" t="e">
        <f t="shared" ca="1" si="136"/>
        <v>#NUM!</v>
      </c>
      <c r="AM126" s="40" t="e">
        <f t="shared" ca="1" si="137"/>
        <v>#NUM!</v>
      </c>
      <c r="AN126" s="40" t="e">
        <f t="shared" ca="1" si="138"/>
        <v>#NUM!</v>
      </c>
      <c r="AO126" s="40" t="e">
        <f t="shared" ca="1" si="139"/>
        <v>#NUM!</v>
      </c>
      <c r="AP126" s="40" t="e">
        <f t="shared" ca="1" si="140"/>
        <v>#NUM!</v>
      </c>
      <c r="AQ126" s="40" t="e">
        <f t="shared" ca="1" si="141"/>
        <v>#NUM!</v>
      </c>
      <c r="AR126" s="40" t="e">
        <f t="shared" ca="1" si="142"/>
        <v>#NUM!</v>
      </c>
      <c r="AS126" s="40" t="e">
        <f t="shared" ca="1" si="143"/>
        <v>#NUM!</v>
      </c>
    </row>
    <row r="127" spans="1:45" x14ac:dyDescent="0.25">
      <c r="A127" s="154"/>
      <c r="B127" s="73">
        <f t="shared" si="119"/>
        <v>-59090.909090909088</v>
      </c>
      <c r="E127" s="148">
        <v>42826</v>
      </c>
      <c r="G127" s="139">
        <v>33</v>
      </c>
      <c r="H127" s="139">
        <v>0</v>
      </c>
      <c r="I127" s="49">
        <f t="shared" si="120"/>
        <v>46522</v>
      </c>
      <c r="J127" s="76">
        <v>1950000</v>
      </c>
      <c r="K127" s="40">
        <f t="shared" si="121"/>
        <v>33</v>
      </c>
      <c r="L127" s="74">
        <f t="shared" si="122"/>
        <v>1950000</v>
      </c>
      <c r="M127" s="76"/>
      <c r="N127" s="76">
        <f t="shared" si="123"/>
        <v>0</v>
      </c>
      <c r="O127" s="142"/>
      <c r="P127" s="142"/>
      <c r="Q127" s="142"/>
      <c r="R127" s="144"/>
      <c r="S127" s="144"/>
      <c r="T127" s="144"/>
      <c r="U127" s="144"/>
      <c r="V127" s="144"/>
      <c r="W127" s="144"/>
      <c r="X127" s="144"/>
      <c r="Y127" s="143"/>
      <c r="Z127" s="143">
        <f t="shared" si="124"/>
        <v>0</v>
      </c>
      <c r="AA127" s="9">
        <f t="shared" si="125"/>
        <v>0.375</v>
      </c>
      <c r="AB127" s="9">
        <f t="shared" si="126"/>
        <v>0</v>
      </c>
      <c r="AC127" s="9">
        <f t="shared" si="127"/>
        <v>0</v>
      </c>
      <c r="AD127" s="9">
        <f t="shared" si="128"/>
        <v>0</v>
      </c>
      <c r="AE127" s="40" t="e">
        <f t="shared" ca="1" si="129"/>
        <v>#NUM!</v>
      </c>
      <c r="AF127" s="40" t="e">
        <f t="shared" ca="1" si="130"/>
        <v>#NUM!</v>
      </c>
      <c r="AG127" s="40" t="e">
        <f t="shared" ca="1" si="131"/>
        <v>#NUM!</v>
      </c>
      <c r="AH127" s="40" t="e">
        <f t="shared" ca="1" si="132"/>
        <v>#NUM!</v>
      </c>
      <c r="AI127" s="40" t="e">
        <f t="shared" ca="1" si="133"/>
        <v>#NUM!</v>
      </c>
      <c r="AJ127" s="40" t="e">
        <f t="shared" ca="1" si="134"/>
        <v>#NUM!</v>
      </c>
      <c r="AK127" s="203" t="e">
        <f t="shared" ca="1" si="135"/>
        <v>#NUM!</v>
      </c>
      <c r="AL127" s="40" t="e">
        <f t="shared" ca="1" si="136"/>
        <v>#NUM!</v>
      </c>
      <c r="AM127" s="40" t="e">
        <f t="shared" ca="1" si="137"/>
        <v>#NUM!</v>
      </c>
      <c r="AN127" s="40" t="e">
        <f t="shared" ca="1" si="138"/>
        <v>#NUM!</v>
      </c>
      <c r="AO127" s="40" t="e">
        <f t="shared" ca="1" si="139"/>
        <v>#NUM!</v>
      </c>
      <c r="AP127" s="40" t="e">
        <f t="shared" ca="1" si="140"/>
        <v>#NUM!</v>
      </c>
      <c r="AQ127" s="40" t="e">
        <f t="shared" ca="1" si="141"/>
        <v>#NUM!</v>
      </c>
      <c r="AR127" s="40" t="e">
        <f t="shared" ca="1" si="142"/>
        <v>#NUM!</v>
      </c>
      <c r="AS127" s="40" t="e">
        <f t="shared" ca="1" si="143"/>
        <v>#NUM!</v>
      </c>
    </row>
    <row r="128" spans="1:45" x14ac:dyDescent="0.25">
      <c r="A128" s="154"/>
      <c r="B128" s="73">
        <f t="shared" si="119"/>
        <v>-59090.909090909088</v>
      </c>
      <c r="E128" s="148">
        <v>42826</v>
      </c>
      <c r="G128" s="139">
        <v>33</v>
      </c>
      <c r="H128" s="139">
        <v>0</v>
      </c>
      <c r="I128" s="49">
        <f t="shared" si="120"/>
        <v>46522</v>
      </c>
      <c r="J128" s="76">
        <v>1950000</v>
      </c>
      <c r="K128" s="40">
        <f t="shared" si="121"/>
        <v>33</v>
      </c>
      <c r="L128" s="74">
        <f t="shared" si="122"/>
        <v>1950000</v>
      </c>
      <c r="M128" s="76"/>
      <c r="N128" s="76">
        <f t="shared" si="123"/>
        <v>0</v>
      </c>
      <c r="O128" s="142"/>
      <c r="P128" s="142"/>
      <c r="Q128" s="142"/>
      <c r="R128" s="144"/>
      <c r="S128" s="144"/>
      <c r="T128" s="144"/>
      <c r="U128" s="144"/>
      <c r="V128" s="144"/>
      <c r="W128" s="144"/>
      <c r="X128" s="144"/>
      <c r="Y128" s="143"/>
      <c r="Z128" s="143">
        <f t="shared" si="124"/>
        <v>0</v>
      </c>
      <c r="AA128" s="9">
        <f t="shared" si="125"/>
        <v>0.375</v>
      </c>
      <c r="AB128" s="9">
        <f t="shared" si="126"/>
        <v>0</v>
      </c>
      <c r="AC128" s="9">
        <f t="shared" si="127"/>
        <v>0</v>
      </c>
      <c r="AD128" s="9">
        <f t="shared" si="128"/>
        <v>0</v>
      </c>
      <c r="AE128" s="40" t="e">
        <f t="shared" ca="1" si="129"/>
        <v>#NUM!</v>
      </c>
      <c r="AF128" s="40" t="e">
        <f t="shared" ca="1" si="130"/>
        <v>#NUM!</v>
      </c>
      <c r="AG128" s="40" t="e">
        <f t="shared" ca="1" si="131"/>
        <v>#NUM!</v>
      </c>
      <c r="AH128" s="40" t="e">
        <f t="shared" ca="1" si="132"/>
        <v>#NUM!</v>
      </c>
      <c r="AI128" s="40" t="e">
        <f t="shared" ca="1" si="133"/>
        <v>#NUM!</v>
      </c>
      <c r="AJ128" s="40" t="e">
        <f t="shared" ca="1" si="134"/>
        <v>#NUM!</v>
      </c>
      <c r="AK128" s="203" t="e">
        <f t="shared" ca="1" si="135"/>
        <v>#NUM!</v>
      </c>
      <c r="AL128" s="40" t="e">
        <f t="shared" ca="1" si="136"/>
        <v>#NUM!</v>
      </c>
      <c r="AM128" s="40" t="e">
        <f t="shared" ca="1" si="137"/>
        <v>#NUM!</v>
      </c>
      <c r="AN128" s="40" t="e">
        <f t="shared" ca="1" si="138"/>
        <v>#NUM!</v>
      </c>
      <c r="AO128" s="40" t="e">
        <f t="shared" ca="1" si="139"/>
        <v>#NUM!</v>
      </c>
      <c r="AP128" s="40" t="e">
        <f t="shared" ca="1" si="140"/>
        <v>#NUM!</v>
      </c>
      <c r="AQ128" s="40" t="e">
        <f t="shared" ca="1" si="141"/>
        <v>#NUM!</v>
      </c>
      <c r="AR128" s="40" t="e">
        <f t="shared" ca="1" si="142"/>
        <v>#NUM!</v>
      </c>
      <c r="AS128" s="40" t="e">
        <f t="shared" ca="1" si="143"/>
        <v>#NUM!</v>
      </c>
    </row>
    <row r="129" spans="1:45" x14ac:dyDescent="0.25">
      <c r="A129" s="154"/>
      <c r="B129" s="73">
        <f t="shared" si="119"/>
        <v>-59090.909090909088</v>
      </c>
      <c r="E129" s="148">
        <v>42826</v>
      </c>
      <c r="G129" s="139">
        <v>33</v>
      </c>
      <c r="H129" s="139">
        <v>0</v>
      </c>
      <c r="I129" s="49">
        <f t="shared" si="120"/>
        <v>46522</v>
      </c>
      <c r="J129" s="76">
        <v>1950000</v>
      </c>
      <c r="K129" s="40">
        <f t="shared" si="121"/>
        <v>33</v>
      </c>
      <c r="L129" s="74">
        <f t="shared" si="122"/>
        <v>1950000</v>
      </c>
      <c r="M129" s="76"/>
      <c r="N129" s="76">
        <f t="shared" si="123"/>
        <v>0</v>
      </c>
      <c r="O129" s="142"/>
      <c r="P129" s="142"/>
      <c r="Q129" s="142"/>
      <c r="R129" s="144"/>
      <c r="S129" s="144"/>
      <c r="T129" s="144"/>
      <c r="U129" s="144"/>
      <c r="V129" s="144"/>
      <c r="W129" s="144"/>
      <c r="X129" s="144"/>
      <c r="Y129" s="143"/>
      <c r="Z129" s="143">
        <f t="shared" si="124"/>
        <v>0</v>
      </c>
      <c r="AA129" s="9">
        <f t="shared" si="125"/>
        <v>0.375</v>
      </c>
      <c r="AB129" s="9">
        <f t="shared" si="126"/>
        <v>0</v>
      </c>
      <c r="AC129" s="9">
        <f t="shared" si="127"/>
        <v>0</v>
      </c>
      <c r="AD129" s="9">
        <f t="shared" si="128"/>
        <v>0</v>
      </c>
      <c r="AE129" s="40" t="e">
        <f t="shared" ca="1" si="129"/>
        <v>#NUM!</v>
      </c>
      <c r="AF129" s="40" t="e">
        <f t="shared" ca="1" si="130"/>
        <v>#NUM!</v>
      </c>
      <c r="AG129" s="40" t="e">
        <f t="shared" ca="1" si="131"/>
        <v>#NUM!</v>
      </c>
      <c r="AH129" s="40" t="e">
        <f t="shared" ca="1" si="132"/>
        <v>#NUM!</v>
      </c>
      <c r="AI129" s="40" t="e">
        <f t="shared" ca="1" si="133"/>
        <v>#NUM!</v>
      </c>
      <c r="AJ129" s="40" t="e">
        <f t="shared" ca="1" si="134"/>
        <v>#NUM!</v>
      </c>
      <c r="AK129" s="203" t="e">
        <f t="shared" ca="1" si="135"/>
        <v>#NUM!</v>
      </c>
      <c r="AL129" s="40" t="e">
        <f t="shared" ca="1" si="136"/>
        <v>#NUM!</v>
      </c>
      <c r="AM129" s="40" t="e">
        <f t="shared" ca="1" si="137"/>
        <v>#NUM!</v>
      </c>
      <c r="AN129" s="40" t="e">
        <f t="shared" ca="1" si="138"/>
        <v>#NUM!</v>
      </c>
      <c r="AO129" s="40" t="e">
        <f t="shared" ca="1" si="139"/>
        <v>#NUM!</v>
      </c>
      <c r="AP129" s="40" t="e">
        <f t="shared" ca="1" si="140"/>
        <v>#NUM!</v>
      </c>
      <c r="AQ129" s="40" t="e">
        <f t="shared" ca="1" si="141"/>
        <v>#NUM!</v>
      </c>
      <c r="AR129" s="40" t="e">
        <f t="shared" ca="1" si="142"/>
        <v>#NUM!</v>
      </c>
      <c r="AS129" s="40" t="e">
        <f t="shared" ca="1" si="143"/>
        <v>#NUM!</v>
      </c>
    </row>
    <row r="130" spans="1:45" x14ac:dyDescent="0.25">
      <c r="A130" s="154"/>
      <c r="B130" s="73">
        <f t="shared" si="119"/>
        <v>-59090.909090909088</v>
      </c>
      <c r="E130" s="148">
        <v>42826</v>
      </c>
      <c r="G130" s="139">
        <v>33</v>
      </c>
      <c r="H130" s="139">
        <v>0</v>
      </c>
      <c r="I130" s="49">
        <f t="shared" si="120"/>
        <v>46522</v>
      </c>
      <c r="J130" s="76">
        <v>1950000</v>
      </c>
      <c r="K130" s="40">
        <f t="shared" si="121"/>
        <v>33</v>
      </c>
      <c r="L130" s="74">
        <f t="shared" si="122"/>
        <v>1950000</v>
      </c>
      <c r="M130" s="76"/>
      <c r="N130" s="76">
        <f t="shared" si="123"/>
        <v>0</v>
      </c>
      <c r="O130" s="142"/>
      <c r="P130" s="142"/>
      <c r="Q130" s="142"/>
      <c r="R130" s="144"/>
      <c r="S130" s="144"/>
      <c r="T130" s="144"/>
      <c r="U130" s="144"/>
      <c r="V130" s="144"/>
      <c r="W130" s="144"/>
      <c r="X130" s="144"/>
      <c r="Y130" s="143"/>
      <c r="Z130" s="143">
        <f t="shared" si="124"/>
        <v>0</v>
      </c>
      <c r="AA130" s="9">
        <f t="shared" si="125"/>
        <v>0.375</v>
      </c>
      <c r="AB130" s="9">
        <f t="shared" si="126"/>
        <v>0</v>
      </c>
      <c r="AC130" s="9">
        <f t="shared" si="127"/>
        <v>0</v>
      </c>
      <c r="AD130" s="9">
        <f t="shared" si="128"/>
        <v>0</v>
      </c>
      <c r="AE130" s="40" t="e">
        <f t="shared" ca="1" si="129"/>
        <v>#NUM!</v>
      </c>
      <c r="AF130" s="40" t="e">
        <f t="shared" ca="1" si="130"/>
        <v>#NUM!</v>
      </c>
      <c r="AG130" s="40" t="e">
        <f t="shared" ca="1" si="131"/>
        <v>#NUM!</v>
      </c>
      <c r="AH130" s="40" t="e">
        <f t="shared" ca="1" si="132"/>
        <v>#NUM!</v>
      </c>
      <c r="AI130" s="40" t="e">
        <f t="shared" ca="1" si="133"/>
        <v>#NUM!</v>
      </c>
      <c r="AJ130" s="40" t="e">
        <f t="shared" ca="1" si="134"/>
        <v>#NUM!</v>
      </c>
      <c r="AK130" s="203" t="e">
        <f t="shared" ca="1" si="135"/>
        <v>#NUM!</v>
      </c>
      <c r="AL130" s="40" t="e">
        <f t="shared" ca="1" si="136"/>
        <v>#NUM!</v>
      </c>
      <c r="AM130" s="40" t="e">
        <f t="shared" ca="1" si="137"/>
        <v>#NUM!</v>
      </c>
      <c r="AN130" s="40" t="e">
        <f t="shared" ca="1" si="138"/>
        <v>#NUM!</v>
      </c>
      <c r="AO130" s="40" t="e">
        <f t="shared" ca="1" si="139"/>
        <v>#NUM!</v>
      </c>
      <c r="AP130" s="40" t="e">
        <f t="shared" ca="1" si="140"/>
        <v>#NUM!</v>
      </c>
      <c r="AQ130" s="40" t="e">
        <f t="shared" ca="1" si="141"/>
        <v>#NUM!</v>
      </c>
      <c r="AR130" s="40" t="e">
        <f t="shared" ca="1" si="142"/>
        <v>#NUM!</v>
      </c>
      <c r="AS130" s="40" t="e">
        <f t="shared" ca="1" si="143"/>
        <v>#NUM!</v>
      </c>
    </row>
    <row r="131" spans="1:45" x14ac:dyDescent="0.25">
      <c r="A131" s="154"/>
      <c r="B131" s="73">
        <f t="shared" si="119"/>
        <v>-59090.909090909088</v>
      </c>
      <c r="E131" s="148">
        <v>42826</v>
      </c>
      <c r="G131" s="139">
        <v>33</v>
      </c>
      <c r="H131" s="139">
        <v>0</v>
      </c>
      <c r="I131" s="49">
        <f t="shared" si="120"/>
        <v>46522</v>
      </c>
      <c r="J131" s="76">
        <v>1950000</v>
      </c>
      <c r="K131" s="40">
        <f t="shared" si="121"/>
        <v>33</v>
      </c>
      <c r="L131" s="74">
        <f t="shared" si="122"/>
        <v>1950000</v>
      </c>
      <c r="M131" s="76"/>
      <c r="N131" s="76">
        <f t="shared" si="123"/>
        <v>0</v>
      </c>
      <c r="O131" s="142"/>
      <c r="P131" s="142"/>
      <c r="Q131" s="142"/>
      <c r="R131" s="144"/>
      <c r="S131" s="144"/>
      <c r="T131" s="144"/>
      <c r="U131" s="144"/>
      <c r="V131" s="144"/>
      <c r="W131" s="144"/>
      <c r="X131" s="144"/>
      <c r="Y131" s="143"/>
      <c r="Z131" s="143">
        <f t="shared" si="124"/>
        <v>0</v>
      </c>
      <c r="AA131" s="9">
        <f t="shared" si="125"/>
        <v>0.375</v>
      </c>
      <c r="AB131" s="9">
        <f t="shared" si="126"/>
        <v>0</v>
      </c>
      <c r="AC131" s="9">
        <f t="shared" si="127"/>
        <v>0</v>
      </c>
      <c r="AD131" s="9">
        <f t="shared" si="128"/>
        <v>0</v>
      </c>
      <c r="AE131" s="40" t="e">
        <f t="shared" ca="1" si="129"/>
        <v>#NUM!</v>
      </c>
      <c r="AF131" s="40" t="e">
        <f t="shared" ca="1" si="130"/>
        <v>#NUM!</v>
      </c>
      <c r="AG131" s="40" t="e">
        <f t="shared" ca="1" si="131"/>
        <v>#NUM!</v>
      </c>
      <c r="AH131" s="40" t="e">
        <f t="shared" ca="1" si="132"/>
        <v>#NUM!</v>
      </c>
      <c r="AI131" s="40" t="e">
        <f t="shared" ca="1" si="133"/>
        <v>#NUM!</v>
      </c>
      <c r="AJ131" s="40" t="e">
        <f t="shared" ca="1" si="134"/>
        <v>#NUM!</v>
      </c>
      <c r="AK131" s="203" t="e">
        <f t="shared" ca="1" si="135"/>
        <v>#NUM!</v>
      </c>
      <c r="AL131" s="40" t="e">
        <f t="shared" ca="1" si="136"/>
        <v>#NUM!</v>
      </c>
      <c r="AM131" s="40" t="e">
        <f t="shared" ca="1" si="137"/>
        <v>#NUM!</v>
      </c>
      <c r="AN131" s="40" t="e">
        <f t="shared" ca="1" si="138"/>
        <v>#NUM!</v>
      </c>
      <c r="AO131" s="40" t="e">
        <f t="shared" ca="1" si="139"/>
        <v>#NUM!</v>
      </c>
      <c r="AP131" s="40" t="e">
        <f t="shared" ca="1" si="140"/>
        <v>#NUM!</v>
      </c>
      <c r="AQ131" s="40" t="e">
        <f t="shared" ca="1" si="141"/>
        <v>#NUM!</v>
      </c>
      <c r="AR131" s="40" t="e">
        <f t="shared" ca="1" si="142"/>
        <v>#NUM!</v>
      </c>
      <c r="AS131" s="40" t="e">
        <f t="shared" ca="1" si="143"/>
        <v>#NUM!</v>
      </c>
    </row>
    <row r="132" spans="1:45" x14ac:dyDescent="0.25">
      <c r="A132" s="154"/>
      <c r="B132" s="73">
        <f t="shared" si="119"/>
        <v>-59090.909090909088</v>
      </c>
      <c r="E132" s="148">
        <v>42826</v>
      </c>
      <c r="G132" s="139">
        <v>33</v>
      </c>
      <c r="H132" s="139">
        <v>0</v>
      </c>
      <c r="I132" s="49">
        <f t="shared" si="120"/>
        <v>46522</v>
      </c>
      <c r="J132" s="76">
        <v>1950000</v>
      </c>
      <c r="K132" s="40">
        <f t="shared" si="121"/>
        <v>33</v>
      </c>
      <c r="L132" s="74">
        <f t="shared" si="122"/>
        <v>1950000</v>
      </c>
      <c r="M132" s="76"/>
      <c r="N132" s="76">
        <f t="shared" si="123"/>
        <v>0</v>
      </c>
      <c r="O132" s="142"/>
      <c r="P132" s="142"/>
      <c r="Q132" s="142"/>
      <c r="R132" s="144"/>
      <c r="S132" s="144"/>
      <c r="T132" s="144"/>
      <c r="U132" s="144"/>
      <c r="V132" s="144"/>
      <c r="W132" s="144"/>
      <c r="X132" s="144"/>
      <c r="Y132" s="143"/>
      <c r="Z132" s="143">
        <f t="shared" si="124"/>
        <v>0</v>
      </c>
      <c r="AA132" s="9">
        <f t="shared" si="125"/>
        <v>0.375</v>
      </c>
      <c r="AB132" s="9">
        <f t="shared" si="126"/>
        <v>0</v>
      </c>
      <c r="AC132" s="9">
        <f t="shared" si="127"/>
        <v>0</v>
      </c>
      <c r="AD132" s="9">
        <f t="shared" si="128"/>
        <v>0</v>
      </c>
      <c r="AE132" s="40" t="e">
        <f t="shared" ca="1" si="129"/>
        <v>#NUM!</v>
      </c>
      <c r="AF132" s="40" t="e">
        <f t="shared" ca="1" si="130"/>
        <v>#NUM!</v>
      </c>
      <c r="AG132" s="40" t="e">
        <f t="shared" ca="1" si="131"/>
        <v>#NUM!</v>
      </c>
      <c r="AH132" s="40" t="e">
        <f t="shared" ca="1" si="132"/>
        <v>#NUM!</v>
      </c>
      <c r="AI132" s="40" t="e">
        <f t="shared" ca="1" si="133"/>
        <v>#NUM!</v>
      </c>
      <c r="AJ132" s="40" t="e">
        <f t="shared" ca="1" si="134"/>
        <v>#NUM!</v>
      </c>
      <c r="AK132" s="203" t="e">
        <f t="shared" ca="1" si="135"/>
        <v>#NUM!</v>
      </c>
      <c r="AL132" s="40" t="e">
        <f t="shared" ca="1" si="136"/>
        <v>#NUM!</v>
      </c>
      <c r="AM132" s="40" t="e">
        <f t="shared" ca="1" si="137"/>
        <v>#NUM!</v>
      </c>
      <c r="AN132" s="40" t="e">
        <f t="shared" ca="1" si="138"/>
        <v>#NUM!</v>
      </c>
      <c r="AO132" s="40" t="e">
        <f t="shared" ca="1" si="139"/>
        <v>#NUM!</v>
      </c>
      <c r="AP132" s="40" t="e">
        <f t="shared" ca="1" si="140"/>
        <v>#NUM!</v>
      </c>
      <c r="AQ132" s="40" t="e">
        <f t="shared" ca="1" si="141"/>
        <v>#NUM!</v>
      </c>
      <c r="AR132" s="40" t="e">
        <f t="shared" ca="1" si="142"/>
        <v>#NUM!</v>
      </c>
      <c r="AS132" s="40" t="e">
        <f t="shared" ca="1" si="143"/>
        <v>#NUM!</v>
      </c>
    </row>
    <row r="133" spans="1:45" x14ac:dyDescent="0.25">
      <c r="A133" s="154"/>
      <c r="B133" s="73">
        <f t="shared" si="119"/>
        <v>-59090.909090909088</v>
      </c>
      <c r="E133" s="148">
        <v>42826</v>
      </c>
      <c r="G133" s="139">
        <v>33</v>
      </c>
      <c r="H133" s="139">
        <v>0</v>
      </c>
      <c r="I133" s="49">
        <f t="shared" si="120"/>
        <v>46522</v>
      </c>
      <c r="J133" s="76">
        <v>1950000</v>
      </c>
      <c r="K133" s="40">
        <f t="shared" si="121"/>
        <v>33</v>
      </c>
      <c r="L133" s="74">
        <f t="shared" si="122"/>
        <v>1950000</v>
      </c>
      <c r="M133" s="76"/>
      <c r="N133" s="76">
        <f t="shared" si="123"/>
        <v>0</v>
      </c>
      <c r="O133" s="142"/>
      <c r="P133" s="142"/>
      <c r="Q133" s="142"/>
      <c r="R133" s="144"/>
      <c r="S133" s="144"/>
      <c r="T133" s="144"/>
      <c r="U133" s="144"/>
      <c r="V133" s="144"/>
      <c r="W133" s="144"/>
      <c r="X133" s="144"/>
      <c r="Y133" s="143"/>
      <c r="Z133" s="143">
        <f t="shared" si="124"/>
        <v>0</v>
      </c>
      <c r="AA133" s="9">
        <f t="shared" si="125"/>
        <v>0.375</v>
      </c>
      <c r="AB133" s="9">
        <f t="shared" si="126"/>
        <v>0</v>
      </c>
      <c r="AC133" s="9">
        <f t="shared" si="127"/>
        <v>0</v>
      </c>
      <c r="AD133" s="9">
        <f t="shared" si="128"/>
        <v>0</v>
      </c>
      <c r="AE133" s="40" t="e">
        <f t="shared" ca="1" si="129"/>
        <v>#NUM!</v>
      </c>
      <c r="AF133" s="40" t="e">
        <f t="shared" ca="1" si="130"/>
        <v>#NUM!</v>
      </c>
      <c r="AG133" s="40" t="e">
        <f t="shared" ca="1" si="131"/>
        <v>#NUM!</v>
      </c>
      <c r="AH133" s="40" t="e">
        <f t="shared" ca="1" si="132"/>
        <v>#NUM!</v>
      </c>
      <c r="AI133" s="40" t="e">
        <f t="shared" ca="1" si="133"/>
        <v>#NUM!</v>
      </c>
      <c r="AJ133" s="40" t="e">
        <f t="shared" ca="1" si="134"/>
        <v>#NUM!</v>
      </c>
      <c r="AK133" s="203" t="e">
        <f t="shared" ca="1" si="135"/>
        <v>#NUM!</v>
      </c>
      <c r="AL133" s="40" t="e">
        <f t="shared" ca="1" si="136"/>
        <v>#NUM!</v>
      </c>
      <c r="AM133" s="40" t="e">
        <f t="shared" ca="1" si="137"/>
        <v>#NUM!</v>
      </c>
      <c r="AN133" s="40" t="e">
        <f t="shared" ca="1" si="138"/>
        <v>#NUM!</v>
      </c>
      <c r="AO133" s="40" t="e">
        <f t="shared" ca="1" si="139"/>
        <v>#NUM!</v>
      </c>
      <c r="AP133" s="40" t="e">
        <f t="shared" ca="1" si="140"/>
        <v>#NUM!</v>
      </c>
      <c r="AQ133" s="40" t="e">
        <f t="shared" ca="1" si="141"/>
        <v>#NUM!</v>
      </c>
      <c r="AR133" s="40" t="e">
        <f t="shared" ca="1" si="142"/>
        <v>#NUM!</v>
      </c>
      <c r="AS133" s="40" t="e">
        <f t="shared" ca="1" si="143"/>
        <v>#NUM!</v>
      </c>
    </row>
    <row r="134" spans="1:45" x14ac:dyDescent="0.25">
      <c r="A134" s="154"/>
      <c r="B134" s="73">
        <f t="shared" si="119"/>
        <v>-59090.909090909088</v>
      </c>
      <c r="E134" s="148">
        <v>42826</v>
      </c>
      <c r="G134" s="139">
        <v>33</v>
      </c>
      <c r="H134" s="139">
        <v>0</v>
      </c>
      <c r="I134" s="49">
        <f t="shared" si="120"/>
        <v>46522</v>
      </c>
      <c r="J134" s="76">
        <v>1950000</v>
      </c>
      <c r="K134" s="40">
        <f t="shared" si="121"/>
        <v>33</v>
      </c>
      <c r="L134" s="74">
        <f t="shared" si="122"/>
        <v>1950000</v>
      </c>
      <c r="M134" s="76"/>
      <c r="N134" s="76">
        <f t="shared" si="123"/>
        <v>0</v>
      </c>
      <c r="O134" s="142"/>
      <c r="P134" s="142"/>
      <c r="Q134" s="142"/>
      <c r="R134" s="144"/>
      <c r="S134" s="144"/>
      <c r="T134" s="144"/>
      <c r="U134" s="144"/>
      <c r="V134" s="144"/>
      <c r="W134" s="144"/>
      <c r="X134" s="144"/>
      <c r="Y134" s="143"/>
      <c r="Z134" s="143">
        <f t="shared" si="124"/>
        <v>0</v>
      </c>
      <c r="AA134" s="9">
        <f t="shared" si="125"/>
        <v>0.375</v>
      </c>
      <c r="AB134" s="9">
        <f t="shared" si="126"/>
        <v>0</v>
      </c>
      <c r="AC134" s="9">
        <f t="shared" si="127"/>
        <v>0</v>
      </c>
      <c r="AD134" s="9">
        <f t="shared" si="128"/>
        <v>0</v>
      </c>
      <c r="AE134" s="40" t="e">
        <f t="shared" ca="1" si="129"/>
        <v>#NUM!</v>
      </c>
      <c r="AF134" s="40" t="e">
        <f t="shared" ca="1" si="130"/>
        <v>#NUM!</v>
      </c>
      <c r="AG134" s="40" t="e">
        <f t="shared" ca="1" si="131"/>
        <v>#NUM!</v>
      </c>
      <c r="AH134" s="40" t="e">
        <f t="shared" ca="1" si="132"/>
        <v>#NUM!</v>
      </c>
      <c r="AI134" s="40" t="e">
        <f t="shared" ca="1" si="133"/>
        <v>#NUM!</v>
      </c>
      <c r="AJ134" s="40" t="e">
        <f t="shared" ca="1" si="134"/>
        <v>#NUM!</v>
      </c>
      <c r="AK134" s="203" t="e">
        <f t="shared" ca="1" si="135"/>
        <v>#NUM!</v>
      </c>
      <c r="AL134" s="40" t="e">
        <f t="shared" ca="1" si="136"/>
        <v>#NUM!</v>
      </c>
      <c r="AM134" s="40" t="e">
        <f t="shared" ca="1" si="137"/>
        <v>#NUM!</v>
      </c>
      <c r="AN134" s="40" t="e">
        <f t="shared" ca="1" si="138"/>
        <v>#NUM!</v>
      </c>
      <c r="AO134" s="40" t="e">
        <f t="shared" ca="1" si="139"/>
        <v>#NUM!</v>
      </c>
      <c r="AP134" s="40" t="e">
        <f t="shared" ca="1" si="140"/>
        <v>#NUM!</v>
      </c>
      <c r="AQ134" s="40" t="e">
        <f t="shared" ca="1" si="141"/>
        <v>#NUM!</v>
      </c>
      <c r="AR134" s="40" t="e">
        <f t="shared" ca="1" si="142"/>
        <v>#NUM!</v>
      </c>
      <c r="AS134" s="40" t="e">
        <f t="shared" ca="1" si="143"/>
        <v>#NUM!</v>
      </c>
    </row>
    <row r="135" spans="1:45" x14ac:dyDescent="0.25">
      <c r="A135" s="154"/>
      <c r="B135" s="73">
        <f t="shared" si="119"/>
        <v>-59090.909090909088</v>
      </c>
      <c r="E135" s="148">
        <v>42826</v>
      </c>
      <c r="G135" s="139">
        <v>33</v>
      </c>
      <c r="H135" s="139">
        <v>0</v>
      </c>
      <c r="I135" s="49">
        <f t="shared" si="120"/>
        <v>46522</v>
      </c>
      <c r="J135" s="76">
        <v>1950000</v>
      </c>
      <c r="K135" s="40">
        <f t="shared" si="121"/>
        <v>33</v>
      </c>
      <c r="L135" s="74">
        <f t="shared" si="122"/>
        <v>1950000</v>
      </c>
      <c r="M135" s="76"/>
      <c r="N135" s="76">
        <f t="shared" si="123"/>
        <v>0</v>
      </c>
      <c r="O135" s="142"/>
      <c r="P135" s="142"/>
      <c r="Q135" s="142"/>
      <c r="R135" s="144"/>
      <c r="S135" s="144"/>
      <c r="T135" s="144"/>
      <c r="U135" s="144"/>
      <c r="V135" s="144"/>
      <c r="W135" s="144"/>
      <c r="X135" s="144"/>
      <c r="Y135" s="143"/>
      <c r="Z135" s="143">
        <f t="shared" si="124"/>
        <v>0</v>
      </c>
      <c r="AA135" s="9">
        <f t="shared" si="125"/>
        <v>0.375</v>
      </c>
      <c r="AB135" s="9">
        <f t="shared" si="126"/>
        <v>0</v>
      </c>
      <c r="AC135" s="9">
        <f t="shared" si="127"/>
        <v>0</v>
      </c>
      <c r="AD135" s="9">
        <f t="shared" si="128"/>
        <v>0</v>
      </c>
      <c r="AE135" s="40" t="e">
        <f t="shared" ca="1" si="129"/>
        <v>#NUM!</v>
      </c>
      <c r="AF135" s="40" t="e">
        <f t="shared" ca="1" si="130"/>
        <v>#NUM!</v>
      </c>
      <c r="AG135" s="40" t="e">
        <f t="shared" ca="1" si="131"/>
        <v>#NUM!</v>
      </c>
      <c r="AH135" s="40" t="e">
        <f t="shared" ca="1" si="132"/>
        <v>#NUM!</v>
      </c>
      <c r="AI135" s="40" t="e">
        <f t="shared" ca="1" si="133"/>
        <v>#NUM!</v>
      </c>
      <c r="AJ135" s="40" t="e">
        <f t="shared" ca="1" si="134"/>
        <v>#NUM!</v>
      </c>
      <c r="AK135" s="203" t="e">
        <f t="shared" ca="1" si="135"/>
        <v>#NUM!</v>
      </c>
      <c r="AL135" s="40" t="e">
        <f t="shared" ca="1" si="136"/>
        <v>#NUM!</v>
      </c>
      <c r="AM135" s="40" t="e">
        <f t="shared" ca="1" si="137"/>
        <v>#NUM!</v>
      </c>
      <c r="AN135" s="40" t="e">
        <f t="shared" ca="1" si="138"/>
        <v>#NUM!</v>
      </c>
      <c r="AO135" s="40" t="e">
        <f t="shared" ca="1" si="139"/>
        <v>#NUM!</v>
      </c>
      <c r="AP135" s="40" t="e">
        <f t="shared" ca="1" si="140"/>
        <v>#NUM!</v>
      </c>
      <c r="AQ135" s="40" t="e">
        <f t="shared" ca="1" si="141"/>
        <v>#NUM!</v>
      </c>
      <c r="AR135" s="40" t="e">
        <f t="shared" ca="1" si="142"/>
        <v>#NUM!</v>
      </c>
      <c r="AS135" s="40" t="e">
        <f t="shared" ca="1" si="143"/>
        <v>#NUM!</v>
      </c>
    </row>
    <row r="136" spans="1:45" x14ac:dyDescent="0.25">
      <c r="A136" s="154"/>
      <c r="B136" s="73">
        <f t="shared" si="119"/>
        <v>-59090.909090909088</v>
      </c>
      <c r="E136" s="148">
        <v>42826</v>
      </c>
      <c r="G136" s="139">
        <v>33</v>
      </c>
      <c r="H136" s="139">
        <v>0</v>
      </c>
      <c r="I136" s="49">
        <f t="shared" si="120"/>
        <v>46522</v>
      </c>
      <c r="J136" s="76">
        <v>1950000</v>
      </c>
      <c r="K136" s="40">
        <f t="shared" si="121"/>
        <v>33</v>
      </c>
      <c r="L136" s="74">
        <f t="shared" si="122"/>
        <v>1950000</v>
      </c>
      <c r="M136" s="76"/>
      <c r="N136" s="76">
        <f t="shared" si="123"/>
        <v>0</v>
      </c>
      <c r="O136" s="142"/>
      <c r="P136" s="142"/>
      <c r="Q136" s="142"/>
      <c r="R136" s="144"/>
      <c r="S136" s="144"/>
      <c r="T136" s="144"/>
      <c r="U136" s="144"/>
      <c r="V136" s="144"/>
      <c r="W136" s="144"/>
      <c r="X136" s="144"/>
      <c r="Y136" s="143"/>
      <c r="Z136" s="143">
        <f t="shared" si="124"/>
        <v>0</v>
      </c>
      <c r="AA136" s="9">
        <f t="shared" si="125"/>
        <v>0.375</v>
      </c>
      <c r="AB136" s="9">
        <f t="shared" si="126"/>
        <v>0</v>
      </c>
      <c r="AC136" s="9">
        <f t="shared" si="127"/>
        <v>0</v>
      </c>
      <c r="AD136" s="9">
        <f t="shared" si="128"/>
        <v>0</v>
      </c>
      <c r="AE136" s="40" t="e">
        <f t="shared" ca="1" si="129"/>
        <v>#NUM!</v>
      </c>
      <c r="AF136" s="40" t="e">
        <f t="shared" ca="1" si="130"/>
        <v>#NUM!</v>
      </c>
      <c r="AG136" s="40" t="e">
        <f t="shared" ca="1" si="131"/>
        <v>#NUM!</v>
      </c>
      <c r="AH136" s="40" t="e">
        <f t="shared" ca="1" si="132"/>
        <v>#NUM!</v>
      </c>
      <c r="AI136" s="40" t="e">
        <f t="shared" ca="1" si="133"/>
        <v>#NUM!</v>
      </c>
      <c r="AJ136" s="40" t="e">
        <f t="shared" ca="1" si="134"/>
        <v>#NUM!</v>
      </c>
      <c r="AK136" s="203" t="e">
        <f t="shared" ca="1" si="135"/>
        <v>#NUM!</v>
      </c>
      <c r="AL136" s="40" t="e">
        <f t="shared" ca="1" si="136"/>
        <v>#NUM!</v>
      </c>
      <c r="AM136" s="40" t="e">
        <f t="shared" ca="1" si="137"/>
        <v>#NUM!</v>
      </c>
      <c r="AN136" s="40" t="e">
        <f t="shared" ca="1" si="138"/>
        <v>#NUM!</v>
      </c>
      <c r="AO136" s="40" t="e">
        <f t="shared" ca="1" si="139"/>
        <v>#NUM!</v>
      </c>
      <c r="AP136" s="40" t="e">
        <f t="shared" ca="1" si="140"/>
        <v>#NUM!</v>
      </c>
      <c r="AQ136" s="40" t="e">
        <f t="shared" ca="1" si="141"/>
        <v>#NUM!</v>
      </c>
      <c r="AR136" s="40" t="e">
        <f t="shared" ca="1" si="142"/>
        <v>#NUM!</v>
      </c>
      <c r="AS136" s="40" t="e">
        <f t="shared" ca="1" si="143"/>
        <v>#NUM!</v>
      </c>
    </row>
    <row r="137" spans="1:45" x14ac:dyDescent="0.25">
      <c r="A137" s="154"/>
      <c r="B137" s="73">
        <f t="shared" si="119"/>
        <v>-59090.909090909088</v>
      </c>
      <c r="E137" s="148">
        <v>42826</v>
      </c>
      <c r="G137" s="139">
        <v>33</v>
      </c>
      <c r="H137" s="139">
        <v>0</v>
      </c>
      <c r="I137" s="49">
        <f t="shared" si="120"/>
        <v>46522</v>
      </c>
      <c r="J137" s="76">
        <v>1950000</v>
      </c>
      <c r="K137" s="40">
        <f t="shared" si="121"/>
        <v>33</v>
      </c>
      <c r="L137" s="74">
        <f t="shared" si="122"/>
        <v>1950000</v>
      </c>
      <c r="M137" s="76"/>
      <c r="N137" s="76">
        <f t="shared" si="123"/>
        <v>0</v>
      </c>
      <c r="O137" s="142"/>
      <c r="P137" s="142"/>
      <c r="Q137" s="142"/>
      <c r="R137" s="144"/>
      <c r="S137" s="144"/>
      <c r="T137" s="144"/>
      <c r="U137" s="144"/>
      <c r="V137" s="144"/>
      <c r="W137" s="144"/>
      <c r="X137" s="144"/>
      <c r="Y137" s="143"/>
      <c r="Z137" s="143">
        <f t="shared" si="124"/>
        <v>0</v>
      </c>
      <c r="AA137" s="9">
        <f t="shared" si="125"/>
        <v>0.375</v>
      </c>
      <c r="AB137" s="9">
        <f t="shared" si="126"/>
        <v>0</v>
      </c>
      <c r="AC137" s="9">
        <f t="shared" si="127"/>
        <v>0</v>
      </c>
      <c r="AD137" s="9">
        <f t="shared" si="128"/>
        <v>0</v>
      </c>
      <c r="AE137" s="40" t="e">
        <f t="shared" ca="1" si="129"/>
        <v>#NUM!</v>
      </c>
      <c r="AF137" s="40" t="e">
        <f t="shared" ca="1" si="130"/>
        <v>#NUM!</v>
      </c>
      <c r="AG137" s="40" t="e">
        <f t="shared" ca="1" si="131"/>
        <v>#NUM!</v>
      </c>
      <c r="AH137" s="40" t="e">
        <f t="shared" ca="1" si="132"/>
        <v>#NUM!</v>
      </c>
      <c r="AI137" s="40" t="e">
        <f t="shared" ca="1" si="133"/>
        <v>#NUM!</v>
      </c>
      <c r="AJ137" s="40" t="e">
        <f t="shared" ca="1" si="134"/>
        <v>#NUM!</v>
      </c>
      <c r="AK137" s="203" t="e">
        <f t="shared" ca="1" si="135"/>
        <v>#NUM!</v>
      </c>
      <c r="AL137" s="40" t="e">
        <f t="shared" ca="1" si="136"/>
        <v>#NUM!</v>
      </c>
      <c r="AM137" s="40" t="e">
        <f t="shared" ca="1" si="137"/>
        <v>#NUM!</v>
      </c>
      <c r="AN137" s="40" t="e">
        <f t="shared" ca="1" si="138"/>
        <v>#NUM!</v>
      </c>
      <c r="AO137" s="40" t="e">
        <f t="shared" ca="1" si="139"/>
        <v>#NUM!</v>
      </c>
      <c r="AP137" s="40" t="e">
        <f t="shared" ca="1" si="140"/>
        <v>#NUM!</v>
      </c>
      <c r="AQ137" s="40" t="e">
        <f t="shared" ca="1" si="141"/>
        <v>#NUM!</v>
      </c>
      <c r="AR137" s="40" t="e">
        <f t="shared" ca="1" si="142"/>
        <v>#NUM!</v>
      </c>
      <c r="AS137" s="40" t="e">
        <f t="shared" ca="1" si="143"/>
        <v>#NUM!</v>
      </c>
    </row>
    <row r="138" spans="1:45" x14ac:dyDescent="0.25">
      <c r="A138" s="154"/>
      <c r="B138" s="73">
        <f t="shared" si="119"/>
        <v>-59090.909090909088</v>
      </c>
      <c r="E138" s="148">
        <v>42826</v>
      </c>
      <c r="G138" s="139">
        <v>33</v>
      </c>
      <c r="H138" s="139">
        <v>0</v>
      </c>
      <c r="I138" s="49">
        <f t="shared" si="120"/>
        <v>46522</v>
      </c>
      <c r="J138" s="76">
        <v>1950000</v>
      </c>
      <c r="K138" s="40">
        <f t="shared" si="121"/>
        <v>33</v>
      </c>
      <c r="L138" s="74">
        <f t="shared" si="122"/>
        <v>1950000</v>
      </c>
      <c r="M138" s="76"/>
      <c r="N138" s="76">
        <f t="shared" si="123"/>
        <v>0</v>
      </c>
      <c r="O138" s="142"/>
      <c r="P138" s="142"/>
      <c r="Q138" s="142"/>
      <c r="R138" s="144"/>
      <c r="S138" s="144"/>
      <c r="T138" s="144"/>
      <c r="U138" s="144"/>
      <c r="V138" s="144"/>
      <c r="W138" s="144"/>
      <c r="X138" s="144"/>
      <c r="Y138" s="143"/>
      <c r="Z138" s="143">
        <f t="shared" si="124"/>
        <v>0</v>
      </c>
      <c r="AA138" s="9">
        <f t="shared" si="125"/>
        <v>0.375</v>
      </c>
      <c r="AB138" s="9">
        <f t="shared" si="126"/>
        <v>0</v>
      </c>
      <c r="AC138" s="9">
        <f t="shared" si="127"/>
        <v>0</v>
      </c>
      <c r="AD138" s="9">
        <f t="shared" si="128"/>
        <v>0</v>
      </c>
      <c r="AE138" s="40" t="e">
        <f t="shared" ca="1" si="129"/>
        <v>#NUM!</v>
      </c>
      <c r="AF138" s="40" t="e">
        <f t="shared" ca="1" si="130"/>
        <v>#NUM!</v>
      </c>
      <c r="AG138" s="40" t="e">
        <f t="shared" ca="1" si="131"/>
        <v>#NUM!</v>
      </c>
      <c r="AH138" s="40" t="e">
        <f t="shared" ca="1" si="132"/>
        <v>#NUM!</v>
      </c>
      <c r="AI138" s="40" t="e">
        <f t="shared" ca="1" si="133"/>
        <v>#NUM!</v>
      </c>
      <c r="AJ138" s="40" t="e">
        <f t="shared" ca="1" si="134"/>
        <v>#NUM!</v>
      </c>
      <c r="AK138" s="203" t="e">
        <f t="shared" ca="1" si="135"/>
        <v>#NUM!</v>
      </c>
      <c r="AL138" s="40" t="e">
        <f t="shared" ca="1" si="136"/>
        <v>#NUM!</v>
      </c>
      <c r="AM138" s="40" t="e">
        <f t="shared" ca="1" si="137"/>
        <v>#NUM!</v>
      </c>
      <c r="AN138" s="40" t="e">
        <f t="shared" ca="1" si="138"/>
        <v>#NUM!</v>
      </c>
      <c r="AO138" s="40" t="e">
        <f t="shared" ca="1" si="139"/>
        <v>#NUM!</v>
      </c>
      <c r="AP138" s="40" t="e">
        <f t="shared" ca="1" si="140"/>
        <v>#NUM!</v>
      </c>
      <c r="AQ138" s="40" t="e">
        <f t="shared" ca="1" si="141"/>
        <v>#NUM!</v>
      </c>
      <c r="AR138" s="40" t="e">
        <f t="shared" ca="1" si="142"/>
        <v>#NUM!</v>
      </c>
      <c r="AS138" s="40" t="e">
        <f t="shared" ca="1" si="143"/>
        <v>#NUM!</v>
      </c>
    </row>
    <row r="139" spans="1:45" x14ac:dyDescent="0.25">
      <c r="A139" s="154"/>
      <c r="B139" s="73">
        <f t="shared" si="119"/>
        <v>-59090.909090909088</v>
      </c>
      <c r="E139" s="148">
        <v>42826</v>
      </c>
      <c r="G139" s="139">
        <v>33</v>
      </c>
      <c r="H139" s="139">
        <v>0</v>
      </c>
      <c r="I139" s="49">
        <f t="shared" si="120"/>
        <v>46522</v>
      </c>
      <c r="J139" s="76">
        <v>1950000</v>
      </c>
      <c r="K139" s="40">
        <f t="shared" si="121"/>
        <v>33</v>
      </c>
      <c r="L139" s="74">
        <f t="shared" si="122"/>
        <v>1950000</v>
      </c>
      <c r="M139" s="76"/>
      <c r="N139" s="76">
        <f t="shared" si="123"/>
        <v>0</v>
      </c>
      <c r="O139" s="142"/>
      <c r="P139" s="142"/>
      <c r="Q139" s="142"/>
      <c r="R139" s="144"/>
      <c r="S139" s="144"/>
      <c r="T139" s="144"/>
      <c r="U139" s="144"/>
      <c r="V139" s="144"/>
      <c r="W139" s="144"/>
      <c r="X139" s="144"/>
      <c r="Y139" s="143"/>
      <c r="Z139" s="143">
        <f t="shared" si="124"/>
        <v>0</v>
      </c>
      <c r="AA139" s="9">
        <f t="shared" si="125"/>
        <v>0.375</v>
      </c>
      <c r="AB139" s="9">
        <f t="shared" si="126"/>
        <v>0</v>
      </c>
      <c r="AC139" s="9">
        <f t="shared" si="127"/>
        <v>0</v>
      </c>
      <c r="AD139" s="9">
        <f t="shared" si="128"/>
        <v>0</v>
      </c>
      <c r="AE139" s="40" t="e">
        <f t="shared" ca="1" si="129"/>
        <v>#NUM!</v>
      </c>
      <c r="AF139" s="40" t="e">
        <f t="shared" ca="1" si="130"/>
        <v>#NUM!</v>
      </c>
      <c r="AG139" s="40" t="e">
        <f t="shared" ca="1" si="131"/>
        <v>#NUM!</v>
      </c>
      <c r="AH139" s="40" t="e">
        <f t="shared" ca="1" si="132"/>
        <v>#NUM!</v>
      </c>
      <c r="AI139" s="40" t="e">
        <f t="shared" ca="1" si="133"/>
        <v>#NUM!</v>
      </c>
      <c r="AJ139" s="40" t="e">
        <f t="shared" ca="1" si="134"/>
        <v>#NUM!</v>
      </c>
      <c r="AK139" s="203" t="e">
        <f t="shared" ca="1" si="135"/>
        <v>#NUM!</v>
      </c>
      <c r="AL139" s="40" t="e">
        <f t="shared" ca="1" si="136"/>
        <v>#NUM!</v>
      </c>
      <c r="AM139" s="40" t="e">
        <f t="shared" ca="1" si="137"/>
        <v>#NUM!</v>
      </c>
      <c r="AN139" s="40" t="e">
        <f t="shared" ca="1" si="138"/>
        <v>#NUM!</v>
      </c>
      <c r="AO139" s="40" t="e">
        <f t="shared" ca="1" si="139"/>
        <v>#NUM!</v>
      </c>
      <c r="AP139" s="40" t="e">
        <f t="shared" ca="1" si="140"/>
        <v>#NUM!</v>
      </c>
      <c r="AQ139" s="40" t="e">
        <f t="shared" ca="1" si="141"/>
        <v>#NUM!</v>
      </c>
      <c r="AR139" s="40" t="e">
        <f t="shared" ca="1" si="142"/>
        <v>#NUM!</v>
      </c>
      <c r="AS139" s="40" t="e">
        <f t="shared" ca="1" si="143"/>
        <v>#NUM!</v>
      </c>
    </row>
    <row r="140" spans="1:45" x14ac:dyDescent="0.25">
      <c r="A140" s="154"/>
      <c r="B140" s="73">
        <f t="shared" si="119"/>
        <v>-59090.909090909088</v>
      </c>
      <c r="E140" s="148">
        <v>42826</v>
      </c>
      <c r="G140" s="139">
        <v>33</v>
      </c>
      <c r="H140" s="139">
        <v>0</v>
      </c>
      <c r="I140" s="49">
        <f t="shared" si="120"/>
        <v>46522</v>
      </c>
      <c r="J140" s="76">
        <v>1950000</v>
      </c>
      <c r="K140" s="40">
        <f t="shared" si="121"/>
        <v>33</v>
      </c>
      <c r="L140" s="74">
        <f t="shared" si="122"/>
        <v>1950000</v>
      </c>
      <c r="M140" s="76"/>
      <c r="N140" s="76">
        <f t="shared" si="123"/>
        <v>0</v>
      </c>
      <c r="O140" s="142"/>
      <c r="P140" s="142"/>
      <c r="Q140" s="142"/>
      <c r="R140" s="144"/>
      <c r="S140" s="144"/>
      <c r="T140" s="144"/>
      <c r="U140" s="144"/>
      <c r="V140" s="144"/>
      <c r="W140" s="144"/>
      <c r="X140" s="144"/>
      <c r="Y140" s="143"/>
      <c r="Z140" s="143">
        <f t="shared" si="124"/>
        <v>0</v>
      </c>
      <c r="AA140" s="9">
        <f t="shared" si="125"/>
        <v>0.375</v>
      </c>
      <c r="AB140" s="9">
        <f t="shared" si="126"/>
        <v>0</v>
      </c>
      <c r="AC140" s="9">
        <f t="shared" si="127"/>
        <v>0</v>
      </c>
      <c r="AD140" s="9">
        <f t="shared" si="128"/>
        <v>0</v>
      </c>
      <c r="AE140" s="40" t="e">
        <f t="shared" ca="1" si="129"/>
        <v>#NUM!</v>
      </c>
      <c r="AF140" s="40" t="e">
        <f t="shared" ca="1" si="130"/>
        <v>#NUM!</v>
      </c>
      <c r="AG140" s="40" t="e">
        <f t="shared" ca="1" si="131"/>
        <v>#NUM!</v>
      </c>
      <c r="AH140" s="40" t="e">
        <f t="shared" ca="1" si="132"/>
        <v>#NUM!</v>
      </c>
      <c r="AI140" s="40" t="e">
        <f t="shared" ca="1" si="133"/>
        <v>#NUM!</v>
      </c>
      <c r="AJ140" s="40" t="e">
        <f t="shared" ca="1" si="134"/>
        <v>#NUM!</v>
      </c>
      <c r="AK140" s="203" t="e">
        <f t="shared" ca="1" si="135"/>
        <v>#NUM!</v>
      </c>
      <c r="AL140" s="40" t="e">
        <f t="shared" ca="1" si="136"/>
        <v>#NUM!</v>
      </c>
      <c r="AM140" s="40" t="e">
        <f t="shared" ca="1" si="137"/>
        <v>#NUM!</v>
      </c>
      <c r="AN140" s="40" t="e">
        <f t="shared" ca="1" si="138"/>
        <v>#NUM!</v>
      </c>
      <c r="AO140" s="40" t="e">
        <f t="shared" ca="1" si="139"/>
        <v>#NUM!</v>
      </c>
      <c r="AP140" s="40" t="e">
        <f t="shared" ca="1" si="140"/>
        <v>#NUM!</v>
      </c>
      <c r="AQ140" s="40" t="e">
        <f t="shared" ca="1" si="141"/>
        <v>#NUM!</v>
      </c>
      <c r="AR140" s="40" t="e">
        <f t="shared" ca="1" si="142"/>
        <v>#NUM!</v>
      </c>
      <c r="AS140" s="40" t="e">
        <f t="shared" ca="1" si="143"/>
        <v>#NUM!</v>
      </c>
    </row>
    <row r="141" spans="1:45" x14ac:dyDescent="0.25">
      <c r="A141" s="154"/>
      <c r="B141" s="73">
        <f t="shared" si="119"/>
        <v>-59090.909090909088</v>
      </c>
      <c r="E141" s="148">
        <v>42826</v>
      </c>
      <c r="G141" s="139">
        <v>33</v>
      </c>
      <c r="H141" s="139">
        <v>0</v>
      </c>
      <c r="I141" s="49">
        <f t="shared" si="120"/>
        <v>46522</v>
      </c>
      <c r="J141" s="76">
        <v>1950000</v>
      </c>
      <c r="K141" s="40">
        <f t="shared" si="121"/>
        <v>33</v>
      </c>
      <c r="L141" s="74">
        <f t="shared" si="122"/>
        <v>1950000</v>
      </c>
      <c r="M141" s="76"/>
      <c r="N141" s="76">
        <f t="shared" si="123"/>
        <v>0</v>
      </c>
      <c r="O141" s="142"/>
      <c r="P141" s="142"/>
      <c r="Q141" s="142"/>
      <c r="R141" s="144"/>
      <c r="S141" s="144"/>
      <c r="T141" s="144"/>
      <c r="U141" s="144"/>
      <c r="V141" s="144"/>
      <c r="W141" s="144"/>
      <c r="X141" s="144"/>
      <c r="Y141" s="143"/>
      <c r="Z141" s="143">
        <f t="shared" si="124"/>
        <v>0</v>
      </c>
      <c r="AA141" s="9">
        <f t="shared" si="125"/>
        <v>0.375</v>
      </c>
      <c r="AB141" s="9">
        <f t="shared" si="126"/>
        <v>0</v>
      </c>
      <c r="AC141" s="9">
        <f t="shared" si="127"/>
        <v>0</v>
      </c>
      <c r="AD141" s="9">
        <f t="shared" si="128"/>
        <v>0</v>
      </c>
      <c r="AE141" s="40" t="e">
        <f t="shared" ca="1" si="129"/>
        <v>#NUM!</v>
      </c>
      <c r="AF141" s="40" t="e">
        <f t="shared" ca="1" si="130"/>
        <v>#NUM!</v>
      </c>
      <c r="AG141" s="40" t="e">
        <f t="shared" ca="1" si="131"/>
        <v>#NUM!</v>
      </c>
      <c r="AH141" s="40" t="e">
        <f t="shared" ca="1" si="132"/>
        <v>#NUM!</v>
      </c>
      <c r="AI141" s="40" t="e">
        <f t="shared" ca="1" si="133"/>
        <v>#NUM!</v>
      </c>
      <c r="AJ141" s="40" t="e">
        <f t="shared" ca="1" si="134"/>
        <v>#NUM!</v>
      </c>
      <c r="AK141" s="203" t="e">
        <f t="shared" ca="1" si="135"/>
        <v>#NUM!</v>
      </c>
      <c r="AL141" s="40" t="e">
        <f t="shared" ca="1" si="136"/>
        <v>#NUM!</v>
      </c>
      <c r="AM141" s="40" t="e">
        <f t="shared" ca="1" si="137"/>
        <v>#NUM!</v>
      </c>
      <c r="AN141" s="40" t="e">
        <f t="shared" ca="1" si="138"/>
        <v>#NUM!</v>
      </c>
      <c r="AO141" s="40" t="e">
        <f t="shared" ca="1" si="139"/>
        <v>#NUM!</v>
      </c>
      <c r="AP141" s="40" t="e">
        <f t="shared" ca="1" si="140"/>
        <v>#NUM!</v>
      </c>
      <c r="AQ141" s="40" t="e">
        <f t="shared" ca="1" si="141"/>
        <v>#NUM!</v>
      </c>
      <c r="AR141" s="40" t="e">
        <f t="shared" ca="1" si="142"/>
        <v>#NUM!</v>
      </c>
      <c r="AS141" s="40" t="e">
        <f t="shared" ca="1" si="143"/>
        <v>#NUM!</v>
      </c>
    </row>
    <row r="142" spans="1:45" x14ac:dyDescent="0.25">
      <c r="A142" s="154"/>
      <c r="B142" s="73">
        <f t="shared" si="119"/>
        <v>-59090.909090909088</v>
      </c>
      <c r="E142" s="148">
        <v>42826</v>
      </c>
      <c r="G142" s="139">
        <v>33</v>
      </c>
      <c r="H142" s="139">
        <v>0</v>
      </c>
      <c r="I142" s="49">
        <f t="shared" si="120"/>
        <v>46522</v>
      </c>
      <c r="J142" s="76">
        <v>1950000</v>
      </c>
      <c r="K142" s="40">
        <f t="shared" si="121"/>
        <v>33</v>
      </c>
      <c r="L142" s="74">
        <f t="shared" si="122"/>
        <v>1950000</v>
      </c>
      <c r="M142" s="76"/>
      <c r="N142" s="76">
        <f t="shared" si="123"/>
        <v>0</v>
      </c>
      <c r="O142" s="142"/>
      <c r="P142" s="142"/>
      <c r="Q142" s="142"/>
      <c r="R142" s="144"/>
      <c r="S142" s="144"/>
      <c r="T142" s="144"/>
      <c r="U142" s="144"/>
      <c r="V142" s="144"/>
      <c r="W142" s="144"/>
      <c r="X142" s="144"/>
      <c r="Y142" s="143"/>
      <c r="Z142" s="143">
        <f t="shared" si="124"/>
        <v>0</v>
      </c>
      <c r="AA142" s="9">
        <f t="shared" si="125"/>
        <v>0.375</v>
      </c>
      <c r="AB142" s="9">
        <f t="shared" si="126"/>
        <v>0</v>
      </c>
      <c r="AC142" s="9">
        <f t="shared" si="127"/>
        <v>0</v>
      </c>
      <c r="AD142" s="9">
        <f t="shared" si="128"/>
        <v>0</v>
      </c>
      <c r="AE142" s="40" t="e">
        <f t="shared" ca="1" si="129"/>
        <v>#NUM!</v>
      </c>
      <c r="AF142" s="40" t="e">
        <f t="shared" ca="1" si="130"/>
        <v>#NUM!</v>
      </c>
      <c r="AG142" s="40" t="e">
        <f t="shared" ca="1" si="131"/>
        <v>#NUM!</v>
      </c>
      <c r="AH142" s="40" t="e">
        <f t="shared" ca="1" si="132"/>
        <v>#NUM!</v>
      </c>
      <c r="AI142" s="40" t="e">
        <f t="shared" ca="1" si="133"/>
        <v>#NUM!</v>
      </c>
      <c r="AJ142" s="40" t="e">
        <f t="shared" ca="1" si="134"/>
        <v>#NUM!</v>
      </c>
      <c r="AK142" s="203" t="e">
        <f t="shared" ca="1" si="135"/>
        <v>#NUM!</v>
      </c>
      <c r="AL142" s="40" t="e">
        <f t="shared" ca="1" si="136"/>
        <v>#NUM!</v>
      </c>
      <c r="AM142" s="40" t="e">
        <f t="shared" ca="1" si="137"/>
        <v>#NUM!</v>
      </c>
      <c r="AN142" s="40" t="e">
        <f t="shared" ca="1" si="138"/>
        <v>#NUM!</v>
      </c>
      <c r="AO142" s="40" t="e">
        <f t="shared" ca="1" si="139"/>
        <v>#NUM!</v>
      </c>
      <c r="AP142" s="40" t="e">
        <f t="shared" ca="1" si="140"/>
        <v>#NUM!</v>
      </c>
      <c r="AQ142" s="40" t="e">
        <f t="shared" ca="1" si="141"/>
        <v>#NUM!</v>
      </c>
      <c r="AR142" s="40" t="e">
        <f t="shared" ca="1" si="142"/>
        <v>#NUM!</v>
      </c>
      <c r="AS142" s="40" t="e">
        <f t="shared" ca="1" si="143"/>
        <v>#NUM!</v>
      </c>
    </row>
    <row r="143" spans="1:45" x14ac:dyDescent="0.25">
      <c r="A143" s="154"/>
      <c r="B143" s="73">
        <f t="shared" si="119"/>
        <v>-59090.909090909088</v>
      </c>
      <c r="E143" s="148">
        <v>42826</v>
      </c>
      <c r="G143" s="139">
        <v>33</v>
      </c>
      <c r="H143" s="139">
        <v>0</v>
      </c>
      <c r="I143" s="49">
        <f t="shared" si="120"/>
        <v>46522</v>
      </c>
      <c r="J143" s="76">
        <v>1950000</v>
      </c>
      <c r="K143" s="40">
        <f t="shared" si="121"/>
        <v>33</v>
      </c>
      <c r="L143" s="74">
        <f t="shared" si="122"/>
        <v>1950000</v>
      </c>
      <c r="M143" s="76"/>
      <c r="N143" s="76">
        <f t="shared" si="123"/>
        <v>0</v>
      </c>
      <c r="O143" s="142"/>
      <c r="P143" s="142"/>
      <c r="Q143" s="142"/>
      <c r="R143" s="144"/>
      <c r="S143" s="144"/>
      <c r="T143" s="144"/>
      <c r="U143" s="144"/>
      <c r="V143" s="144"/>
      <c r="W143" s="144"/>
      <c r="X143" s="144"/>
      <c r="Y143" s="143"/>
      <c r="Z143" s="143">
        <f t="shared" si="124"/>
        <v>0</v>
      </c>
      <c r="AA143" s="9">
        <f t="shared" si="125"/>
        <v>0.375</v>
      </c>
      <c r="AB143" s="9">
        <f t="shared" si="126"/>
        <v>0</v>
      </c>
      <c r="AC143" s="9">
        <f t="shared" si="127"/>
        <v>0</v>
      </c>
      <c r="AD143" s="9">
        <f t="shared" si="128"/>
        <v>0</v>
      </c>
      <c r="AE143" s="40" t="e">
        <f t="shared" ca="1" si="129"/>
        <v>#NUM!</v>
      </c>
      <c r="AF143" s="40" t="e">
        <f t="shared" ca="1" si="130"/>
        <v>#NUM!</v>
      </c>
      <c r="AG143" s="40" t="e">
        <f t="shared" ca="1" si="131"/>
        <v>#NUM!</v>
      </c>
      <c r="AH143" s="40" t="e">
        <f t="shared" ca="1" si="132"/>
        <v>#NUM!</v>
      </c>
      <c r="AI143" s="40" t="e">
        <f t="shared" ca="1" si="133"/>
        <v>#NUM!</v>
      </c>
      <c r="AJ143" s="40" t="e">
        <f t="shared" ca="1" si="134"/>
        <v>#NUM!</v>
      </c>
      <c r="AK143" s="203" t="e">
        <f t="shared" ca="1" si="135"/>
        <v>#NUM!</v>
      </c>
      <c r="AL143" s="40" t="e">
        <f t="shared" ca="1" si="136"/>
        <v>#NUM!</v>
      </c>
      <c r="AM143" s="40" t="e">
        <f t="shared" ca="1" si="137"/>
        <v>#NUM!</v>
      </c>
      <c r="AN143" s="40" t="e">
        <f t="shared" ca="1" si="138"/>
        <v>#NUM!</v>
      </c>
      <c r="AO143" s="40" t="e">
        <f t="shared" ca="1" si="139"/>
        <v>#NUM!</v>
      </c>
      <c r="AP143" s="40" t="e">
        <f t="shared" ca="1" si="140"/>
        <v>#NUM!</v>
      </c>
      <c r="AQ143" s="40" t="e">
        <f t="shared" ca="1" si="141"/>
        <v>#NUM!</v>
      </c>
      <c r="AR143" s="40" t="e">
        <f t="shared" ca="1" si="142"/>
        <v>#NUM!</v>
      </c>
      <c r="AS143" s="40" t="e">
        <f t="shared" ca="1" si="143"/>
        <v>#NUM!</v>
      </c>
    </row>
    <row r="144" spans="1:45" x14ac:dyDescent="0.25">
      <c r="A144" s="154"/>
      <c r="B144" s="73">
        <f t="shared" si="119"/>
        <v>-59090.909090909088</v>
      </c>
      <c r="E144" s="148">
        <v>42826</v>
      </c>
      <c r="G144" s="139">
        <v>33</v>
      </c>
      <c r="H144" s="139">
        <v>0</v>
      </c>
      <c r="I144" s="49">
        <f t="shared" si="120"/>
        <v>46522</v>
      </c>
      <c r="J144" s="76">
        <v>1950000</v>
      </c>
      <c r="K144" s="40">
        <f t="shared" si="121"/>
        <v>33</v>
      </c>
      <c r="L144" s="74">
        <f t="shared" si="122"/>
        <v>1950000</v>
      </c>
      <c r="M144" s="76"/>
      <c r="N144" s="76">
        <f t="shared" si="123"/>
        <v>0</v>
      </c>
      <c r="O144" s="142"/>
      <c r="P144" s="142"/>
      <c r="Q144" s="142"/>
      <c r="R144" s="144"/>
      <c r="S144" s="144"/>
      <c r="T144" s="144"/>
      <c r="U144" s="144"/>
      <c r="V144" s="144"/>
      <c r="W144" s="144"/>
      <c r="X144" s="144"/>
      <c r="Y144" s="143"/>
      <c r="Z144" s="143">
        <f t="shared" si="124"/>
        <v>0</v>
      </c>
      <c r="AA144" s="9">
        <f t="shared" si="125"/>
        <v>0.375</v>
      </c>
      <c r="AB144" s="9">
        <f t="shared" si="126"/>
        <v>0</v>
      </c>
      <c r="AC144" s="9">
        <f t="shared" si="127"/>
        <v>0</v>
      </c>
      <c r="AD144" s="9">
        <f t="shared" si="128"/>
        <v>0</v>
      </c>
      <c r="AE144" s="40" t="e">
        <f t="shared" ca="1" si="129"/>
        <v>#NUM!</v>
      </c>
      <c r="AF144" s="40" t="e">
        <f t="shared" ca="1" si="130"/>
        <v>#NUM!</v>
      </c>
      <c r="AG144" s="40" t="e">
        <f t="shared" ca="1" si="131"/>
        <v>#NUM!</v>
      </c>
      <c r="AH144" s="40" t="e">
        <f t="shared" ca="1" si="132"/>
        <v>#NUM!</v>
      </c>
      <c r="AI144" s="40" t="e">
        <f t="shared" ca="1" si="133"/>
        <v>#NUM!</v>
      </c>
      <c r="AJ144" s="40" t="e">
        <f t="shared" ca="1" si="134"/>
        <v>#NUM!</v>
      </c>
      <c r="AK144" s="203" t="e">
        <f t="shared" ca="1" si="135"/>
        <v>#NUM!</v>
      </c>
      <c r="AL144" s="40" t="e">
        <f t="shared" ca="1" si="136"/>
        <v>#NUM!</v>
      </c>
      <c r="AM144" s="40" t="e">
        <f t="shared" ca="1" si="137"/>
        <v>#NUM!</v>
      </c>
      <c r="AN144" s="40" t="e">
        <f t="shared" ca="1" si="138"/>
        <v>#NUM!</v>
      </c>
      <c r="AO144" s="40" t="e">
        <f t="shared" ca="1" si="139"/>
        <v>#NUM!</v>
      </c>
      <c r="AP144" s="40" t="e">
        <f t="shared" ca="1" si="140"/>
        <v>#NUM!</v>
      </c>
      <c r="AQ144" s="40" t="e">
        <f t="shared" ca="1" si="141"/>
        <v>#NUM!</v>
      </c>
      <c r="AR144" s="40" t="e">
        <f t="shared" ca="1" si="142"/>
        <v>#NUM!</v>
      </c>
      <c r="AS144" s="40" t="e">
        <f t="shared" ca="1" si="143"/>
        <v>#NUM!</v>
      </c>
    </row>
    <row r="145" spans="1:45" x14ac:dyDescent="0.25">
      <c r="A145" s="154"/>
      <c r="B145" s="73">
        <f t="shared" si="119"/>
        <v>-59090.909090909088</v>
      </c>
      <c r="E145" s="148">
        <v>42826</v>
      </c>
      <c r="G145" s="139">
        <v>33</v>
      </c>
      <c r="H145" s="139">
        <v>0</v>
      </c>
      <c r="I145" s="49">
        <f t="shared" si="120"/>
        <v>46522</v>
      </c>
      <c r="J145" s="76">
        <v>1950000</v>
      </c>
      <c r="K145" s="40">
        <f t="shared" si="121"/>
        <v>33</v>
      </c>
      <c r="L145" s="74">
        <f t="shared" si="122"/>
        <v>1950000</v>
      </c>
      <c r="M145" s="76"/>
      <c r="N145" s="76">
        <f t="shared" si="123"/>
        <v>0</v>
      </c>
      <c r="O145" s="142"/>
      <c r="P145" s="142"/>
      <c r="Q145" s="142"/>
      <c r="R145" s="144"/>
      <c r="S145" s="144"/>
      <c r="T145" s="144"/>
      <c r="U145" s="144"/>
      <c r="V145" s="144"/>
      <c r="W145" s="144"/>
      <c r="X145" s="144"/>
      <c r="Y145" s="143"/>
      <c r="Z145" s="143">
        <f t="shared" si="124"/>
        <v>0</v>
      </c>
      <c r="AA145" s="9">
        <f t="shared" si="125"/>
        <v>0.375</v>
      </c>
      <c r="AB145" s="9">
        <f t="shared" si="126"/>
        <v>0</v>
      </c>
      <c r="AC145" s="9">
        <f t="shared" si="127"/>
        <v>0</v>
      </c>
      <c r="AD145" s="9">
        <f t="shared" si="128"/>
        <v>0</v>
      </c>
      <c r="AE145" s="40" t="e">
        <f t="shared" ca="1" si="129"/>
        <v>#NUM!</v>
      </c>
      <c r="AF145" s="40" t="e">
        <f t="shared" ca="1" si="130"/>
        <v>#NUM!</v>
      </c>
      <c r="AG145" s="40" t="e">
        <f t="shared" ca="1" si="131"/>
        <v>#NUM!</v>
      </c>
      <c r="AH145" s="40" t="e">
        <f t="shared" ca="1" si="132"/>
        <v>#NUM!</v>
      </c>
      <c r="AI145" s="40" t="e">
        <f t="shared" ca="1" si="133"/>
        <v>#NUM!</v>
      </c>
      <c r="AJ145" s="40" t="e">
        <f t="shared" ca="1" si="134"/>
        <v>#NUM!</v>
      </c>
      <c r="AK145" s="203" t="e">
        <f t="shared" ca="1" si="135"/>
        <v>#NUM!</v>
      </c>
      <c r="AL145" s="40" t="e">
        <f t="shared" ca="1" si="136"/>
        <v>#NUM!</v>
      </c>
      <c r="AM145" s="40" t="e">
        <f t="shared" ca="1" si="137"/>
        <v>#NUM!</v>
      </c>
      <c r="AN145" s="40" t="e">
        <f t="shared" ca="1" si="138"/>
        <v>#NUM!</v>
      </c>
      <c r="AO145" s="40" t="e">
        <f t="shared" ca="1" si="139"/>
        <v>#NUM!</v>
      </c>
      <c r="AP145" s="40" t="e">
        <f t="shared" ca="1" si="140"/>
        <v>#NUM!</v>
      </c>
      <c r="AQ145" s="40" t="e">
        <f t="shared" ca="1" si="141"/>
        <v>#NUM!</v>
      </c>
      <c r="AR145" s="40" t="e">
        <f t="shared" ca="1" si="142"/>
        <v>#NUM!</v>
      </c>
      <c r="AS145" s="40" t="e">
        <f t="shared" ca="1" si="143"/>
        <v>#NUM!</v>
      </c>
    </row>
    <row r="146" spans="1:45" x14ac:dyDescent="0.25">
      <c r="A146" s="154"/>
      <c r="B146" s="73">
        <f t="shared" si="119"/>
        <v>-59090.909090909088</v>
      </c>
      <c r="E146" s="148">
        <v>42826</v>
      </c>
      <c r="G146" s="139">
        <v>33</v>
      </c>
      <c r="H146" s="139">
        <v>0</v>
      </c>
      <c r="I146" s="49">
        <f t="shared" si="120"/>
        <v>46522</v>
      </c>
      <c r="J146" s="76">
        <v>1950000</v>
      </c>
      <c r="K146" s="40">
        <f t="shared" si="121"/>
        <v>33</v>
      </c>
      <c r="L146" s="74">
        <f t="shared" si="122"/>
        <v>1950000</v>
      </c>
      <c r="M146" s="76"/>
      <c r="N146" s="76">
        <f t="shared" si="123"/>
        <v>0</v>
      </c>
      <c r="O146" s="142"/>
      <c r="P146" s="142"/>
      <c r="Q146" s="142"/>
      <c r="R146" s="144"/>
      <c r="S146" s="144"/>
      <c r="T146" s="144"/>
      <c r="U146" s="144"/>
      <c r="V146" s="144"/>
      <c r="W146" s="144"/>
      <c r="X146" s="144"/>
      <c r="Y146" s="143"/>
      <c r="Z146" s="143">
        <f t="shared" si="124"/>
        <v>0</v>
      </c>
      <c r="AA146" s="9">
        <f t="shared" si="125"/>
        <v>0.375</v>
      </c>
      <c r="AB146" s="9">
        <f t="shared" si="126"/>
        <v>0</v>
      </c>
      <c r="AC146" s="9">
        <f t="shared" si="127"/>
        <v>0</v>
      </c>
      <c r="AD146" s="9">
        <f t="shared" si="128"/>
        <v>0</v>
      </c>
      <c r="AE146" s="40" t="e">
        <f t="shared" ca="1" si="129"/>
        <v>#NUM!</v>
      </c>
      <c r="AF146" s="40" t="e">
        <f t="shared" ca="1" si="130"/>
        <v>#NUM!</v>
      </c>
      <c r="AG146" s="40" t="e">
        <f t="shared" ca="1" si="131"/>
        <v>#NUM!</v>
      </c>
      <c r="AH146" s="40" t="e">
        <f t="shared" ca="1" si="132"/>
        <v>#NUM!</v>
      </c>
      <c r="AI146" s="40" t="e">
        <f t="shared" ca="1" si="133"/>
        <v>#NUM!</v>
      </c>
      <c r="AJ146" s="40" t="e">
        <f t="shared" ca="1" si="134"/>
        <v>#NUM!</v>
      </c>
      <c r="AK146" s="203" t="e">
        <f t="shared" ca="1" si="135"/>
        <v>#NUM!</v>
      </c>
      <c r="AL146" s="40" t="e">
        <f t="shared" ca="1" si="136"/>
        <v>#NUM!</v>
      </c>
      <c r="AM146" s="40" t="e">
        <f t="shared" ca="1" si="137"/>
        <v>#NUM!</v>
      </c>
      <c r="AN146" s="40" t="e">
        <f t="shared" ca="1" si="138"/>
        <v>#NUM!</v>
      </c>
      <c r="AO146" s="40" t="e">
        <f t="shared" ca="1" si="139"/>
        <v>#NUM!</v>
      </c>
      <c r="AP146" s="40" t="e">
        <f t="shared" ca="1" si="140"/>
        <v>#NUM!</v>
      </c>
      <c r="AQ146" s="40" t="e">
        <f t="shared" ca="1" si="141"/>
        <v>#NUM!</v>
      </c>
      <c r="AR146" s="40" t="e">
        <f t="shared" ca="1" si="142"/>
        <v>#NUM!</v>
      </c>
      <c r="AS146" s="40" t="e">
        <f t="shared" ca="1" si="143"/>
        <v>#NUM!</v>
      </c>
    </row>
    <row r="147" spans="1:45" x14ac:dyDescent="0.25">
      <c r="A147" s="154"/>
      <c r="B147" s="73">
        <f t="shared" si="119"/>
        <v>-59090.909090909088</v>
      </c>
      <c r="E147" s="148">
        <v>42826</v>
      </c>
      <c r="G147" s="139">
        <v>33</v>
      </c>
      <c r="H147" s="139">
        <v>0</v>
      </c>
      <c r="I147" s="49">
        <f t="shared" si="120"/>
        <v>46522</v>
      </c>
      <c r="J147" s="76">
        <v>1950000</v>
      </c>
      <c r="K147" s="40">
        <f t="shared" si="121"/>
        <v>33</v>
      </c>
      <c r="L147" s="74">
        <f t="shared" si="122"/>
        <v>1950000</v>
      </c>
      <c r="M147" s="76"/>
      <c r="N147" s="76">
        <f t="shared" si="123"/>
        <v>0</v>
      </c>
      <c r="O147" s="142"/>
      <c r="P147" s="142"/>
      <c r="Q147" s="142"/>
      <c r="R147" s="144"/>
      <c r="S147" s="144"/>
      <c r="T147" s="144"/>
      <c r="U147" s="144"/>
      <c r="V147" s="144"/>
      <c r="W147" s="144"/>
      <c r="X147" s="144"/>
      <c r="Y147" s="143"/>
      <c r="Z147" s="143">
        <f t="shared" si="124"/>
        <v>0</v>
      </c>
      <c r="AA147" s="9">
        <f t="shared" si="125"/>
        <v>0.375</v>
      </c>
      <c r="AB147" s="9">
        <f t="shared" si="126"/>
        <v>0</v>
      </c>
      <c r="AC147" s="9">
        <f t="shared" si="127"/>
        <v>0</v>
      </c>
      <c r="AD147" s="9">
        <f t="shared" si="128"/>
        <v>0</v>
      </c>
      <c r="AE147" s="40" t="e">
        <f t="shared" ca="1" si="129"/>
        <v>#NUM!</v>
      </c>
      <c r="AF147" s="40" t="e">
        <f t="shared" ca="1" si="130"/>
        <v>#NUM!</v>
      </c>
      <c r="AG147" s="40" t="e">
        <f t="shared" ca="1" si="131"/>
        <v>#NUM!</v>
      </c>
      <c r="AH147" s="40" t="e">
        <f t="shared" ca="1" si="132"/>
        <v>#NUM!</v>
      </c>
      <c r="AI147" s="40" t="e">
        <f t="shared" ca="1" si="133"/>
        <v>#NUM!</v>
      </c>
      <c r="AJ147" s="40" t="e">
        <f t="shared" ca="1" si="134"/>
        <v>#NUM!</v>
      </c>
      <c r="AK147" s="203" t="e">
        <f t="shared" ca="1" si="135"/>
        <v>#NUM!</v>
      </c>
      <c r="AL147" s="40" t="e">
        <f t="shared" ca="1" si="136"/>
        <v>#NUM!</v>
      </c>
      <c r="AM147" s="40" t="e">
        <f t="shared" ca="1" si="137"/>
        <v>#NUM!</v>
      </c>
      <c r="AN147" s="40" t="e">
        <f t="shared" ca="1" si="138"/>
        <v>#NUM!</v>
      </c>
      <c r="AO147" s="40" t="e">
        <f t="shared" ca="1" si="139"/>
        <v>#NUM!</v>
      </c>
      <c r="AP147" s="40" t="e">
        <f t="shared" ca="1" si="140"/>
        <v>#NUM!</v>
      </c>
      <c r="AQ147" s="40" t="e">
        <f t="shared" ca="1" si="141"/>
        <v>#NUM!</v>
      </c>
      <c r="AR147" s="40" t="e">
        <f t="shared" ca="1" si="142"/>
        <v>#NUM!</v>
      </c>
      <c r="AS147" s="40" t="e">
        <f t="shared" ca="1" si="143"/>
        <v>#NUM!</v>
      </c>
    </row>
    <row r="148" spans="1:45" x14ac:dyDescent="0.25">
      <c r="A148" s="154"/>
      <c r="B148" s="73">
        <f t="shared" si="119"/>
        <v>-59090.909090909088</v>
      </c>
      <c r="E148" s="148">
        <v>42826</v>
      </c>
      <c r="G148" s="139">
        <v>33</v>
      </c>
      <c r="H148" s="139">
        <v>0</v>
      </c>
      <c r="I148" s="49">
        <f t="shared" si="120"/>
        <v>46522</v>
      </c>
      <c r="J148" s="76">
        <v>1950000</v>
      </c>
      <c r="K148" s="40">
        <f t="shared" si="121"/>
        <v>33</v>
      </c>
      <c r="L148" s="74">
        <f t="shared" si="122"/>
        <v>1950000</v>
      </c>
      <c r="M148" s="76"/>
      <c r="N148" s="76">
        <f t="shared" si="123"/>
        <v>0</v>
      </c>
      <c r="O148" s="142"/>
      <c r="P148" s="142"/>
      <c r="Q148" s="142"/>
      <c r="R148" s="144"/>
      <c r="S148" s="144"/>
      <c r="T148" s="144"/>
      <c r="U148" s="144"/>
      <c r="V148" s="144"/>
      <c r="W148" s="144"/>
      <c r="X148" s="144"/>
      <c r="Y148" s="143"/>
      <c r="Z148" s="143">
        <f t="shared" si="124"/>
        <v>0</v>
      </c>
      <c r="AA148" s="9">
        <f t="shared" si="125"/>
        <v>0.375</v>
      </c>
      <c r="AB148" s="9">
        <f t="shared" si="126"/>
        <v>0</v>
      </c>
      <c r="AC148" s="9">
        <f t="shared" si="127"/>
        <v>0</v>
      </c>
      <c r="AD148" s="9">
        <f t="shared" si="128"/>
        <v>0</v>
      </c>
      <c r="AE148" s="40" t="e">
        <f t="shared" ca="1" si="129"/>
        <v>#NUM!</v>
      </c>
      <c r="AF148" s="40" t="e">
        <f t="shared" ca="1" si="130"/>
        <v>#NUM!</v>
      </c>
      <c r="AG148" s="40" t="e">
        <f t="shared" ca="1" si="131"/>
        <v>#NUM!</v>
      </c>
      <c r="AH148" s="40" t="e">
        <f t="shared" ca="1" si="132"/>
        <v>#NUM!</v>
      </c>
      <c r="AI148" s="40" t="e">
        <f t="shared" ca="1" si="133"/>
        <v>#NUM!</v>
      </c>
      <c r="AJ148" s="40" t="e">
        <f t="shared" ca="1" si="134"/>
        <v>#NUM!</v>
      </c>
      <c r="AK148" s="203" t="e">
        <f t="shared" ca="1" si="135"/>
        <v>#NUM!</v>
      </c>
      <c r="AL148" s="40" t="e">
        <f t="shared" ca="1" si="136"/>
        <v>#NUM!</v>
      </c>
      <c r="AM148" s="40" t="e">
        <f t="shared" ca="1" si="137"/>
        <v>#NUM!</v>
      </c>
      <c r="AN148" s="40" t="e">
        <f t="shared" ca="1" si="138"/>
        <v>#NUM!</v>
      </c>
      <c r="AO148" s="40" t="e">
        <f t="shared" ca="1" si="139"/>
        <v>#NUM!</v>
      </c>
      <c r="AP148" s="40" t="e">
        <f t="shared" ca="1" si="140"/>
        <v>#NUM!</v>
      </c>
      <c r="AQ148" s="40" t="e">
        <f t="shared" ca="1" si="141"/>
        <v>#NUM!</v>
      </c>
      <c r="AR148" s="40" t="e">
        <f t="shared" ca="1" si="142"/>
        <v>#NUM!</v>
      </c>
      <c r="AS148" s="40" t="e">
        <f t="shared" ca="1" si="143"/>
        <v>#NUM!</v>
      </c>
    </row>
    <row r="149" spans="1:45" x14ac:dyDescent="0.25">
      <c r="A149" s="154"/>
      <c r="B149" s="73">
        <f t="shared" si="119"/>
        <v>-59090.909090909088</v>
      </c>
      <c r="E149" s="148">
        <v>42826</v>
      </c>
      <c r="G149" s="139">
        <v>33</v>
      </c>
      <c r="H149" s="139">
        <v>0</v>
      </c>
      <c r="I149" s="49">
        <f t="shared" si="120"/>
        <v>46522</v>
      </c>
      <c r="J149" s="76">
        <v>1950000</v>
      </c>
      <c r="K149" s="40">
        <f t="shared" si="121"/>
        <v>33</v>
      </c>
      <c r="L149" s="74">
        <f t="shared" si="122"/>
        <v>1950000</v>
      </c>
      <c r="M149" s="76"/>
      <c r="N149" s="76">
        <f t="shared" si="123"/>
        <v>0</v>
      </c>
      <c r="O149" s="142"/>
      <c r="P149" s="142"/>
      <c r="Q149" s="142"/>
      <c r="R149" s="144"/>
      <c r="S149" s="144"/>
      <c r="T149" s="144"/>
      <c r="U149" s="144"/>
      <c r="V149" s="144"/>
      <c r="W149" s="144"/>
      <c r="X149" s="144"/>
      <c r="Y149" s="143"/>
      <c r="Z149" s="143">
        <f t="shared" si="124"/>
        <v>0</v>
      </c>
      <c r="AA149" s="9">
        <f t="shared" si="125"/>
        <v>0.375</v>
      </c>
      <c r="AB149" s="9">
        <f t="shared" si="126"/>
        <v>0</v>
      </c>
      <c r="AC149" s="9">
        <f t="shared" si="127"/>
        <v>0</v>
      </c>
      <c r="AD149" s="9">
        <f t="shared" si="128"/>
        <v>0</v>
      </c>
      <c r="AE149" s="40" t="e">
        <f t="shared" ca="1" si="129"/>
        <v>#NUM!</v>
      </c>
      <c r="AF149" s="40" t="e">
        <f t="shared" ca="1" si="130"/>
        <v>#NUM!</v>
      </c>
      <c r="AG149" s="40" t="e">
        <f t="shared" ca="1" si="131"/>
        <v>#NUM!</v>
      </c>
      <c r="AH149" s="40" t="e">
        <f t="shared" ca="1" si="132"/>
        <v>#NUM!</v>
      </c>
      <c r="AI149" s="40" t="e">
        <f t="shared" ca="1" si="133"/>
        <v>#NUM!</v>
      </c>
      <c r="AJ149" s="40" t="e">
        <f t="shared" ca="1" si="134"/>
        <v>#NUM!</v>
      </c>
      <c r="AK149" s="203" t="e">
        <f t="shared" ca="1" si="135"/>
        <v>#NUM!</v>
      </c>
      <c r="AL149" s="40" t="e">
        <f t="shared" ca="1" si="136"/>
        <v>#NUM!</v>
      </c>
      <c r="AM149" s="40" t="e">
        <f t="shared" ca="1" si="137"/>
        <v>#NUM!</v>
      </c>
      <c r="AN149" s="40" t="e">
        <f t="shared" ca="1" si="138"/>
        <v>#NUM!</v>
      </c>
      <c r="AO149" s="40" t="e">
        <f t="shared" ca="1" si="139"/>
        <v>#NUM!</v>
      </c>
      <c r="AP149" s="40" t="e">
        <f t="shared" ca="1" si="140"/>
        <v>#NUM!</v>
      </c>
      <c r="AQ149" s="40" t="e">
        <f t="shared" ca="1" si="141"/>
        <v>#NUM!</v>
      </c>
      <c r="AR149" s="40" t="e">
        <f t="shared" ca="1" si="142"/>
        <v>#NUM!</v>
      </c>
      <c r="AS149" s="40" t="e">
        <f t="shared" ca="1" si="143"/>
        <v>#NUM!</v>
      </c>
    </row>
    <row r="150" spans="1:45" x14ac:dyDescent="0.25">
      <c r="A150" s="154"/>
      <c r="B150" s="73">
        <f t="shared" si="119"/>
        <v>-59090.909090909088</v>
      </c>
      <c r="E150" s="148">
        <v>42826</v>
      </c>
      <c r="G150" s="139">
        <v>33</v>
      </c>
      <c r="H150" s="139">
        <v>0</v>
      </c>
      <c r="I150" s="49">
        <f t="shared" si="120"/>
        <v>46522</v>
      </c>
      <c r="J150" s="76">
        <v>1950000</v>
      </c>
      <c r="K150" s="40">
        <f t="shared" si="121"/>
        <v>33</v>
      </c>
      <c r="L150" s="74">
        <f t="shared" si="122"/>
        <v>1950000</v>
      </c>
      <c r="M150" s="76"/>
      <c r="N150" s="76">
        <f t="shared" si="123"/>
        <v>0</v>
      </c>
      <c r="O150" s="142"/>
      <c r="P150" s="142"/>
      <c r="Q150" s="142"/>
      <c r="R150" s="144"/>
      <c r="S150" s="144"/>
      <c r="T150" s="144"/>
      <c r="U150" s="144"/>
      <c r="V150" s="144"/>
      <c r="W150" s="144"/>
      <c r="X150" s="144"/>
      <c r="Y150" s="143"/>
      <c r="Z150" s="143">
        <f t="shared" si="124"/>
        <v>0</v>
      </c>
      <c r="AA150" s="9">
        <f t="shared" si="125"/>
        <v>0.375</v>
      </c>
      <c r="AB150" s="9">
        <f t="shared" si="126"/>
        <v>0</v>
      </c>
      <c r="AC150" s="9">
        <f t="shared" si="127"/>
        <v>0</v>
      </c>
      <c r="AD150" s="9">
        <f t="shared" si="128"/>
        <v>0</v>
      </c>
      <c r="AE150" s="40" t="e">
        <f t="shared" ca="1" si="129"/>
        <v>#NUM!</v>
      </c>
      <c r="AF150" s="40" t="e">
        <f t="shared" ca="1" si="130"/>
        <v>#NUM!</v>
      </c>
      <c r="AG150" s="40" t="e">
        <f t="shared" ca="1" si="131"/>
        <v>#NUM!</v>
      </c>
      <c r="AH150" s="40" t="e">
        <f t="shared" ca="1" si="132"/>
        <v>#NUM!</v>
      </c>
      <c r="AI150" s="40" t="e">
        <f t="shared" ca="1" si="133"/>
        <v>#NUM!</v>
      </c>
      <c r="AJ150" s="40" t="e">
        <f t="shared" ca="1" si="134"/>
        <v>#NUM!</v>
      </c>
      <c r="AK150" s="203" t="e">
        <f t="shared" ca="1" si="135"/>
        <v>#NUM!</v>
      </c>
      <c r="AL150" s="40" t="e">
        <f t="shared" ca="1" si="136"/>
        <v>#NUM!</v>
      </c>
      <c r="AM150" s="40" t="e">
        <f t="shared" ca="1" si="137"/>
        <v>#NUM!</v>
      </c>
      <c r="AN150" s="40" t="e">
        <f t="shared" ca="1" si="138"/>
        <v>#NUM!</v>
      </c>
      <c r="AO150" s="40" t="e">
        <f t="shared" ca="1" si="139"/>
        <v>#NUM!</v>
      </c>
      <c r="AP150" s="40" t="e">
        <f t="shared" ca="1" si="140"/>
        <v>#NUM!</v>
      </c>
      <c r="AQ150" s="40" t="e">
        <f t="shared" ca="1" si="141"/>
        <v>#NUM!</v>
      </c>
      <c r="AR150" s="40" t="e">
        <f t="shared" ca="1" si="142"/>
        <v>#NUM!</v>
      </c>
      <c r="AS150" s="40" t="e">
        <f t="shared" ca="1" si="143"/>
        <v>#NUM!</v>
      </c>
    </row>
    <row r="151" spans="1:45" x14ac:dyDescent="0.25">
      <c r="A151" s="154"/>
      <c r="B151" s="73">
        <f t="shared" si="119"/>
        <v>-59090.909090909088</v>
      </c>
      <c r="E151" s="148">
        <v>42826</v>
      </c>
      <c r="G151" s="139">
        <v>33</v>
      </c>
      <c r="H151" s="139">
        <v>0</v>
      </c>
      <c r="I151" s="49">
        <f t="shared" si="120"/>
        <v>46522</v>
      </c>
      <c r="J151" s="76">
        <v>1950000</v>
      </c>
      <c r="K151" s="40">
        <f t="shared" si="121"/>
        <v>33</v>
      </c>
      <c r="L151" s="74">
        <f t="shared" si="122"/>
        <v>1950000</v>
      </c>
      <c r="M151" s="76"/>
      <c r="N151" s="76">
        <f t="shared" si="123"/>
        <v>0</v>
      </c>
      <c r="O151" s="142"/>
      <c r="P151" s="142"/>
      <c r="Q151" s="142"/>
      <c r="R151" s="144"/>
      <c r="S151" s="144"/>
      <c r="T151" s="144"/>
      <c r="U151" s="144"/>
      <c r="V151" s="144"/>
      <c r="W151" s="144"/>
      <c r="X151" s="144"/>
      <c r="Y151" s="143"/>
      <c r="Z151" s="143">
        <f t="shared" si="124"/>
        <v>0</v>
      </c>
      <c r="AA151" s="9">
        <f t="shared" si="125"/>
        <v>0.375</v>
      </c>
      <c r="AB151" s="9">
        <f t="shared" si="126"/>
        <v>0</v>
      </c>
      <c r="AC151" s="9">
        <f t="shared" si="127"/>
        <v>0</v>
      </c>
      <c r="AD151" s="9">
        <f t="shared" si="128"/>
        <v>0</v>
      </c>
      <c r="AE151" s="40" t="e">
        <f t="shared" ca="1" si="129"/>
        <v>#NUM!</v>
      </c>
      <c r="AF151" s="40" t="e">
        <f t="shared" ca="1" si="130"/>
        <v>#NUM!</v>
      </c>
      <c r="AG151" s="40" t="e">
        <f t="shared" ca="1" si="131"/>
        <v>#NUM!</v>
      </c>
      <c r="AH151" s="40" t="e">
        <f t="shared" ca="1" si="132"/>
        <v>#NUM!</v>
      </c>
      <c r="AI151" s="40" t="e">
        <f t="shared" ca="1" si="133"/>
        <v>#NUM!</v>
      </c>
      <c r="AJ151" s="40" t="e">
        <f t="shared" ca="1" si="134"/>
        <v>#NUM!</v>
      </c>
      <c r="AK151" s="203" t="e">
        <f t="shared" ca="1" si="135"/>
        <v>#NUM!</v>
      </c>
      <c r="AL151" s="40" t="e">
        <f t="shared" ca="1" si="136"/>
        <v>#NUM!</v>
      </c>
      <c r="AM151" s="40" t="e">
        <f t="shared" ca="1" si="137"/>
        <v>#NUM!</v>
      </c>
      <c r="AN151" s="40" t="e">
        <f t="shared" ca="1" si="138"/>
        <v>#NUM!</v>
      </c>
      <c r="AO151" s="40" t="e">
        <f t="shared" ca="1" si="139"/>
        <v>#NUM!</v>
      </c>
      <c r="AP151" s="40" t="e">
        <f t="shared" ca="1" si="140"/>
        <v>#NUM!</v>
      </c>
      <c r="AQ151" s="40" t="e">
        <f t="shared" ca="1" si="141"/>
        <v>#NUM!</v>
      </c>
      <c r="AR151" s="40" t="e">
        <f t="shared" ca="1" si="142"/>
        <v>#NUM!</v>
      </c>
      <c r="AS151" s="40" t="e">
        <f t="shared" ca="1" si="143"/>
        <v>#NUM!</v>
      </c>
    </row>
    <row r="152" spans="1:45" x14ac:dyDescent="0.25">
      <c r="A152" s="154"/>
      <c r="B152" s="73">
        <f t="shared" si="119"/>
        <v>-59090.909090909088</v>
      </c>
      <c r="E152" s="148">
        <v>42826</v>
      </c>
      <c r="G152" s="139">
        <v>33</v>
      </c>
      <c r="H152" s="139">
        <v>0</v>
      </c>
      <c r="I152" s="49">
        <f t="shared" si="120"/>
        <v>46522</v>
      </c>
      <c r="J152" s="76">
        <v>1950000</v>
      </c>
      <c r="K152" s="40">
        <f t="shared" si="121"/>
        <v>33</v>
      </c>
      <c r="L152" s="74">
        <f t="shared" si="122"/>
        <v>1950000</v>
      </c>
      <c r="M152" s="76"/>
      <c r="N152" s="76">
        <f t="shared" si="123"/>
        <v>0</v>
      </c>
      <c r="O152" s="142"/>
      <c r="P152" s="142"/>
      <c r="Q152" s="142"/>
      <c r="R152" s="144"/>
      <c r="S152" s="144"/>
      <c r="T152" s="144"/>
      <c r="U152" s="144"/>
      <c r="V152" s="144"/>
      <c r="W152" s="144"/>
      <c r="X152" s="144"/>
      <c r="Y152" s="143"/>
      <c r="Z152" s="143">
        <f t="shared" si="124"/>
        <v>0</v>
      </c>
      <c r="AA152" s="9">
        <f t="shared" si="125"/>
        <v>0.375</v>
      </c>
      <c r="AB152" s="9">
        <f t="shared" si="126"/>
        <v>0</v>
      </c>
      <c r="AC152" s="9">
        <f t="shared" si="127"/>
        <v>0</v>
      </c>
      <c r="AD152" s="9">
        <f t="shared" si="128"/>
        <v>0</v>
      </c>
      <c r="AE152" s="40" t="e">
        <f t="shared" ca="1" si="129"/>
        <v>#NUM!</v>
      </c>
      <c r="AF152" s="40" t="e">
        <f t="shared" ca="1" si="130"/>
        <v>#NUM!</v>
      </c>
      <c r="AG152" s="40" t="e">
        <f t="shared" ca="1" si="131"/>
        <v>#NUM!</v>
      </c>
      <c r="AH152" s="40" t="e">
        <f t="shared" ca="1" si="132"/>
        <v>#NUM!</v>
      </c>
      <c r="AI152" s="40" t="e">
        <f t="shared" ca="1" si="133"/>
        <v>#NUM!</v>
      </c>
      <c r="AJ152" s="40" t="e">
        <f t="shared" ca="1" si="134"/>
        <v>#NUM!</v>
      </c>
      <c r="AK152" s="203" t="e">
        <f t="shared" ca="1" si="135"/>
        <v>#NUM!</v>
      </c>
      <c r="AL152" s="40" t="e">
        <f t="shared" ca="1" si="136"/>
        <v>#NUM!</v>
      </c>
      <c r="AM152" s="40" t="e">
        <f t="shared" ca="1" si="137"/>
        <v>#NUM!</v>
      </c>
      <c r="AN152" s="40" t="e">
        <f t="shared" ca="1" si="138"/>
        <v>#NUM!</v>
      </c>
      <c r="AO152" s="40" t="e">
        <f t="shared" ca="1" si="139"/>
        <v>#NUM!</v>
      </c>
      <c r="AP152" s="40" t="e">
        <f t="shared" ca="1" si="140"/>
        <v>#NUM!</v>
      </c>
      <c r="AQ152" s="40" t="e">
        <f t="shared" ca="1" si="141"/>
        <v>#NUM!</v>
      </c>
      <c r="AR152" s="40" t="e">
        <f t="shared" ca="1" si="142"/>
        <v>#NUM!</v>
      </c>
      <c r="AS152" s="40" t="e">
        <f t="shared" ca="1" si="143"/>
        <v>#NUM!</v>
      </c>
    </row>
    <row r="153" spans="1:45" x14ac:dyDescent="0.25">
      <c r="A153" s="154"/>
      <c r="B153" s="73">
        <f t="shared" si="119"/>
        <v>-59090.909090909088</v>
      </c>
      <c r="E153" s="148">
        <v>42826</v>
      </c>
      <c r="G153" s="139">
        <v>33</v>
      </c>
      <c r="H153" s="139">
        <v>0</v>
      </c>
      <c r="I153" s="49">
        <f t="shared" si="120"/>
        <v>46522</v>
      </c>
      <c r="J153" s="76">
        <v>1950000</v>
      </c>
      <c r="K153" s="40">
        <f t="shared" si="121"/>
        <v>33</v>
      </c>
      <c r="L153" s="74">
        <f t="shared" si="122"/>
        <v>1950000</v>
      </c>
      <c r="M153" s="76"/>
      <c r="N153" s="76">
        <f t="shared" si="123"/>
        <v>0</v>
      </c>
      <c r="O153" s="142"/>
      <c r="P153" s="142"/>
      <c r="Q153" s="142"/>
      <c r="R153" s="144"/>
      <c r="S153" s="144"/>
      <c r="T153" s="144"/>
      <c r="U153" s="144"/>
      <c r="V153" s="144"/>
      <c r="W153" s="144"/>
      <c r="X153" s="144"/>
      <c r="Y153" s="143"/>
      <c r="Z153" s="143">
        <f t="shared" si="124"/>
        <v>0</v>
      </c>
      <c r="AA153" s="9">
        <f t="shared" si="125"/>
        <v>0.375</v>
      </c>
      <c r="AB153" s="9">
        <f t="shared" si="126"/>
        <v>0</v>
      </c>
      <c r="AC153" s="9">
        <f t="shared" si="127"/>
        <v>0</v>
      </c>
      <c r="AD153" s="9">
        <f t="shared" si="128"/>
        <v>0</v>
      </c>
      <c r="AE153" s="40" t="e">
        <f t="shared" ca="1" si="129"/>
        <v>#NUM!</v>
      </c>
      <c r="AF153" s="40" t="e">
        <f t="shared" ca="1" si="130"/>
        <v>#NUM!</v>
      </c>
      <c r="AG153" s="40" t="e">
        <f t="shared" ca="1" si="131"/>
        <v>#NUM!</v>
      </c>
      <c r="AH153" s="40" t="e">
        <f t="shared" ca="1" si="132"/>
        <v>#NUM!</v>
      </c>
      <c r="AI153" s="40" t="e">
        <f t="shared" ca="1" si="133"/>
        <v>#NUM!</v>
      </c>
      <c r="AJ153" s="40" t="e">
        <f t="shared" ca="1" si="134"/>
        <v>#NUM!</v>
      </c>
      <c r="AK153" s="203" t="e">
        <f t="shared" ca="1" si="135"/>
        <v>#NUM!</v>
      </c>
      <c r="AL153" s="40" t="e">
        <f t="shared" ca="1" si="136"/>
        <v>#NUM!</v>
      </c>
      <c r="AM153" s="40" t="e">
        <f t="shared" ca="1" si="137"/>
        <v>#NUM!</v>
      </c>
      <c r="AN153" s="40" t="e">
        <f t="shared" ca="1" si="138"/>
        <v>#NUM!</v>
      </c>
      <c r="AO153" s="40" t="e">
        <f t="shared" ca="1" si="139"/>
        <v>#NUM!</v>
      </c>
      <c r="AP153" s="40" t="e">
        <f t="shared" ca="1" si="140"/>
        <v>#NUM!</v>
      </c>
      <c r="AQ153" s="40" t="e">
        <f t="shared" ca="1" si="141"/>
        <v>#NUM!</v>
      </c>
      <c r="AR153" s="40" t="e">
        <f t="shared" ca="1" si="142"/>
        <v>#NUM!</v>
      </c>
      <c r="AS153" s="40" t="e">
        <f t="shared" ca="1" si="143"/>
        <v>#NUM!</v>
      </c>
    </row>
    <row r="154" spans="1:45" x14ac:dyDescent="0.25">
      <c r="A154" s="154"/>
      <c r="B154" s="73">
        <f t="shared" si="119"/>
        <v>-59090.909090909088</v>
      </c>
      <c r="E154" s="148">
        <v>42826</v>
      </c>
      <c r="G154" s="139">
        <v>33</v>
      </c>
      <c r="H154" s="139">
        <v>0</v>
      </c>
      <c r="I154" s="49">
        <f t="shared" si="120"/>
        <v>46522</v>
      </c>
      <c r="J154" s="76">
        <v>1950000</v>
      </c>
      <c r="K154" s="40">
        <f t="shared" si="121"/>
        <v>33</v>
      </c>
      <c r="L154" s="74">
        <f t="shared" si="122"/>
        <v>1950000</v>
      </c>
      <c r="M154" s="76"/>
      <c r="N154" s="76">
        <f t="shared" si="123"/>
        <v>0</v>
      </c>
      <c r="O154" s="142"/>
      <c r="P154" s="142"/>
      <c r="Q154" s="142"/>
      <c r="R154" s="144"/>
      <c r="S154" s="144"/>
      <c r="T154" s="144"/>
      <c r="U154" s="144"/>
      <c r="V154" s="144"/>
      <c r="W154" s="144"/>
      <c r="X154" s="144"/>
      <c r="Y154" s="143"/>
      <c r="Z154" s="143">
        <f t="shared" si="124"/>
        <v>0</v>
      </c>
      <c r="AA154" s="9">
        <f t="shared" si="125"/>
        <v>0.375</v>
      </c>
      <c r="AB154" s="9">
        <f t="shared" si="126"/>
        <v>0</v>
      </c>
      <c r="AC154" s="9">
        <f t="shared" si="127"/>
        <v>0</v>
      </c>
      <c r="AD154" s="9">
        <f t="shared" si="128"/>
        <v>0</v>
      </c>
      <c r="AE154" s="40" t="e">
        <f t="shared" ca="1" si="129"/>
        <v>#NUM!</v>
      </c>
      <c r="AF154" s="40" t="e">
        <f t="shared" ca="1" si="130"/>
        <v>#NUM!</v>
      </c>
      <c r="AG154" s="40" t="e">
        <f t="shared" ca="1" si="131"/>
        <v>#NUM!</v>
      </c>
      <c r="AH154" s="40" t="e">
        <f t="shared" ca="1" si="132"/>
        <v>#NUM!</v>
      </c>
      <c r="AI154" s="40" t="e">
        <f t="shared" ca="1" si="133"/>
        <v>#NUM!</v>
      </c>
      <c r="AJ154" s="40" t="e">
        <f t="shared" ca="1" si="134"/>
        <v>#NUM!</v>
      </c>
      <c r="AK154" s="203" t="e">
        <f t="shared" ca="1" si="135"/>
        <v>#NUM!</v>
      </c>
      <c r="AL154" s="40" t="e">
        <f t="shared" ca="1" si="136"/>
        <v>#NUM!</v>
      </c>
      <c r="AM154" s="40" t="e">
        <f t="shared" ca="1" si="137"/>
        <v>#NUM!</v>
      </c>
      <c r="AN154" s="40" t="e">
        <f t="shared" ca="1" si="138"/>
        <v>#NUM!</v>
      </c>
      <c r="AO154" s="40" t="e">
        <f t="shared" ca="1" si="139"/>
        <v>#NUM!</v>
      </c>
      <c r="AP154" s="40" t="e">
        <f t="shared" ca="1" si="140"/>
        <v>#NUM!</v>
      </c>
      <c r="AQ154" s="40" t="e">
        <f t="shared" ca="1" si="141"/>
        <v>#NUM!</v>
      </c>
      <c r="AR154" s="40" t="e">
        <f t="shared" ca="1" si="142"/>
        <v>#NUM!</v>
      </c>
      <c r="AS154" s="40" t="e">
        <f t="shared" ca="1" si="143"/>
        <v>#NUM!</v>
      </c>
    </row>
    <row r="155" spans="1:45" x14ac:dyDescent="0.25">
      <c r="A155" s="154"/>
      <c r="B155" s="73">
        <f t="shared" si="119"/>
        <v>-59090.909090909088</v>
      </c>
      <c r="E155" s="148">
        <v>42826</v>
      </c>
      <c r="G155" s="139">
        <v>33</v>
      </c>
      <c r="H155" s="139">
        <v>0</v>
      </c>
      <c r="I155" s="49">
        <f t="shared" si="120"/>
        <v>46522</v>
      </c>
      <c r="J155" s="76">
        <v>1950000</v>
      </c>
      <c r="K155" s="40">
        <f t="shared" si="121"/>
        <v>33</v>
      </c>
      <c r="L155" s="74">
        <f t="shared" si="122"/>
        <v>1950000</v>
      </c>
      <c r="M155" s="76"/>
      <c r="N155" s="76">
        <f t="shared" si="123"/>
        <v>0</v>
      </c>
      <c r="O155" s="142"/>
      <c r="P155" s="142"/>
      <c r="Q155" s="142"/>
      <c r="R155" s="144"/>
      <c r="S155" s="144"/>
      <c r="T155" s="144"/>
      <c r="U155" s="144"/>
      <c r="V155" s="144"/>
      <c r="W155" s="144"/>
      <c r="X155" s="144"/>
      <c r="Y155" s="143"/>
      <c r="Z155" s="143">
        <f t="shared" si="124"/>
        <v>0</v>
      </c>
      <c r="AA155" s="9">
        <f t="shared" si="125"/>
        <v>0.375</v>
      </c>
      <c r="AB155" s="9">
        <f t="shared" si="126"/>
        <v>0</v>
      </c>
      <c r="AC155" s="9">
        <f t="shared" si="127"/>
        <v>0</v>
      </c>
      <c r="AD155" s="9">
        <f t="shared" si="128"/>
        <v>0</v>
      </c>
      <c r="AE155" s="40" t="e">
        <f t="shared" ca="1" si="129"/>
        <v>#NUM!</v>
      </c>
      <c r="AF155" s="40" t="e">
        <f t="shared" ca="1" si="130"/>
        <v>#NUM!</v>
      </c>
      <c r="AG155" s="40" t="e">
        <f t="shared" ca="1" si="131"/>
        <v>#NUM!</v>
      </c>
      <c r="AH155" s="40" t="e">
        <f t="shared" ca="1" si="132"/>
        <v>#NUM!</v>
      </c>
      <c r="AI155" s="40" t="e">
        <f t="shared" ca="1" si="133"/>
        <v>#NUM!</v>
      </c>
      <c r="AJ155" s="40" t="e">
        <f t="shared" ca="1" si="134"/>
        <v>#NUM!</v>
      </c>
      <c r="AK155" s="203" t="e">
        <f t="shared" ca="1" si="135"/>
        <v>#NUM!</v>
      </c>
      <c r="AL155" s="40" t="e">
        <f t="shared" ca="1" si="136"/>
        <v>#NUM!</v>
      </c>
      <c r="AM155" s="40" t="e">
        <f t="shared" ca="1" si="137"/>
        <v>#NUM!</v>
      </c>
      <c r="AN155" s="40" t="e">
        <f t="shared" ca="1" si="138"/>
        <v>#NUM!</v>
      </c>
      <c r="AO155" s="40" t="e">
        <f t="shared" ca="1" si="139"/>
        <v>#NUM!</v>
      </c>
      <c r="AP155" s="40" t="e">
        <f t="shared" ca="1" si="140"/>
        <v>#NUM!</v>
      </c>
      <c r="AQ155" s="40" t="e">
        <f t="shared" ca="1" si="141"/>
        <v>#NUM!</v>
      </c>
      <c r="AR155" s="40" t="e">
        <f t="shared" ca="1" si="142"/>
        <v>#NUM!</v>
      </c>
      <c r="AS155" s="40" t="e">
        <f t="shared" ca="1" si="143"/>
        <v>#NUM!</v>
      </c>
    </row>
    <row r="156" spans="1:45" x14ac:dyDescent="0.25">
      <c r="A156" s="154"/>
      <c r="B156" s="73">
        <f t="shared" si="119"/>
        <v>-59090.909090909088</v>
      </c>
      <c r="E156" s="148">
        <v>42826</v>
      </c>
      <c r="G156" s="139">
        <v>33</v>
      </c>
      <c r="H156" s="139">
        <v>0</v>
      </c>
      <c r="I156" s="49">
        <f t="shared" si="120"/>
        <v>46522</v>
      </c>
      <c r="J156" s="76">
        <v>1950000</v>
      </c>
      <c r="K156" s="40">
        <f t="shared" si="121"/>
        <v>33</v>
      </c>
      <c r="L156" s="74">
        <f t="shared" si="122"/>
        <v>1950000</v>
      </c>
      <c r="M156" s="76"/>
      <c r="N156" s="76">
        <f t="shared" si="123"/>
        <v>0</v>
      </c>
      <c r="O156" s="142"/>
      <c r="P156" s="142"/>
      <c r="Q156" s="142"/>
      <c r="R156" s="144"/>
      <c r="S156" s="144"/>
      <c r="T156" s="144"/>
      <c r="U156" s="144"/>
      <c r="V156" s="144"/>
      <c r="W156" s="144"/>
      <c r="X156" s="144"/>
      <c r="Y156" s="143"/>
      <c r="Z156" s="143">
        <f t="shared" si="124"/>
        <v>0</v>
      </c>
      <c r="AA156" s="9">
        <f t="shared" si="125"/>
        <v>0.375</v>
      </c>
      <c r="AB156" s="9">
        <f t="shared" si="126"/>
        <v>0</v>
      </c>
      <c r="AC156" s="9">
        <f t="shared" si="127"/>
        <v>0</v>
      </c>
      <c r="AD156" s="9">
        <f t="shared" si="128"/>
        <v>0</v>
      </c>
      <c r="AE156" s="40" t="e">
        <f t="shared" ca="1" si="129"/>
        <v>#NUM!</v>
      </c>
      <c r="AF156" s="40" t="e">
        <f t="shared" ca="1" si="130"/>
        <v>#NUM!</v>
      </c>
      <c r="AG156" s="40" t="e">
        <f t="shared" ca="1" si="131"/>
        <v>#NUM!</v>
      </c>
      <c r="AH156" s="40" t="e">
        <f t="shared" ca="1" si="132"/>
        <v>#NUM!</v>
      </c>
      <c r="AI156" s="40" t="e">
        <f t="shared" ca="1" si="133"/>
        <v>#NUM!</v>
      </c>
      <c r="AJ156" s="40" t="e">
        <f t="shared" ca="1" si="134"/>
        <v>#NUM!</v>
      </c>
      <c r="AK156" s="203" t="e">
        <f t="shared" ca="1" si="135"/>
        <v>#NUM!</v>
      </c>
      <c r="AL156" s="40" t="e">
        <f t="shared" ca="1" si="136"/>
        <v>#NUM!</v>
      </c>
      <c r="AM156" s="40" t="e">
        <f t="shared" ca="1" si="137"/>
        <v>#NUM!</v>
      </c>
      <c r="AN156" s="40" t="e">
        <f t="shared" ca="1" si="138"/>
        <v>#NUM!</v>
      </c>
      <c r="AO156" s="40" t="e">
        <f t="shared" ca="1" si="139"/>
        <v>#NUM!</v>
      </c>
      <c r="AP156" s="40" t="e">
        <f t="shared" ca="1" si="140"/>
        <v>#NUM!</v>
      </c>
      <c r="AQ156" s="40" t="e">
        <f t="shared" ca="1" si="141"/>
        <v>#NUM!</v>
      </c>
      <c r="AR156" s="40" t="e">
        <f t="shared" ca="1" si="142"/>
        <v>#NUM!</v>
      </c>
      <c r="AS156" s="40" t="e">
        <f t="shared" ca="1" si="143"/>
        <v>#NUM!</v>
      </c>
    </row>
    <row r="157" spans="1:45" x14ac:dyDescent="0.25">
      <c r="A157" s="154"/>
      <c r="B157" s="73">
        <f t="shared" ref="B157:B203" si="144">(N157+F157-J157)/K157</f>
        <v>-59090.909090909088</v>
      </c>
      <c r="E157" s="148">
        <v>42826</v>
      </c>
      <c r="G157" s="139">
        <v>33</v>
      </c>
      <c r="H157" s="139">
        <v>0</v>
      </c>
      <c r="I157" s="49">
        <f t="shared" ref="I157:I203" si="145">E157+(H157-D157+(G157-C157)*112)</f>
        <v>46522</v>
      </c>
      <c r="J157" s="76">
        <v>1950000</v>
      </c>
      <c r="K157" s="40">
        <f t="shared" ref="K157:K203" si="146">(I157-E157)/112</f>
        <v>33</v>
      </c>
      <c r="L157" s="74">
        <f t="shared" ref="L157:L203" si="147">J157-F157</f>
        <v>1950000</v>
      </c>
      <c r="M157" s="76"/>
      <c r="N157" s="76">
        <f t="shared" ref="N157:N203" si="148">((G157-C157)*M157*16)+(H157-D157)/7*M157</f>
        <v>0</v>
      </c>
      <c r="O157" s="142"/>
      <c r="P157" s="142"/>
      <c r="Q157" s="142"/>
      <c r="R157" s="144"/>
      <c r="S157" s="144"/>
      <c r="T157" s="144"/>
      <c r="U157" s="144"/>
      <c r="V157" s="144"/>
      <c r="W157" s="144"/>
      <c r="X157" s="144"/>
      <c r="Y157" s="143"/>
      <c r="Z157" s="143">
        <f t="shared" ref="Z157:Z203" si="149">O157*P157*P157</f>
        <v>0</v>
      </c>
      <c r="AA157" s="9">
        <f t="shared" ref="AA157:AA203" si="150">((S157+1)+(V157+1)*2)/8</f>
        <v>0.375</v>
      </c>
      <c r="AB157" s="9">
        <f t="shared" ref="AB157:AB203" si="151">X157*0.7+W157*0.3</f>
        <v>0</v>
      </c>
      <c r="AC157" s="9">
        <f t="shared" ref="AC157:AC203" si="152">(0.5*W157+ 0.3*X157)/10</f>
        <v>0</v>
      </c>
      <c r="AD157" s="9">
        <f t="shared" ref="AD157:AD203" si="153">(0.4*S157+0.3*X157)/10</f>
        <v>0</v>
      </c>
      <c r="AE157" s="40" t="e">
        <f t="shared" ref="AE157:AE203" ca="1" si="154">IF(TODAY()-E157&gt;335,((S157+1+(LOG(O157)*4/3))*0.516),((S157+(((TODAY()-E157)^0.5)/(336^0.516))+(LOG(O157)*4/3))*0.516))</f>
        <v>#NUM!</v>
      </c>
      <c r="AF157" s="40" t="e">
        <f t="shared" ref="AF157:AF203" ca="1" si="155">IF(TODAY()-E157&gt;335,((S157+1+(LOG(O157)*4/3))*1),((S157+(((TODAY()-E157)^0.5)/(336^0.5))+(LOG(O157)*4/3))*1))</f>
        <v>#NUM!</v>
      </c>
      <c r="AG157" s="40" t="e">
        <f t="shared" ref="AG157:AG203" ca="1" si="156">IF(TODAY()-E157&gt;335,((T157+1+(LOG(O157)*4/3))*0.238),((T157+(((TODAY()-E157)^0.5)/(336^0.238))+(LOG(O157)*4/3))*0.238))</f>
        <v>#NUM!</v>
      </c>
      <c r="AH157" s="40" t="e">
        <f t="shared" ref="AH157:AH203" ca="1" si="157">IF(TODAY()-E157&gt;335,((S157+1+(LOG(O157)*4/3))*0.92),((S157+(((TODAY()-E157)^0.5)/(336^0.5))+(LOG(O157)*4/3))*0.92))</f>
        <v>#NUM!</v>
      </c>
      <c r="AI157" s="40" t="e">
        <f t="shared" ref="AI157:AI203" ca="1" si="158">IF(TODAY()-E157&gt;335,((S157+1+(LOG(O157)*4/3))*0.414),((S157+(((TODAY()-E157)^0.5)/(336^0.414))+(LOG(O157)*4/3))*0.414))</f>
        <v>#NUM!</v>
      </c>
      <c r="AJ157" s="40" t="e">
        <f t="shared" ref="AJ157:AJ203" ca="1" si="159">IF(TODAY()-E157&gt;335,((T157+1+(LOG(O157)*4/3))*0.167),((T157+(((TODAY()-E157)^0.5)/(336^0.5))+(LOG(O157)*4/3))*0.167))</f>
        <v>#NUM!</v>
      </c>
      <c r="AK157" s="203" t="e">
        <f t="shared" ref="AK157:AK203" ca="1" si="160">IF(TODAY()-E157&gt;335,((U157+1+(LOG(O157)*4/3))*0.588),((U157+(((TODAY()-E157)^0.5)/(336^0.5))+(LOG(O157)*4/3))*0.588))</f>
        <v>#NUM!</v>
      </c>
      <c r="AL157" s="40" t="e">
        <f t="shared" ref="AL157:AL203" ca="1" si="161">IF(TODAY()-E157&gt;335,((S157+1+(LOG(O157)*4/3))*0.4),((S157+(((TODAY()-E157)^0.5)/(336^0.5))+(LOG(O157)*4/3))*0.4))</f>
        <v>#NUM!</v>
      </c>
      <c r="AM157" s="40" t="e">
        <f t="shared" ref="AM157:AM203" ca="1" si="162">IF(TODAY()-E157&gt;335,((T157+1+(LOG(O157)*4/3))*1),((T157+(((TODAY()-E157)^0.5)/(336^0.5))+(LOG(O157)*4/3))*1))</f>
        <v>#NUM!</v>
      </c>
      <c r="AN157" s="40" t="e">
        <f t="shared" ref="AN157:AN203" ca="1" si="163">IF(TODAY()-E157&gt;335,((W157+1+(LOG(O157)*4/3))*0.21)+((V157+1+(LOG(O157)*4/3))*0.341),((W157+(((TODAY()-E157)^0.5)/(336^0.5))+(LOG(O157)*4/3))*0.21)+((V157+(((TODAY()-E157)^0.5)/(336^0.5))+(LOG(O157)*4/3))*0.341))</f>
        <v>#NUM!</v>
      </c>
      <c r="AO157" s="40" t="e">
        <f t="shared" ref="AO157:AO203" ca="1" si="164">IF(TODAY()-E157&gt;335,((T157+1+(LOG(O157)*4/3))*0.305),((T157+(((TODAY()-E157)^0.5)/(336^0.5))+(LOG(O157)*4/3))*0.305))</f>
        <v>#NUM!</v>
      </c>
      <c r="AP157" s="40" t="e">
        <f t="shared" ref="AP157:AP203" ca="1" si="165">IF(TODAY()-E157&gt;335,((U157+1+(LOG(O157)*4/3))*1)+((V157+1+(LOG(O157)*4/3))*0.286),((U157+(((TODAY()-E157)^0.5)/(336^0.5))+(LOG(O157)*4/3))*1)+((V157+(((TODAY()-E157)^0.5)/(336^0.5))+(LOG(O157)*4/3))*0.286))</f>
        <v>#NUM!</v>
      </c>
      <c r="AQ157" s="40" t="e">
        <f t="shared" ref="AQ157:AQ203" ca="1" si="166">IF(TODAY()-E157&gt;335,((T157+1+(LOG(O157)*4/3))*0.406),((T157+(((TODAY()-E157)^0.5)/(336^0.5))+(LOG(O157)*4/3))*0.406))</f>
        <v>#NUM!</v>
      </c>
      <c r="AR157" s="40" t="e">
        <f t="shared" ref="AR157:AR203" ca="1" si="167">IF(Q157="TEC",IF(TODAY()-E157&gt;335,((V157+1+(LOG(O157)*4/3))*0.15)+((V157+1+(LOG(O157)*4/3))*0.324)+((W157+1+(LOG(O157)*4/3))*0.127),((U157+(((TODAY()-E157)^0.5)/(336^0.5))+(LOG(O157)*4/3))*0.15)+((V157+(((TODAY()-E157)^0.5)/(336^0.5))+(LOG(O157)*4/3))*0.324)+((W157+(((TODAY()-E157)^0.5)/(336^0.5))+(LOG(O157)*4/3))*0.127)),IF(TODAY()-E157&gt;335,((V157+1+(LOG(O157)*4/3))*0.144)+((W157+1+(LOG(O157)*4/3))*0.25)+((W157+1+(LOG(O157)*4/3))*0.127),((U157+(((TODAY()-E157)^0.5)/(336^0.5))+(LOG(O157)*4/3))*0.144)+((V157+(((TODAY()-E157)^0.5)/(336^0.5))+(LOG(O157)*4/3))*0.25)+((W157+(((TODAY()-E157)^0.5)/(336^0.5))+(LOG(O157)*4/3))*0.127)))</f>
        <v>#NUM!</v>
      </c>
      <c r="AS157" s="40" t="e">
        <f t="shared" ref="AS157:AS203" ca="1" si="168">IF(Q157="TEC",IF(TODAY()-E157&gt;335,((V157+1+(LOG(O157)*4/3))*0.543)+((W157+1+(LOG(O157)*4/3))*0.583),((V157+(((TODAY()-E157)^0.5)/(336^0.5))+(LOG(O157)*4/3))*0.543)+((W157+(((TODAY()-E157)^0.5)/(336^0.5))+(LOG(O157)*4/3))*0.583)),IF(TODAY()-E157&gt;335,((V157+1+(LOG(O157)*4/3))*0.543)+((W157+1+(LOG(O157)*4/3))*0.583),((V157+(((TODAY()-E157)^0.5)/(336^0.5))+(LOG(O157)*4/3))*0.543)+((W157+(((TODAY()-E157)^0.5)/(336^0.5))+(LOG(O157)*4/3))*0.583)))</f>
        <v>#NUM!</v>
      </c>
    </row>
    <row r="158" spans="1:45" x14ac:dyDescent="0.25">
      <c r="A158" s="154"/>
      <c r="B158" s="73">
        <f t="shared" si="144"/>
        <v>-59090.909090909088</v>
      </c>
      <c r="E158" s="148">
        <v>42826</v>
      </c>
      <c r="G158" s="139">
        <v>33</v>
      </c>
      <c r="H158" s="139">
        <v>0</v>
      </c>
      <c r="I158" s="49">
        <f t="shared" si="145"/>
        <v>46522</v>
      </c>
      <c r="J158" s="76">
        <v>1950000</v>
      </c>
      <c r="K158" s="40">
        <f t="shared" si="146"/>
        <v>33</v>
      </c>
      <c r="L158" s="74">
        <f t="shared" si="147"/>
        <v>1950000</v>
      </c>
      <c r="M158" s="76"/>
      <c r="N158" s="76">
        <f t="shared" si="148"/>
        <v>0</v>
      </c>
      <c r="O158" s="142"/>
      <c r="P158" s="142"/>
      <c r="Q158" s="142"/>
      <c r="R158" s="144"/>
      <c r="S158" s="144"/>
      <c r="T158" s="144"/>
      <c r="U158" s="144"/>
      <c r="V158" s="144"/>
      <c r="W158" s="144"/>
      <c r="X158" s="144"/>
      <c r="Y158" s="143"/>
      <c r="Z158" s="143">
        <f t="shared" si="149"/>
        <v>0</v>
      </c>
      <c r="AA158" s="9">
        <f t="shared" si="150"/>
        <v>0.375</v>
      </c>
      <c r="AB158" s="9">
        <f t="shared" si="151"/>
        <v>0</v>
      </c>
      <c r="AC158" s="9">
        <f t="shared" si="152"/>
        <v>0</v>
      </c>
      <c r="AD158" s="9">
        <f t="shared" si="153"/>
        <v>0</v>
      </c>
      <c r="AE158" s="40" t="e">
        <f t="shared" ca="1" si="154"/>
        <v>#NUM!</v>
      </c>
      <c r="AF158" s="40" t="e">
        <f t="shared" ca="1" si="155"/>
        <v>#NUM!</v>
      </c>
      <c r="AG158" s="40" t="e">
        <f t="shared" ca="1" si="156"/>
        <v>#NUM!</v>
      </c>
      <c r="AH158" s="40" t="e">
        <f t="shared" ca="1" si="157"/>
        <v>#NUM!</v>
      </c>
      <c r="AI158" s="40" t="e">
        <f t="shared" ca="1" si="158"/>
        <v>#NUM!</v>
      </c>
      <c r="AJ158" s="40" t="e">
        <f t="shared" ca="1" si="159"/>
        <v>#NUM!</v>
      </c>
      <c r="AK158" s="203" t="e">
        <f t="shared" ca="1" si="160"/>
        <v>#NUM!</v>
      </c>
      <c r="AL158" s="40" t="e">
        <f t="shared" ca="1" si="161"/>
        <v>#NUM!</v>
      </c>
      <c r="AM158" s="40" t="e">
        <f t="shared" ca="1" si="162"/>
        <v>#NUM!</v>
      </c>
      <c r="AN158" s="40" t="e">
        <f t="shared" ca="1" si="163"/>
        <v>#NUM!</v>
      </c>
      <c r="AO158" s="40" t="e">
        <f t="shared" ca="1" si="164"/>
        <v>#NUM!</v>
      </c>
      <c r="AP158" s="40" t="e">
        <f t="shared" ca="1" si="165"/>
        <v>#NUM!</v>
      </c>
      <c r="AQ158" s="40" t="e">
        <f t="shared" ca="1" si="166"/>
        <v>#NUM!</v>
      </c>
      <c r="AR158" s="40" t="e">
        <f t="shared" ca="1" si="167"/>
        <v>#NUM!</v>
      </c>
      <c r="AS158" s="40" t="e">
        <f t="shared" ca="1" si="168"/>
        <v>#NUM!</v>
      </c>
    </row>
    <row r="159" spans="1:45" x14ac:dyDescent="0.25">
      <c r="A159" s="154"/>
      <c r="B159" s="73">
        <f t="shared" si="144"/>
        <v>-59090.909090909088</v>
      </c>
      <c r="E159" s="148">
        <v>42826</v>
      </c>
      <c r="G159" s="139">
        <v>33</v>
      </c>
      <c r="H159" s="139">
        <v>0</v>
      </c>
      <c r="I159" s="49">
        <f t="shared" si="145"/>
        <v>46522</v>
      </c>
      <c r="J159" s="76">
        <v>1950000</v>
      </c>
      <c r="K159" s="40">
        <f t="shared" si="146"/>
        <v>33</v>
      </c>
      <c r="L159" s="74">
        <f t="shared" si="147"/>
        <v>1950000</v>
      </c>
      <c r="M159" s="76"/>
      <c r="N159" s="76">
        <f t="shared" si="148"/>
        <v>0</v>
      </c>
      <c r="O159" s="142"/>
      <c r="P159" s="142"/>
      <c r="Q159" s="142"/>
      <c r="R159" s="144"/>
      <c r="S159" s="144"/>
      <c r="T159" s="144"/>
      <c r="U159" s="144"/>
      <c r="V159" s="144"/>
      <c r="W159" s="144"/>
      <c r="X159" s="144"/>
      <c r="Y159" s="143"/>
      <c r="Z159" s="143">
        <f t="shared" si="149"/>
        <v>0</v>
      </c>
      <c r="AA159" s="9">
        <f t="shared" si="150"/>
        <v>0.375</v>
      </c>
      <c r="AB159" s="9">
        <f t="shared" si="151"/>
        <v>0</v>
      </c>
      <c r="AC159" s="9">
        <f t="shared" si="152"/>
        <v>0</v>
      </c>
      <c r="AD159" s="9">
        <f t="shared" si="153"/>
        <v>0</v>
      </c>
      <c r="AE159" s="40" t="e">
        <f t="shared" ca="1" si="154"/>
        <v>#NUM!</v>
      </c>
      <c r="AF159" s="40" t="e">
        <f t="shared" ca="1" si="155"/>
        <v>#NUM!</v>
      </c>
      <c r="AG159" s="40" t="e">
        <f t="shared" ca="1" si="156"/>
        <v>#NUM!</v>
      </c>
      <c r="AH159" s="40" t="e">
        <f t="shared" ca="1" si="157"/>
        <v>#NUM!</v>
      </c>
      <c r="AI159" s="40" t="e">
        <f t="shared" ca="1" si="158"/>
        <v>#NUM!</v>
      </c>
      <c r="AJ159" s="40" t="e">
        <f t="shared" ca="1" si="159"/>
        <v>#NUM!</v>
      </c>
      <c r="AK159" s="203" t="e">
        <f t="shared" ca="1" si="160"/>
        <v>#NUM!</v>
      </c>
      <c r="AL159" s="40" t="e">
        <f t="shared" ca="1" si="161"/>
        <v>#NUM!</v>
      </c>
      <c r="AM159" s="40" t="e">
        <f t="shared" ca="1" si="162"/>
        <v>#NUM!</v>
      </c>
      <c r="AN159" s="40" t="e">
        <f t="shared" ca="1" si="163"/>
        <v>#NUM!</v>
      </c>
      <c r="AO159" s="40" t="e">
        <f t="shared" ca="1" si="164"/>
        <v>#NUM!</v>
      </c>
      <c r="AP159" s="40" t="e">
        <f t="shared" ca="1" si="165"/>
        <v>#NUM!</v>
      </c>
      <c r="AQ159" s="40" t="e">
        <f t="shared" ca="1" si="166"/>
        <v>#NUM!</v>
      </c>
      <c r="AR159" s="40" t="e">
        <f t="shared" ca="1" si="167"/>
        <v>#NUM!</v>
      </c>
      <c r="AS159" s="40" t="e">
        <f t="shared" ca="1" si="168"/>
        <v>#NUM!</v>
      </c>
    </row>
    <row r="160" spans="1:45" x14ac:dyDescent="0.25">
      <c r="A160" s="154"/>
      <c r="B160" s="73">
        <f t="shared" si="144"/>
        <v>-59090.909090909088</v>
      </c>
      <c r="E160" s="148">
        <v>42826</v>
      </c>
      <c r="G160" s="139">
        <v>33</v>
      </c>
      <c r="H160" s="139">
        <v>0</v>
      </c>
      <c r="I160" s="49">
        <f t="shared" si="145"/>
        <v>46522</v>
      </c>
      <c r="J160" s="76">
        <v>1950000</v>
      </c>
      <c r="K160" s="40">
        <f t="shared" si="146"/>
        <v>33</v>
      </c>
      <c r="L160" s="74">
        <f t="shared" si="147"/>
        <v>1950000</v>
      </c>
      <c r="M160" s="76"/>
      <c r="N160" s="76">
        <f t="shared" si="148"/>
        <v>0</v>
      </c>
      <c r="O160" s="142"/>
      <c r="P160" s="142"/>
      <c r="Q160" s="142"/>
      <c r="R160" s="144"/>
      <c r="S160" s="144"/>
      <c r="T160" s="144"/>
      <c r="U160" s="144"/>
      <c r="V160" s="144"/>
      <c r="W160" s="144"/>
      <c r="X160" s="144"/>
      <c r="Y160" s="143"/>
      <c r="Z160" s="143">
        <f t="shared" si="149"/>
        <v>0</v>
      </c>
      <c r="AA160" s="9">
        <f t="shared" si="150"/>
        <v>0.375</v>
      </c>
      <c r="AB160" s="9">
        <f t="shared" si="151"/>
        <v>0</v>
      </c>
      <c r="AC160" s="9">
        <f t="shared" si="152"/>
        <v>0</v>
      </c>
      <c r="AD160" s="9">
        <f t="shared" si="153"/>
        <v>0</v>
      </c>
      <c r="AE160" s="40" t="e">
        <f t="shared" ca="1" si="154"/>
        <v>#NUM!</v>
      </c>
      <c r="AF160" s="40" t="e">
        <f t="shared" ca="1" si="155"/>
        <v>#NUM!</v>
      </c>
      <c r="AG160" s="40" t="e">
        <f t="shared" ca="1" si="156"/>
        <v>#NUM!</v>
      </c>
      <c r="AH160" s="40" t="e">
        <f t="shared" ca="1" si="157"/>
        <v>#NUM!</v>
      </c>
      <c r="AI160" s="40" t="e">
        <f t="shared" ca="1" si="158"/>
        <v>#NUM!</v>
      </c>
      <c r="AJ160" s="40" t="e">
        <f t="shared" ca="1" si="159"/>
        <v>#NUM!</v>
      </c>
      <c r="AK160" s="203" t="e">
        <f t="shared" ca="1" si="160"/>
        <v>#NUM!</v>
      </c>
      <c r="AL160" s="40" t="e">
        <f t="shared" ca="1" si="161"/>
        <v>#NUM!</v>
      </c>
      <c r="AM160" s="40" t="e">
        <f t="shared" ca="1" si="162"/>
        <v>#NUM!</v>
      </c>
      <c r="AN160" s="40" t="e">
        <f t="shared" ca="1" si="163"/>
        <v>#NUM!</v>
      </c>
      <c r="AO160" s="40" t="e">
        <f t="shared" ca="1" si="164"/>
        <v>#NUM!</v>
      </c>
      <c r="AP160" s="40" t="e">
        <f t="shared" ca="1" si="165"/>
        <v>#NUM!</v>
      </c>
      <c r="AQ160" s="40" t="e">
        <f t="shared" ca="1" si="166"/>
        <v>#NUM!</v>
      </c>
      <c r="AR160" s="40" t="e">
        <f t="shared" ca="1" si="167"/>
        <v>#NUM!</v>
      </c>
      <c r="AS160" s="40" t="e">
        <f t="shared" ca="1" si="168"/>
        <v>#NUM!</v>
      </c>
    </row>
    <row r="161" spans="1:45" x14ac:dyDescent="0.25">
      <c r="A161" s="154"/>
      <c r="B161" s="73">
        <f t="shared" si="144"/>
        <v>-59090.909090909088</v>
      </c>
      <c r="E161" s="148">
        <v>42826</v>
      </c>
      <c r="G161" s="139">
        <v>33</v>
      </c>
      <c r="H161" s="139">
        <v>0</v>
      </c>
      <c r="I161" s="49">
        <f t="shared" si="145"/>
        <v>46522</v>
      </c>
      <c r="J161" s="76">
        <v>1950000</v>
      </c>
      <c r="K161" s="40">
        <f t="shared" si="146"/>
        <v>33</v>
      </c>
      <c r="L161" s="74">
        <f t="shared" si="147"/>
        <v>1950000</v>
      </c>
      <c r="M161" s="76"/>
      <c r="N161" s="76">
        <f t="shared" si="148"/>
        <v>0</v>
      </c>
      <c r="O161" s="142"/>
      <c r="P161" s="142"/>
      <c r="Q161" s="142"/>
      <c r="R161" s="144"/>
      <c r="S161" s="144"/>
      <c r="T161" s="144"/>
      <c r="U161" s="144"/>
      <c r="V161" s="144"/>
      <c r="W161" s="144"/>
      <c r="X161" s="144"/>
      <c r="Y161" s="143"/>
      <c r="Z161" s="143">
        <f t="shared" si="149"/>
        <v>0</v>
      </c>
      <c r="AA161" s="9">
        <f t="shared" si="150"/>
        <v>0.375</v>
      </c>
      <c r="AB161" s="9">
        <f t="shared" si="151"/>
        <v>0</v>
      </c>
      <c r="AC161" s="9">
        <f t="shared" si="152"/>
        <v>0</v>
      </c>
      <c r="AD161" s="9">
        <f t="shared" si="153"/>
        <v>0</v>
      </c>
      <c r="AE161" s="40" t="e">
        <f t="shared" ca="1" si="154"/>
        <v>#NUM!</v>
      </c>
      <c r="AF161" s="40" t="e">
        <f t="shared" ca="1" si="155"/>
        <v>#NUM!</v>
      </c>
      <c r="AG161" s="40" t="e">
        <f t="shared" ca="1" si="156"/>
        <v>#NUM!</v>
      </c>
      <c r="AH161" s="40" t="e">
        <f t="shared" ca="1" si="157"/>
        <v>#NUM!</v>
      </c>
      <c r="AI161" s="40" t="e">
        <f t="shared" ca="1" si="158"/>
        <v>#NUM!</v>
      </c>
      <c r="AJ161" s="40" t="e">
        <f t="shared" ca="1" si="159"/>
        <v>#NUM!</v>
      </c>
      <c r="AK161" s="203" t="e">
        <f t="shared" ca="1" si="160"/>
        <v>#NUM!</v>
      </c>
      <c r="AL161" s="40" t="e">
        <f t="shared" ca="1" si="161"/>
        <v>#NUM!</v>
      </c>
      <c r="AM161" s="40" t="e">
        <f t="shared" ca="1" si="162"/>
        <v>#NUM!</v>
      </c>
      <c r="AN161" s="40" t="e">
        <f t="shared" ca="1" si="163"/>
        <v>#NUM!</v>
      </c>
      <c r="AO161" s="40" t="e">
        <f t="shared" ca="1" si="164"/>
        <v>#NUM!</v>
      </c>
      <c r="AP161" s="40" t="e">
        <f t="shared" ca="1" si="165"/>
        <v>#NUM!</v>
      </c>
      <c r="AQ161" s="40" t="e">
        <f t="shared" ca="1" si="166"/>
        <v>#NUM!</v>
      </c>
      <c r="AR161" s="40" t="e">
        <f t="shared" ca="1" si="167"/>
        <v>#NUM!</v>
      </c>
      <c r="AS161" s="40" t="e">
        <f t="shared" ca="1" si="168"/>
        <v>#NUM!</v>
      </c>
    </row>
    <row r="162" spans="1:45" x14ac:dyDescent="0.25">
      <c r="A162" s="154"/>
      <c r="B162" s="73">
        <f t="shared" si="144"/>
        <v>-59090.909090909088</v>
      </c>
      <c r="E162" s="148">
        <v>42826</v>
      </c>
      <c r="G162" s="139">
        <v>33</v>
      </c>
      <c r="H162" s="139">
        <v>0</v>
      </c>
      <c r="I162" s="49">
        <f t="shared" si="145"/>
        <v>46522</v>
      </c>
      <c r="J162" s="76">
        <v>1950000</v>
      </c>
      <c r="K162" s="40">
        <f t="shared" si="146"/>
        <v>33</v>
      </c>
      <c r="L162" s="74">
        <f t="shared" si="147"/>
        <v>1950000</v>
      </c>
      <c r="M162" s="76"/>
      <c r="N162" s="76">
        <f t="shared" si="148"/>
        <v>0</v>
      </c>
      <c r="O162" s="142"/>
      <c r="P162" s="142"/>
      <c r="Q162" s="142"/>
      <c r="R162" s="144"/>
      <c r="S162" s="144"/>
      <c r="T162" s="144"/>
      <c r="U162" s="144"/>
      <c r="V162" s="144"/>
      <c r="W162" s="144"/>
      <c r="X162" s="144"/>
      <c r="Y162" s="143"/>
      <c r="Z162" s="143">
        <f t="shared" si="149"/>
        <v>0</v>
      </c>
      <c r="AA162" s="9">
        <f t="shared" si="150"/>
        <v>0.375</v>
      </c>
      <c r="AB162" s="9">
        <f t="shared" si="151"/>
        <v>0</v>
      </c>
      <c r="AC162" s="9">
        <f t="shared" si="152"/>
        <v>0</v>
      </c>
      <c r="AD162" s="9">
        <f t="shared" si="153"/>
        <v>0</v>
      </c>
      <c r="AE162" s="40" t="e">
        <f t="shared" ca="1" si="154"/>
        <v>#NUM!</v>
      </c>
      <c r="AF162" s="40" t="e">
        <f t="shared" ca="1" si="155"/>
        <v>#NUM!</v>
      </c>
      <c r="AG162" s="40" t="e">
        <f t="shared" ca="1" si="156"/>
        <v>#NUM!</v>
      </c>
      <c r="AH162" s="40" t="e">
        <f t="shared" ca="1" si="157"/>
        <v>#NUM!</v>
      </c>
      <c r="AI162" s="40" t="e">
        <f t="shared" ca="1" si="158"/>
        <v>#NUM!</v>
      </c>
      <c r="AJ162" s="40" t="e">
        <f t="shared" ca="1" si="159"/>
        <v>#NUM!</v>
      </c>
      <c r="AK162" s="203" t="e">
        <f t="shared" ca="1" si="160"/>
        <v>#NUM!</v>
      </c>
      <c r="AL162" s="40" t="e">
        <f t="shared" ca="1" si="161"/>
        <v>#NUM!</v>
      </c>
      <c r="AM162" s="40" t="e">
        <f t="shared" ca="1" si="162"/>
        <v>#NUM!</v>
      </c>
      <c r="AN162" s="40" t="e">
        <f t="shared" ca="1" si="163"/>
        <v>#NUM!</v>
      </c>
      <c r="AO162" s="40" t="e">
        <f t="shared" ca="1" si="164"/>
        <v>#NUM!</v>
      </c>
      <c r="AP162" s="40" t="e">
        <f t="shared" ca="1" si="165"/>
        <v>#NUM!</v>
      </c>
      <c r="AQ162" s="40" t="e">
        <f t="shared" ca="1" si="166"/>
        <v>#NUM!</v>
      </c>
      <c r="AR162" s="40" t="e">
        <f t="shared" ca="1" si="167"/>
        <v>#NUM!</v>
      </c>
      <c r="AS162" s="40" t="e">
        <f t="shared" ca="1" si="168"/>
        <v>#NUM!</v>
      </c>
    </row>
    <row r="163" spans="1:45" x14ac:dyDescent="0.25">
      <c r="A163" s="154"/>
      <c r="B163" s="73">
        <f t="shared" si="144"/>
        <v>-59090.909090909088</v>
      </c>
      <c r="E163" s="148">
        <v>42826</v>
      </c>
      <c r="G163" s="139">
        <v>33</v>
      </c>
      <c r="H163" s="139">
        <v>0</v>
      </c>
      <c r="I163" s="49">
        <f t="shared" si="145"/>
        <v>46522</v>
      </c>
      <c r="J163" s="76">
        <v>1950000</v>
      </c>
      <c r="K163" s="40">
        <f t="shared" si="146"/>
        <v>33</v>
      </c>
      <c r="L163" s="74">
        <f t="shared" si="147"/>
        <v>1950000</v>
      </c>
      <c r="M163" s="76"/>
      <c r="N163" s="76">
        <f t="shared" si="148"/>
        <v>0</v>
      </c>
      <c r="O163" s="142"/>
      <c r="P163" s="142"/>
      <c r="Q163" s="142"/>
      <c r="R163" s="144"/>
      <c r="S163" s="144"/>
      <c r="T163" s="144"/>
      <c r="U163" s="144"/>
      <c r="V163" s="144"/>
      <c r="W163" s="144"/>
      <c r="X163" s="144"/>
      <c r="Y163" s="143"/>
      <c r="Z163" s="143">
        <f t="shared" si="149"/>
        <v>0</v>
      </c>
      <c r="AA163" s="9">
        <f t="shared" si="150"/>
        <v>0.375</v>
      </c>
      <c r="AB163" s="9">
        <f t="shared" si="151"/>
        <v>0</v>
      </c>
      <c r="AC163" s="9">
        <f t="shared" si="152"/>
        <v>0</v>
      </c>
      <c r="AD163" s="9">
        <f t="shared" si="153"/>
        <v>0</v>
      </c>
      <c r="AE163" s="40" t="e">
        <f t="shared" ca="1" si="154"/>
        <v>#NUM!</v>
      </c>
      <c r="AF163" s="40" t="e">
        <f t="shared" ca="1" si="155"/>
        <v>#NUM!</v>
      </c>
      <c r="AG163" s="40" t="e">
        <f t="shared" ca="1" si="156"/>
        <v>#NUM!</v>
      </c>
      <c r="AH163" s="40" t="e">
        <f t="shared" ca="1" si="157"/>
        <v>#NUM!</v>
      </c>
      <c r="AI163" s="40" t="e">
        <f t="shared" ca="1" si="158"/>
        <v>#NUM!</v>
      </c>
      <c r="AJ163" s="40" t="e">
        <f t="shared" ca="1" si="159"/>
        <v>#NUM!</v>
      </c>
      <c r="AK163" s="203" t="e">
        <f t="shared" ca="1" si="160"/>
        <v>#NUM!</v>
      </c>
      <c r="AL163" s="40" t="e">
        <f t="shared" ca="1" si="161"/>
        <v>#NUM!</v>
      </c>
      <c r="AM163" s="40" t="e">
        <f t="shared" ca="1" si="162"/>
        <v>#NUM!</v>
      </c>
      <c r="AN163" s="40" t="e">
        <f t="shared" ca="1" si="163"/>
        <v>#NUM!</v>
      </c>
      <c r="AO163" s="40" t="e">
        <f t="shared" ca="1" si="164"/>
        <v>#NUM!</v>
      </c>
      <c r="AP163" s="40" t="e">
        <f t="shared" ca="1" si="165"/>
        <v>#NUM!</v>
      </c>
      <c r="AQ163" s="40" t="e">
        <f t="shared" ca="1" si="166"/>
        <v>#NUM!</v>
      </c>
      <c r="AR163" s="40" t="e">
        <f t="shared" ca="1" si="167"/>
        <v>#NUM!</v>
      </c>
      <c r="AS163" s="40" t="e">
        <f t="shared" ca="1" si="168"/>
        <v>#NUM!</v>
      </c>
    </row>
    <row r="164" spans="1:45" x14ac:dyDescent="0.25">
      <c r="A164" s="154"/>
      <c r="B164" s="73">
        <f t="shared" si="144"/>
        <v>-59090.909090909088</v>
      </c>
      <c r="E164" s="148">
        <v>42826</v>
      </c>
      <c r="G164" s="139">
        <v>33</v>
      </c>
      <c r="H164" s="139">
        <v>0</v>
      </c>
      <c r="I164" s="49">
        <f t="shared" si="145"/>
        <v>46522</v>
      </c>
      <c r="J164" s="76">
        <v>1950000</v>
      </c>
      <c r="K164" s="40">
        <f t="shared" si="146"/>
        <v>33</v>
      </c>
      <c r="L164" s="74">
        <f t="shared" si="147"/>
        <v>1950000</v>
      </c>
      <c r="M164" s="76"/>
      <c r="N164" s="76">
        <f t="shared" si="148"/>
        <v>0</v>
      </c>
      <c r="O164" s="142"/>
      <c r="P164" s="142"/>
      <c r="Q164" s="142"/>
      <c r="R164" s="144"/>
      <c r="S164" s="144"/>
      <c r="T164" s="144"/>
      <c r="U164" s="144"/>
      <c r="V164" s="144"/>
      <c r="W164" s="144"/>
      <c r="X164" s="144"/>
      <c r="Y164" s="143"/>
      <c r="Z164" s="143">
        <f t="shared" si="149"/>
        <v>0</v>
      </c>
      <c r="AA164" s="9">
        <f t="shared" si="150"/>
        <v>0.375</v>
      </c>
      <c r="AB164" s="9">
        <f t="shared" si="151"/>
        <v>0</v>
      </c>
      <c r="AC164" s="9">
        <f t="shared" si="152"/>
        <v>0</v>
      </c>
      <c r="AD164" s="9">
        <f t="shared" si="153"/>
        <v>0</v>
      </c>
      <c r="AE164" s="40" t="e">
        <f t="shared" ca="1" si="154"/>
        <v>#NUM!</v>
      </c>
      <c r="AF164" s="40" t="e">
        <f t="shared" ca="1" si="155"/>
        <v>#NUM!</v>
      </c>
      <c r="AG164" s="40" t="e">
        <f t="shared" ca="1" si="156"/>
        <v>#NUM!</v>
      </c>
      <c r="AH164" s="40" t="e">
        <f t="shared" ca="1" si="157"/>
        <v>#NUM!</v>
      </c>
      <c r="AI164" s="40" t="e">
        <f t="shared" ca="1" si="158"/>
        <v>#NUM!</v>
      </c>
      <c r="AJ164" s="40" t="e">
        <f t="shared" ca="1" si="159"/>
        <v>#NUM!</v>
      </c>
      <c r="AK164" s="203" t="e">
        <f t="shared" ca="1" si="160"/>
        <v>#NUM!</v>
      </c>
      <c r="AL164" s="40" t="e">
        <f t="shared" ca="1" si="161"/>
        <v>#NUM!</v>
      </c>
      <c r="AM164" s="40" t="e">
        <f t="shared" ca="1" si="162"/>
        <v>#NUM!</v>
      </c>
      <c r="AN164" s="40" t="e">
        <f t="shared" ca="1" si="163"/>
        <v>#NUM!</v>
      </c>
      <c r="AO164" s="40" t="e">
        <f t="shared" ca="1" si="164"/>
        <v>#NUM!</v>
      </c>
      <c r="AP164" s="40" t="e">
        <f t="shared" ca="1" si="165"/>
        <v>#NUM!</v>
      </c>
      <c r="AQ164" s="40" t="e">
        <f t="shared" ca="1" si="166"/>
        <v>#NUM!</v>
      </c>
      <c r="AR164" s="40" t="e">
        <f t="shared" ca="1" si="167"/>
        <v>#NUM!</v>
      </c>
      <c r="AS164" s="40" t="e">
        <f t="shared" ca="1" si="168"/>
        <v>#NUM!</v>
      </c>
    </row>
    <row r="165" spans="1:45" x14ac:dyDescent="0.25">
      <c r="A165" s="154"/>
      <c r="B165" s="73">
        <f t="shared" si="144"/>
        <v>-59090.909090909088</v>
      </c>
      <c r="E165" s="148">
        <v>42826</v>
      </c>
      <c r="G165" s="139">
        <v>33</v>
      </c>
      <c r="H165" s="139">
        <v>0</v>
      </c>
      <c r="I165" s="49">
        <f t="shared" si="145"/>
        <v>46522</v>
      </c>
      <c r="J165" s="76">
        <v>1950000</v>
      </c>
      <c r="K165" s="40">
        <f t="shared" si="146"/>
        <v>33</v>
      </c>
      <c r="L165" s="74">
        <f t="shared" si="147"/>
        <v>1950000</v>
      </c>
      <c r="M165" s="76"/>
      <c r="N165" s="76">
        <f t="shared" si="148"/>
        <v>0</v>
      </c>
      <c r="O165" s="142"/>
      <c r="P165" s="142"/>
      <c r="Q165" s="142"/>
      <c r="R165" s="144"/>
      <c r="S165" s="144"/>
      <c r="T165" s="144"/>
      <c r="U165" s="144"/>
      <c r="V165" s="144"/>
      <c r="W165" s="144"/>
      <c r="X165" s="144"/>
      <c r="Y165" s="143"/>
      <c r="Z165" s="143">
        <f t="shared" si="149"/>
        <v>0</v>
      </c>
      <c r="AA165" s="9">
        <f t="shared" si="150"/>
        <v>0.375</v>
      </c>
      <c r="AB165" s="9">
        <f t="shared" si="151"/>
        <v>0</v>
      </c>
      <c r="AC165" s="9">
        <f t="shared" si="152"/>
        <v>0</v>
      </c>
      <c r="AD165" s="9">
        <f t="shared" si="153"/>
        <v>0</v>
      </c>
      <c r="AE165" s="40" t="e">
        <f t="shared" ca="1" si="154"/>
        <v>#NUM!</v>
      </c>
      <c r="AF165" s="40" t="e">
        <f t="shared" ca="1" si="155"/>
        <v>#NUM!</v>
      </c>
      <c r="AG165" s="40" t="e">
        <f t="shared" ca="1" si="156"/>
        <v>#NUM!</v>
      </c>
      <c r="AH165" s="40" t="e">
        <f t="shared" ca="1" si="157"/>
        <v>#NUM!</v>
      </c>
      <c r="AI165" s="40" t="e">
        <f t="shared" ca="1" si="158"/>
        <v>#NUM!</v>
      </c>
      <c r="AJ165" s="40" t="e">
        <f t="shared" ca="1" si="159"/>
        <v>#NUM!</v>
      </c>
      <c r="AK165" s="203" t="e">
        <f t="shared" ca="1" si="160"/>
        <v>#NUM!</v>
      </c>
      <c r="AL165" s="40" t="e">
        <f t="shared" ca="1" si="161"/>
        <v>#NUM!</v>
      </c>
      <c r="AM165" s="40" t="e">
        <f t="shared" ca="1" si="162"/>
        <v>#NUM!</v>
      </c>
      <c r="AN165" s="40" t="e">
        <f t="shared" ca="1" si="163"/>
        <v>#NUM!</v>
      </c>
      <c r="AO165" s="40" t="e">
        <f t="shared" ca="1" si="164"/>
        <v>#NUM!</v>
      </c>
      <c r="AP165" s="40" t="e">
        <f t="shared" ca="1" si="165"/>
        <v>#NUM!</v>
      </c>
      <c r="AQ165" s="40" t="e">
        <f t="shared" ca="1" si="166"/>
        <v>#NUM!</v>
      </c>
      <c r="AR165" s="40" t="e">
        <f t="shared" ca="1" si="167"/>
        <v>#NUM!</v>
      </c>
      <c r="AS165" s="40" t="e">
        <f t="shared" ca="1" si="168"/>
        <v>#NUM!</v>
      </c>
    </row>
    <row r="166" spans="1:45" x14ac:dyDescent="0.25">
      <c r="A166" s="154"/>
      <c r="B166" s="73">
        <f t="shared" si="144"/>
        <v>-59090.909090909088</v>
      </c>
      <c r="E166" s="148">
        <v>42826</v>
      </c>
      <c r="G166" s="139">
        <v>33</v>
      </c>
      <c r="H166" s="139">
        <v>0</v>
      </c>
      <c r="I166" s="49">
        <f t="shared" si="145"/>
        <v>46522</v>
      </c>
      <c r="J166" s="76">
        <v>1950000</v>
      </c>
      <c r="K166" s="40">
        <f t="shared" si="146"/>
        <v>33</v>
      </c>
      <c r="L166" s="74">
        <f t="shared" si="147"/>
        <v>1950000</v>
      </c>
      <c r="M166" s="76"/>
      <c r="N166" s="76">
        <f t="shared" si="148"/>
        <v>0</v>
      </c>
      <c r="O166" s="142"/>
      <c r="P166" s="142"/>
      <c r="Q166" s="142"/>
      <c r="R166" s="144"/>
      <c r="S166" s="144"/>
      <c r="T166" s="144"/>
      <c r="U166" s="144"/>
      <c r="V166" s="144"/>
      <c r="W166" s="144"/>
      <c r="X166" s="144"/>
      <c r="Y166" s="143"/>
      <c r="Z166" s="143">
        <f t="shared" si="149"/>
        <v>0</v>
      </c>
      <c r="AA166" s="9">
        <f t="shared" si="150"/>
        <v>0.375</v>
      </c>
      <c r="AB166" s="9">
        <f t="shared" si="151"/>
        <v>0</v>
      </c>
      <c r="AC166" s="9">
        <f t="shared" si="152"/>
        <v>0</v>
      </c>
      <c r="AD166" s="9">
        <f t="shared" si="153"/>
        <v>0</v>
      </c>
      <c r="AE166" s="40" t="e">
        <f t="shared" ca="1" si="154"/>
        <v>#NUM!</v>
      </c>
      <c r="AF166" s="40" t="e">
        <f t="shared" ca="1" si="155"/>
        <v>#NUM!</v>
      </c>
      <c r="AG166" s="40" t="e">
        <f t="shared" ca="1" si="156"/>
        <v>#NUM!</v>
      </c>
      <c r="AH166" s="40" t="e">
        <f t="shared" ca="1" si="157"/>
        <v>#NUM!</v>
      </c>
      <c r="AI166" s="40" t="e">
        <f t="shared" ca="1" si="158"/>
        <v>#NUM!</v>
      </c>
      <c r="AJ166" s="40" t="e">
        <f t="shared" ca="1" si="159"/>
        <v>#NUM!</v>
      </c>
      <c r="AK166" s="203" t="e">
        <f t="shared" ca="1" si="160"/>
        <v>#NUM!</v>
      </c>
      <c r="AL166" s="40" t="e">
        <f t="shared" ca="1" si="161"/>
        <v>#NUM!</v>
      </c>
      <c r="AM166" s="40" t="e">
        <f t="shared" ca="1" si="162"/>
        <v>#NUM!</v>
      </c>
      <c r="AN166" s="40" t="e">
        <f t="shared" ca="1" si="163"/>
        <v>#NUM!</v>
      </c>
      <c r="AO166" s="40" t="e">
        <f t="shared" ca="1" si="164"/>
        <v>#NUM!</v>
      </c>
      <c r="AP166" s="40" t="e">
        <f t="shared" ca="1" si="165"/>
        <v>#NUM!</v>
      </c>
      <c r="AQ166" s="40" t="e">
        <f t="shared" ca="1" si="166"/>
        <v>#NUM!</v>
      </c>
      <c r="AR166" s="40" t="e">
        <f t="shared" ca="1" si="167"/>
        <v>#NUM!</v>
      </c>
      <c r="AS166" s="40" t="e">
        <f t="shared" ca="1" si="168"/>
        <v>#NUM!</v>
      </c>
    </row>
    <row r="167" spans="1:45" x14ac:dyDescent="0.25">
      <c r="A167" s="154"/>
      <c r="B167" s="73">
        <f t="shared" si="144"/>
        <v>-59090.909090909088</v>
      </c>
      <c r="E167" s="148">
        <v>42826</v>
      </c>
      <c r="G167" s="139">
        <v>33</v>
      </c>
      <c r="H167" s="139">
        <v>0</v>
      </c>
      <c r="I167" s="49">
        <f t="shared" si="145"/>
        <v>46522</v>
      </c>
      <c r="J167" s="76">
        <v>1950000</v>
      </c>
      <c r="K167" s="40">
        <f t="shared" si="146"/>
        <v>33</v>
      </c>
      <c r="L167" s="74">
        <f t="shared" si="147"/>
        <v>1950000</v>
      </c>
      <c r="M167" s="76"/>
      <c r="N167" s="76">
        <f t="shared" si="148"/>
        <v>0</v>
      </c>
      <c r="O167" s="142"/>
      <c r="P167" s="142"/>
      <c r="Q167" s="142"/>
      <c r="R167" s="144"/>
      <c r="S167" s="144"/>
      <c r="T167" s="144"/>
      <c r="U167" s="144"/>
      <c r="V167" s="144"/>
      <c r="W167" s="144"/>
      <c r="X167" s="144"/>
      <c r="Y167" s="143"/>
      <c r="Z167" s="143">
        <f t="shared" si="149"/>
        <v>0</v>
      </c>
      <c r="AA167" s="9">
        <f t="shared" si="150"/>
        <v>0.375</v>
      </c>
      <c r="AB167" s="9">
        <f t="shared" si="151"/>
        <v>0</v>
      </c>
      <c r="AC167" s="9">
        <f t="shared" si="152"/>
        <v>0</v>
      </c>
      <c r="AD167" s="9">
        <f t="shared" si="153"/>
        <v>0</v>
      </c>
      <c r="AE167" s="40" t="e">
        <f t="shared" ca="1" si="154"/>
        <v>#NUM!</v>
      </c>
      <c r="AF167" s="40" t="e">
        <f t="shared" ca="1" si="155"/>
        <v>#NUM!</v>
      </c>
      <c r="AG167" s="40" t="e">
        <f t="shared" ca="1" si="156"/>
        <v>#NUM!</v>
      </c>
      <c r="AH167" s="40" t="e">
        <f t="shared" ca="1" si="157"/>
        <v>#NUM!</v>
      </c>
      <c r="AI167" s="40" t="e">
        <f t="shared" ca="1" si="158"/>
        <v>#NUM!</v>
      </c>
      <c r="AJ167" s="40" t="e">
        <f t="shared" ca="1" si="159"/>
        <v>#NUM!</v>
      </c>
      <c r="AK167" s="203" t="e">
        <f t="shared" ca="1" si="160"/>
        <v>#NUM!</v>
      </c>
      <c r="AL167" s="40" t="e">
        <f t="shared" ca="1" si="161"/>
        <v>#NUM!</v>
      </c>
      <c r="AM167" s="40" t="e">
        <f t="shared" ca="1" si="162"/>
        <v>#NUM!</v>
      </c>
      <c r="AN167" s="40" t="e">
        <f t="shared" ca="1" si="163"/>
        <v>#NUM!</v>
      </c>
      <c r="AO167" s="40" t="e">
        <f t="shared" ca="1" si="164"/>
        <v>#NUM!</v>
      </c>
      <c r="AP167" s="40" t="e">
        <f t="shared" ca="1" si="165"/>
        <v>#NUM!</v>
      </c>
      <c r="AQ167" s="40" t="e">
        <f t="shared" ca="1" si="166"/>
        <v>#NUM!</v>
      </c>
      <c r="AR167" s="40" t="e">
        <f t="shared" ca="1" si="167"/>
        <v>#NUM!</v>
      </c>
      <c r="AS167" s="40" t="e">
        <f t="shared" ca="1" si="168"/>
        <v>#NUM!</v>
      </c>
    </row>
    <row r="168" spans="1:45" x14ac:dyDescent="0.25">
      <c r="A168" s="154"/>
      <c r="B168" s="73">
        <f t="shared" si="144"/>
        <v>-59090.909090909088</v>
      </c>
      <c r="E168" s="148">
        <v>42826</v>
      </c>
      <c r="G168" s="139">
        <v>33</v>
      </c>
      <c r="H168" s="139">
        <v>0</v>
      </c>
      <c r="I168" s="49">
        <f t="shared" si="145"/>
        <v>46522</v>
      </c>
      <c r="J168" s="76">
        <v>1950000</v>
      </c>
      <c r="K168" s="40">
        <f t="shared" si="146"/>
        <v>33</v>
      </c>
      <c r="L168" s="74">
        <f t="shared" si="147"/>
        <v>1950000</v>
      </c>
      <c r="M168" s="76"/>
      <c r="N168" s="76">
        <f t="shared" si="148"/>
        <v>0</v>
      </c>
      <c r="O168" s="142"/>
      <c r="P168" s="142"/>
      <c r="Q168" s="142"/>
      <c r="R168" s="144"/>
      <c r="S168" s="144"/>
      <c r="T168" s="144"/>
      <c r="U168" s="144"/>
      <c r="V168" s="144"/>
      <c r="W168" s="144"/>
      <c r="X168" s="144"/>
      <c r="Y168" s="143"/>
      <c r="Z168" s="143">
        <f t="shared" si="149"/>
        <v>0</v>
      </c>
      <c r="AA168" s="9">
        <f t="shared" si="150"/>
        <v>0.375</v>
      </c>
      <c r="AB168" s="9">
        <f t="shared" si="151"/>
        <v>0</v>
      </c>
      <c r="AC168" s="9">
        <f t="shared" si="152"/>
        <v>0</v>
      </c>
      <c r="AD168" s="9">
        <f t="shared" si="153"/>
        <v>0</v>
      </c>
      <c r="AE168" s="40" t="e">
        <f t="shared" ca="1" si="154"/>
        <v>#NUM!</v>
      </c>
      <c r="AF168" s="40" t="e">
        <f t="shared" ca="1" si="155"/>
        <v>#NUM!</v>
      </c>
      <c r="AG168" s="40" t="e">
        <f t="shared" ca="1" si="156"/>
        <v>#NUM!</v>
      </c>
      <c r="AH168" s="40" t="e">
        <f t="shared" ca="1" si="157"/>
        <v>#NUM!</v>
      </c>
      <c r="AI168" s="40" t="e">
        <f t="shared" ca="1" si="158"/>
        <v>#NUM!</v>
      </c>
      <c r="AJ168" s="40" t="e">
        <f t="shared" ca="1" si="159"/>
        <v>#NUM!</v>
      </c>
      <c r="AK168" s="203" t="e">
        <f t="shared" ca="1" si="160"/>
        <v>#NUM!</v>
      </c>
      <c r="AL168" s="40" t="e">
        <f t="shared" ca="1" si="161"/>
        <v>#NUM!</v>
      </c>
      <c r="AM168" s="40" t="e">
        <f t="shared" ca="1" si="162"/>
        <v>#NUM!</v>
      </c>
      <c r="AN168" s="40" t="e">
        <f t="shared" ca="1" si="163"/>
        <v>#NUM!</v>
      </c>
      <c r="AO168" s="40" t="e">
        <f t="shared" ca="1" si="164"/>
        <v>#NUM!</v>
      </c>
      <c r="AP168" s="40" t="e">
        <f t="shared" ca="1" si="165"/>
        <v>#NUM!</v>
      </c>
      <c r="AQ168" s="40" t="e">
        <f t="shared" ca="1" si="166"/>
        <v>#NUM!</v>
      </c>
      <c r="AR168" s="40" t="e">
        <f t="shared" ca="1" si="167"/>
        <v>#NUM!</v>
      </c>
      <c r="AS168" s="40" t="e">
        <f t="shared" ca="1" si="168"/>
        <v>#NUM!</v>
      </c>
    </row>
    <row r="169" spans="1:45" x14ac:dyDescent="0.25">
      <c r="A169" s="154"/>
      <c r="B169" s="73">
        <f t="shared" si="144"/>
        <v>-59090.909090909088</v>
      </c>
      <c r="E169" s="148">
        <v>42826</v>
      </c>
      <c r="G169" s="139">
        <v>33</v>
      </c>
      <c r="H169" s="139">
        <v>0</v>
      </c>
      <c r="I169" s="49">
        <f t="shared" si="145"/>
        <v>46522</v>
      </c>
      <c r="J169" s="76">
        <v>1950000</v>
      </c>
      <c r="K169" s="40">
        <f t="shared" si="146"/>
        <v>33</v>
      </c>
      <c r="L169" s="74">
        <f t="shared" si="147"/>
        <v>1950000</v>
      </c>
      <c r="M169" s="76"/>
      <c r="N169" s="76">
        <f t="shared" si="148"/>
        <v>0</v>
      </c>
      <c r="O169" s="142"/>
      <c r="P169" s="142"/>
      <c r="Q169" s="142"/>
      <c r="R169" s="144"/>
      <c r="S169" s="144"/>
      <c r="T169" s="144"/>
      <c r="U169" s="144"/>
      <c r="V169" s="144"/>
      <c r="W169" s="144"/>
      <c r="X169" s="144"/>
      <c r="Y169" s="143"/>
      <c r="Z169" s="143">
        <f t="shared" si="149"/>
        <v>0</v>
      </c>
      <c r="AA169" s="9">
        <f t="shared" si="150"/>
        <v>0.375</v>
      </c>
      <c r="AB169" s="9">
        <f t="shared" si="151"/>
        <v>0</v>
      </c>
      <c r="AC169" s="9">
        <f t="shared" si="152"/>
        <v>0</v>
      </c>
      <c r="AD169" s="9">
        <f t="shared" si="153"/>
        <v>0</v>
      </c>
      <c r="AE169" s="40" t="e">
        <f t="shared" ca="1" si="154"/>
        <v>#NUM!</v>
      </c>
      <c r="AF169" s="40" t="e">
        <f t="shared" ca="1" si="155"/>
        <v>#NUM!</v>
      </c>
      <c r="AG169" s="40" t="e">
        <f t="shared" ca="1" si="156"/>
        <v>#NUM!</v>
      </c>
      <c r="AH169" s="40" t="e">
        <f t="shared" ca="1" si="157"/>
        <v>#NUM!</v>
      </c>
      <c r="AI169" s="40" t="e">
        <f t="shared" ca="1" si="158"/>
        <v>#NUM!</v>
      </c>
      <c r="AJ169" s="40" t="e">
        <f t="shared" ca="1" si="159"/>
        <v>#NUM!</v>
      </c>
      <c r="AK169" s="203" t="e">
        <f t="shared" ca="1" si="160"/>
        <v>#NUM!</v>
      </c>
      <c r="AL169" s="40" t="e">
        <f t="shared" ca="1" si="161"/>
        <v>#NUM!</v>
      </c>
      <c r="AM169" s="40" t="e">
        <f t="shared" ca="1" si="162"/>
        <v>#NUM!</v>
      </c>
      <c r="AN169" s="40" t="e">
        <f t="shared" ca="1" si="163"/>
        <v>#NUM!</v>
      </c>
      <c r="AO169" s="40" t="e">
        <f t="shared" ca="1" si="164"/>
        <v>#NUM!</v>
      </c>
      <c r="AP169" s="40" t="e">
        <f t="shared" ca="1" si="165"/>
        <v>#NUM!</v>
      </c>
      <c r="AQ169" s="40" t="e">
        <f t="shared" ca="1" si="166"/>
        <v>#NUM!</v>
      </c>
      <c r="AR169" s="40" t="e">
        <f t="shared" ca="1" si="167"/>
        <v>#NUM!</v>
      </c>
      <c r="AS169" s="40" t="e">
        <f t="shared" ca="1" si="168"/>
        <v>#NUM!</v>
      </c>
    </row>
    <row r="170" spans="1:45" x14ac:dyDescent="0.25">
      <c r="A170" s="154"/>
      <c r="B170" s="73">
        <f t="shared" si="144"/>
        <v>-59090.909090909088</v>
      </c>
      <c r="E170" s="148">
        <v>42826</v>
      </c>
      <c r="G170" s="139">
        <v>33</v>
      </c>
      <c r="H170" s="139">
        <v>0</v>
      </c>
      <c r="I170" s="49">
        <f t="shared" si="145"/>
        <v>46522</v>
      </c>
      <c r="J170" s="76">
        <v>1950000</v>
      </c>
      <c r="K170" s="40">
        <f t="shared" si="146"/>
        <v>33</v>
      </c>
      <c r="L170" s="74">
        <f t="shared" si="147"/>
        <v>1950000</v>
      </c>
      <c r="M170" s="76"/>
      <c r="N170" s="76">
        <f t="shared" si="148"/>
        <v>0</v>
      </c>
      <c r="O170" s="142"/>
      <c r="P170" s="142"/>
      <c r="Q170" s="142"/>
      <c r="R170" s="144"/>
      <c r="S170" s="144"/>
      <c r="T170" s="144"/>
      <c r="U170" s="144"/>
      <c r="V170" s="144"/>
      <c r="W170" s="144"/>
      <c r="X170" s="144"/>
      <c r="Y170" s="143"/>
      <c r="Z170" s="143">
        <f t="shared" si="149"/>
        <v>0</v>
      </c>
      <c r="AA170" s="9">
        <f t="shared" si="150"/>
        <v>0.375</v>
      </c>
      <c r="AB170" s="9">
        <f t="shared" si="151"/>
        <v>0</v>
      </c>
      <c r="AC170" s="9">
        <f t="shared" si="152"/>
        <v>0</v>
      </c>
      <c r="AD170" s="9">
        <f t="shared" si="153"/>
        <v>0</v>
      </c>
      <c r="AE170" s="40" t="e">
        <f t="shared" ca="1" si="154"/>
        <v>#NUM!</v>
      </c>
      <c r="AF170" s="40" t="e">
        <f t="shared" ca="1" si="155"/>
        <v>#NUM!</v>
      </c>
      <c r="AG170" s="40" t="e">
        <f t="shared" ca="1" si="156"/>
        <v>#NUM!</v>
      </c>
      <c r="AH170" s="40" t="e">
        <f t="shared" ca="1" si="157"/>
        <v>#NUM!</v>
      </c>
      <c r="AI170" s="40" t="e">
        <f t="shared" ca="1" si="158"/>
        <v>#NUM!</v>
      </c>
      <c r="AJ170" s="40" t="e">
        <f t="shared" ca="1" si="159"/>
        <v>#NUM!</v>
      </c>
      <c r="AK170" s="203" t="e">
        <f t="shared" ca="1" si="160"/>
        <v>#NUM!</v>
      </c>
      <c r="AL170" s="40" t="e">
        <f t="shared" ca="1" si="161"/>
        <v>#NUM!</v>
      </c>
      <c r="AM170" s="40" t="e">
        <f t="shared" ca="1" si="162"/>
        <v>#NUM!</v>
      </c>
      <c r="AN170" s="40" t="e">
        <f t="shared" ca="1" si="163"/>
        <v>#NUM!</v>
      </c>
      <c r="AO170" s="40" t="e">
        <f t="shared" ca="1" si="164"/>
        <v>#NUM!</v>
      </c>
      <c r="AP170" s="40" t="e">
        <f t="shared" ca="1" si="165"/>
        <v>#NUM!</v>
      </c>
      <c r="AQ170" s="40" t="e">
        <f t="shared" ca="1" si="166"/>
        <v>#NUM!</v>
      </c>
      <c r="AR170" s="40" t="e">
        <f t="shared" ca="1" si="167"/>
        <v>#NUM!</v>
      </c>
      <c r="AS170" s="40" t="e">
        <f t="shared" ca="1" si="168"/>
        <v>#NUM!</v>
      </c>
    </row>
    <row r="171" spans="1:45" x14ac:dyDescent="0.25">
      <c r="A171" s="154"/>
      <c r="B171" s="73">
        <f t="shared" si="144"/>
        <v>-59090.909090909088</v>
      </c>
      <c r="E171" s="148">
        <v>42826</v>
      </c>
      <c r="G171" s="139">
        <v>33</v>
      </c>
      <c r="H171" s="139">
        <v>0</v>
      </c>
      <c r="I171" s="49">
        <f t="shared" si="145"/>
        <v>46522</v>
      </c>
      <c r="J171" s="76">
        <v>1950000</v>
      </c>
      <c r="K171" s="40">
        <f t="shared" si="146"/>
        <v>33</v>
      </c>
      <c r="L171" s="74">
        <f t="shared" si="147"/>
        <v>1950000</v>
      </c>
      <c r="M171" s="76"/>
      <c r="N171" s="76">
        <f t="shared" si="148"/>
        <v>0</v>
      </c>
      <c r="O171" s="142"/>
      <c r="P171" s="142"/>
      <c r="Q171" s="142"/>
      <c r="R171" s="144"/>
      <c r="S171" s="144"/>
      <c r="T171" s="144"/>
      <c r="U171" s="144"/>
      <c r="V171" s="144"/>
      <c r="W171" s="144"/>
      <c r="X171" s="144"/>
      <c r="Y171" s="143"/>
      <c r="Z171" s="143">
        <f t="shared" si="149"/>
        <v>0</v>
      </c>
      <c r="AA171" s="9">
        <f t="shared" si="150"/>
        <v>0.375</v>
      </c>
      <c r="AB171" s="9">
        <f t="shared" si="151"/>
        <v>0</v>
      </c>
      <c r="AC171" s="9">
        <f t="shared" si="152"/>
        <v>0</v>
      </c>
      <c r="AD171" s="9">
        <f t="shared" si="153"/>
        <v>0</v>
      </c>
      <c r="AE171" s="40" t="e">
        <f t="shared" ca="1" si="154"/>
        <v>#NUM!</v>
      </c>
      <c r="AF171" s="40" t="e">
        <f t="shared" ca="1" si="155"/>
        <v>#NUM!</v>
      </c>
      <c r="AG171" s="40" t="e">
        <f t="shared" ca="1" si="156"/>
        <v>#NUM!</v>
      </c>
      <c r="AH171" s="40" t="e">
        <f t="shared" ca="1" si="157"/>
        <v>#NUM!</v>
      </c>
      <c r="AI171" s="40" t="e">
        <f t="shared" ca="1" si="158"/>
        <v>#NUM!</v>
      </c>
      <c r="AJ171" s="40" t="e">
        <f t="shared" ca="1" si="159"/>
        <v>#NUM!</v>
      </c>
      <c r="AK171" s="203" t="e">
        <f t="shared" ca="1" si="160"/>
        <v>#NUM!</v>
      </c>
      <c r="AL171" s="40" t="e">
        <f t="shared" ca="1" si="161"/>
        <v>#NUM!</v>
      </c>
      <c r="AM171" s="40" t="e">
        <f t="shared" ca="1" si="162"/>
        <v>#NUM!</v>
      </c>
      <c r="AN171" s="40" t="e">
        <f t="shared" ca="1" si="163"/>
        <v>#NUM!</v>
      </c>
      <c r="AO171" s="40" t="e">
        <f t="shared" ca="1" si="164"/>
        <v>#NUM!</v>
      </c>
      <c r="AP171" s="40" t="e">
        <f t="shared" ca="1" si="165"/>
        <v>#NUM!</v>
      </c>
      <c r="AQ171" s="40" t="e">
        <f t="shared" ca="1" si="166"/>
        <v>#NUM!</v>
      </c>
      <c r="AR171" s="40" t="e">
        <f t="shared" ca="1" si="167"/>
        <v>#NUM!</v>
      </c>
      <c r="AS171" s="40" t="e">
        <f t="shared" ca="1" si="168"/>
        <v>#NUM!</v>
      </c>
    </row>
    <row r="172" spans="1:45" x14ac:dyDescent="0.25">
      <c r="A172" s="154"/>
      <c r="B172" s="73">
        <f t="shared" si="144"/>
        <v>-59090.909090909088</v>
      </c>
      <c r="E172" s="148">
        <v>42826</v>
      </c>
      <c r="G172" s="139">
        <v>33</v>
      </c>
      <c r="H172" s="139">
        <v>0</v>
      </c>
      <c r="I172" s="49">
        <f t="shared" si="145"/>
        <v>46522</v>
      </c>
      <c r="J172" s="76">
        <v>1950000</v>
      </c>
      <c r="K172" s="40">
        <f t="shared" si="146"/>
        <v>33</v>
      </c>
      <c r="L172" s="74">
        <f t="shared" si="147"/>
        <v>1950000</v>
      </c>
      <c r="M172" s="76"/>
      <c r="N172" s="76">
        <f t="shared" si="148"/>
        <v>0</v>
      </c>
      <c r="O172" s="142"/>
      <c r="P172" s="142"/>
      <c r="Q172" s="142"/>
      <c r="R172" s="144"/>
      <c r="S172" s="144"/>
      <c r="T172" s="144"/>
      <c r="U172" s="144"/>
      <c r="V172" s="144"/>
      <c r="W172" s="144"/>
      <c r="X172" s="144"/>
      <c r="Y172" s="143"/>
      <c r="Z172" s="143">
        <f t="shared" si="149"/>
        <v>0</v>
      </c>
      <c r="AA172" s="9">
        <f t="shared" si="150"/>
        <v>0.375</v>
      </c>
      <c r="AB172" s="9">
        <f t="shared" si="151"/>
        <v>0</v>
      </c>
      <c r="AC172" s="9">
        <f t="shared" si="152"/>
        <v>0</v>
      </c>
      <c r="AD172" s="9">
        <f t="shared" si="153"/>
        <v>0</v>
      </c>
      <c r="AE172" s="40" t="e">
        <f t="shared" ca="1" si="154"/>
        <v>#NUM!</v>
      </c>
      <c r="AF172" s="40" t="e">
        <f t="shared" ca="1" si="155"/>
        <v>#NUM!</v>
      </c>
      <c r="AG172" s="40" t="e">
        <f t="shared" ca="1" si="156"/>
        <v>#NUM!</v>
      </c>
      <c r="AH172" s="40" t="e">
        <f t="shared" ca="1" si="157"/>
        <v>#NUM!</v>
      </c>
      <c r="AI172" s="40" t="e">
        <f t="shared" ca="1" si="158"/>
        <v>#NUM!</v>
      </c>
      <c r="AJ172" s="40" t="e">
        <f t="shared" ca="1" si="159"/>
        <v>#NUM!</v>
      </c>
      <c r="AK172" s="203" t="e">
        <f t="shared" ca="1" si="160"/>
        <v>#NUM!</v>
      </c>
      <c r="AL172" s="40" t="e">
        <f t="shared" ca="1" si="161"/>
        <v>#NUM!</v>
      </c>
      <c r="AM172" s="40" t="e">
        <f t="shared" ca="1" si="162"/>
        <v>#NUM!</v>
      </c>
      <c r="AN172" s="40" t="e">
        <f t="shared" ca="1" si="163"/>
        <v>#NUM!</v>
      </c>
      <c r="AO172" s="40" t="e">
        <f t="shared" ca="1" si="164"/>
        <v>#NUM!</v>
      </c>
      <c r="AP172" s="40" t="e">
        <f t="shared" ca="1" si="165"/>
        <v>#NUM!</v>
      </c>
      <c r="AQ172" s="40" t="e">
        <f t="shared" ca="1" si="166"/>
        <v>#NUM!</v>
      </c>
      <c r="AR172" s="40" t="e">
        <f t="shared" ca="1" si="167"/>
        <v>#NUM!</v>
      </c>
      <c r="AS172" s="40" t="e">
        <f t="shared" ca="1" si="168"/>
        <v>#NUM!</v>
      </c>
    </row>
    <row r="173" spans="1:45" x14ac:dyDescent="0.25">
      <c r="A173" s="154"/>
      <c r="B173" s="73">
        <f t="shared" si="144"/>
        <v>-59090.909090909088</v>
      </c>
      <c r="E173" s="148">
        <v>42826</v>
      </c>
      <c r="G173" s="139">
        <v>33</v>
      </c>
      <c r="H173" s="139">
        <v>0</v>
      </c>
      <c r="I173" s="49">
        <f t="shared" si="145"/>
        <v>46522</v>
      </c>
      <c r="J173" s="76">
        <v>1950000</v>
      </c>
      <c r="K173" s="40">
        <f t="shared" si="146"/>
        <v>33</v>
      </c>
      <c r="L173" s="74">
        <f t="shared" si="147"/>
        <v>1950000</v>
      </c>
      <c r="M173" s="76"/>
      <c r="N173" s="76">
        <f t="shared" si="148"/>
        <v>0</v>
      </c>
      <c r="O173" s="142"/>
      <c r="P173" s="142"/>
      <c r="Q173" s="142"/>
      <c r="R173" s="144"/>
      <c r="S173" s="144"/>
      <c r="T173" s="144"/>
      <c r="U173" s="144"/>
      <c r="V173" s="144"/>
      <c r="W173" s="144"/>
      <c r="X173" s="144"/>
      <c r="Y173" s="143"/>
      <c r="Z173" s="143">
        <f t="shared" si="149"/>
        <v>0</v>
      </c>
      <c r="AA173" s="9">
        <f t="shared" si="150"/>
        <v>0.375</v>
      </c>
      <c r="AB173" s="9">
        <f t="shared" si="151"/>
        <v>0</v>
      </c>
      <c r="AC173" s="9">
        <f t="shared" si="152"/>
        <v>0</v>
      </c>
      <c r="AD173" s="9">
        <f t="shared" si="153"/>
        <v>0</v>
      </c>
      <c r="AE173" s="40" t="e">
        <f t="shared" ca="1" si="154"/>
        <v>#NUM!</v>
      </c>
      <c r="AF173" s="40" t="e">
        <f t="shared" ca="1" si="155"/>
        <v>#NUM!</v>
      </c>
      <c r="AG173" s="40" t="e">
        <f t="shared" ca="1" si="156"/>
        <v>#NUM!</v>
      </c>
      <c r="AH173" s="40" t="e">
        <f t="shared" ca="1" si="157"/>
        <v>#NUM!</v>
      </c>
      <c r="AI173" s="40" t="e">
        <f t="shared" ca="1" si="158"/>
        <v>#NUM!</v>
      </c>
      <c r="AJ173" s="40" t="e">
        <f t="shared" ca="1" si="159"/>
        <v>#NUM!</v>
      </c>
      <c r="AK173" s="203" t="e">
        <f t="shared" ca="1" si="160"/>
        <v>#NUM!</v>
      </c>
      <c r="AL173" s="40" t="e">
        <f t="shared" ca="1" si="161"/>
        <v>#NUM!</v>
      </c>
      <c r="AM173" s="40" t="e">
        <f t="shared" ca="1" si="162"/>
        <v>#NUM!</v>
      </c>
      <c r="AN173" s="40" t="e">
        <f t="shared" ca="1" si="163"/>
        <v>#NUM!</v>
      </c>
      <c r="AO173" s="40" t="e">
        <f t="shared" ca="1" si="164"/>
        <v>#NUM!</v>
      </c>
      <c r="AP173" s="40" t="e">
        <f t="shared" ca="1" si="165"/>
        <v>#NUM!</v>
      </c>
      <c r="AQ173" s="40" t="e">
        <f t="shared" ca="1" si="166"/>
        <v>#NUM!</v>
      </c>
      <c r="AR173" s="40" t="e">
        <f t="shared" ca="1" si="167"/>
        <v>#NUM!</v>
      </c>
      <c r="AS173" s="40" t="e">
        <f t="shared" ca="1" si="168"/>
        <v>#NUM!</v>
      </c>
    </row>
    <row r="174" spans="1:45" x14ac:dyDescent="0.25">
      <c r="A174" s="154"/>
      <c r="B174" s="73">
        <f t="shared" si="144"/>
        <v>-59090.909090909088</v>
      </c>
      <c r="E174" s="148">
        <v>42826</v>
      </c>
      <c r="G174" s="139">
        <v>33</v>
      </c>
      <c r="H174" s="139">
        <v>0</v>
      </c>
      <c r="I174" s="49">
        <f t="shared" si="145"/>
        <v>46522</v>
      </c>
      <c r="J174" s="76">
        <v>1950000</v>
      </c>
      <c r="K174" s="40">
        <f t="shared" si="146"/>
        <v>33</v>
      </c>
      <c r="L174" s="74">
        <f t="shared" si="147"/>
        <v>1950000</v>
      </c>
      <c r="M174" s="76"/>
      <c r="N174" s="76">
        <f t="shared" si="148"/>
        <v>0</v>
      </c>
      <c r="O174" s="142"/>
      <c r="P174" s="142"/>
      <c r="Q174" s="142"/>
      <c r="R174" s="144"/>
      <c r="S174" s="144"/>
      <c r="T174" s="144"/>
      <c r="U174" s="144"/>
      <c r="V174" s="144"/>
      <c r="W174" s="144"/>
      <c r="X174" s="144"/>
      <c r="Y174" s="143"/>
      <c r="Z174" s="143">
        <f t="shared" si="149"/>
        <v>0</v>
      </c>
      <c r="AA174" s="9">
        <f t="shared" si="150"/>
        <v>0.375</v>
      </c>
      <c r="AB174" s="9">
        <f t="shared" si="151"/>
        <v>0</v>
      </c>
      <c r="AC174" s="9">
        <f t="shared" si="152"/>
        <v>0</v>
      </c>
      <c r="AD174" s="9">
        <f t="shared" si="153"/>
        <v>0</v>
      </c>
      <c r="AE174" s="40" t="e">
        <f t="shared" ca="1" si="154"/>
        <v>#NUM!</v>
      </c>
      <c r="AF174" s="40" t="e">
        <f t="shared" ca="1" si="155"/>
        <v>#NUM!</v>
      </c>
      <c r="AG174" s="40" t="e">
        <f t="shared" ca="1" si="156"/>
        <v>#NUM!</v>
      </c>
      <c r="AH174" s="40" t="e">
        <f t="shared" ca="1" si="157"/>
        <v>#NUM!</v>
      </c>
      <c r="AI174" s="40" t="e">
        <f t="shared" ca="1" si="158"/>
        <v>#NUM!</v>
      </c>
      <c r="AJ174" s="40" t="e">
        <f t="shared" ca="1" si="159"/>
        <v>#NUM!</v>
      </c>
      <c r="AK174" s="203" t="e">
        <f t="shared" ca="1" si="160"/>
        <v>#NUM!</v>
      </c>
      <c r="AL174" s="40" t="e">
        <f t="shared" ca="1" si="161"/>
        <v>#NUM!</v>
      </c>
      <c r="AM174" s="40" t="e">
        <f t="shared" ca="1" si="162"/>
        <v>#NUM!</v>
      </c>
      <c r="AN174" s="40" t="e">
        <f t="shared" ca="1" si="163"/>
        <v>#NUM!</v>
      </c>
      <c r="AO174" s="40" t="e">
        <f t="shared" ca="1" si="164"/>
        <v>#NUM!</v>
      </c>
      <c r="AP174" s="40" t="e">
        <f t="shared" ca="1" si="165"/>
        <v>#NUM!</v>
      </c>
      <c r="AQ174" s="40" t="e">
        <f t="shared" ca="1" si="166"/>
        <v>#NUM!</v>
      </c>
      <c r="AR174" s="40" t="e">
        <f t="shared" ca="1" si="167"/>
        <v>#NUM!</v>
      </c>
      <c r="AS174" s="40" t="e">
        <f t="shared" ca="1" si="168"/>
        <v>#NUM!</v>
      </c>
    </row>
    <row r="175" spans="1:45" x14ac:dyDescent="0.25">
      <c r="A175" s="154"/>
      <c r="B175" s="73">
        <f t="shared" si="144"/>
        <v>-59090.909090909088</v>
      </c>
      <c r="E175" s="148">
        <v>42826</v>
      </c>
      <c r="G175" s="139">
        <v>33</v>
      </c>
      <c r="H175" s="139">
        <v>0</v>
      </c>
      <c r="I175" s="49">
        <f t="shared" si="145"/>
        <v>46522</v>
      </c>
      <c r="J175" s="76">
        <v>1950000</v>
      </c>
      <c r="K175" s="40">
        <f t="shared" si="146"/>
        <v>33</v>
      </c>
      <c r="L175" s="74">
        <f t="shared" si="147"/>
        <v>1950000</v>
      </c>
      <c r="M175" s="76"/>
      <c r="N175" s="76">
        <f t="shared" si="148"/>
        <v>0</v>
      </c>
      <c r="O175" s="142"/>
      <c r="P175" s="142"/>
      <c r="Q175" s="142"/>
      <c r="R175" s="144"/>
      <c r="S175" s="144"/>
      <c r="T175" s="144"/>
      <c r="U175" s="144"/>
      <c r="V175" s="144"/>
      <c r="W175" s="144"/>
      <c r="X175" s="144"/>
      <c r="Y175" s="143"/>
      <c r="Z175" s="143">
        <f t="shared" si="149"/>
        <v>0</v>
      </c>
      <c r="AA175" s="9">
        <f t="shared" si="150"/>
        <v>0.375</v>
      </c>
      <c r="AB175" s="9">
        <f t="shared" si="151"/>
        <v>0</v>
      </c>
      <c r="AC175" s="9">
        <f t="shared" si="152"/>
        <v>0</v>
      </c>
      <c r="AD175" s="9">
        <f t="shared" si="153"/>
        <v>0</v>
      </c>
      <c r="AE175" s="40" t="e">
        <f t="shared" ca="1" si="154"/>
        <v>#NUM!</v>
      </c>
      <c r="AF175" s="40" t="e">
        <f t="shared" ca="1" si="155"/>
        <v>#NUM!</v>
      </c>
      <c r="AG175" s="40" t="e">
        <f t="shared" ca="1" si="156"/>
        <v>#NUM!</v>
      </c>
      <c r="AH175" s="40" t="e">
        <f t="shared" ca="1" si="157"/>
        <v>#NUM!</v>
      </c>
      <c r="AI175" s="40" t="e">
        <f t="shared" ca="1" si="158"/>
        <v>#NUM!</v>
      </c>
      <c r="AJ175" s="40" t="e">
        <f t="shared" ca="1" si="159"/>
        <v>#NUM!</v>
      </c>
      <c r="AK175" s="203" t="e">
        <f t="shared" ca="1" si="160"/>
        <v>#NUM!</v>
      </c>
      <c r="AL175" s="40" t="e">
        <f t="shared" ca="1" si="161"/>
        <v>#NUM!</v>
      </c>
      <c r="AM175" s="40" t="e">
        <f t="shared" ca="1" si="162"/>
        <v>#NUM!</v>
      </c>
      <c r="AN175" s="40" t="e">
        <f t="shared" ca="1" si="163"/>
        <v>#NUM!</v>
      </c>
      <c r="AO175" s="40" t="e">
        <f t="shared" ca="1" si="164"/>
        <v>#NUM!</v>
      </c>
      <c r="AP175" s="40" t="e">
        <f t="shared" ca="1" si="165"/>
        <v>#NUM!</v>
      </c>
      <c r="AQ175" s="40" t="e">
        <f t="shared" ca="1" si="166"/>
        <v>#NUM!</v>
      </c>
      <c r="AR175" s="40" t="e">
        <f t="shared" ca="1" si="167"/>
        <v>#NUM!</v>
      </c>
      <c r="AS175" s="40" t="e">
        <f t="shared" ca="1" si="168"/>
        <v>#NUM!</v>
      </c>
    </row>
    <row r="176" spans="1:45" x14ac:dyDescent="0.25">
      <c r="A176" s="154"/>
      <c r="B176" s="73">
        <f t="shared" si="144"/>
        <v>-59090.909090909088</v>
      </c>
      <c r="E176" s="148">
        <v>42826</v>
      </c>
      <c r="G176" s="139">
        <v>33</v>
      </c>
      <c r="H176" s="139">
        <v>0</v>
      </c>
      <c r="I176" s="49">
        <f t="shared" si="145"/>
        <v>46522</v>
      </c>
      <c r="J176" s="76">
        <v>1950000</v>
      </c>
      <c r="K176" s="40">
        <f t="shared" si="146"/>
        <v>33</v>
      </c>
      <c r="L176" s="74">
        <f t="shared" si="147"/>
        <v>1950000</v>
      </c>
      <c r="M176" s="76"/>
      <c r="N176" s="76">
        <f t="shared" si="148"/>
        <v>0</v>
      </c>
      <c r="O176" s="142"/>
      <c r="P176" s="142"/>
      <c r="Q176" s="142"/>
      <c r="R176" s="144"/>
      <c r="S176" s="144"/>
      <c r="T176" s="144"/>
      <c r="U176" s="144"/>
      <c r="V176" s="144"/>
      <c r="W176" s="144"/>
      <c r="X176" s="144"/>
      <c r="Y176" s="143"/>
      <c r="Z176" s="143">
        <f t="shared" si="149"/>
        <v>0</v>
      </c>
      <c r="AA176" s="9">
        <f t="shared" si="150"/>
        <v>0.375</v>
      </c>
      <c r="AB176" s="9">
        <f t="shared" si="151"/>
        <v>0</v>
      </c>
      <c r="AC176" s="9">
        <f t="shared" si="152"/>
        <v>0</v>
      </c>
      <c r="AD176" s="9">
        <f t="shared" si="153"/>
        <v>0</v>
      </c>
      <c r="AE176" s="40" t="e">
        <f t="shared" ca="1" si="154"/>
        <v>#NUM!</v>
      </c>
      <c r="AF176" s="40" t="e">
        <f t="shared" ca="1" si="155"/>
        <v>#NUM!</v>
      </c>
      <c r="AG176" s="40" t="e">
        <f t="shared" ca="1" si="156"/>
        <v>#NUM!</v>
      </c>
      <c r="AH176" s="40" t="e">
        <f t="shared" ca="1" si="157"/>
        <v>#NUM!</v>
      </c>
      <c r="AI176" s="40" t="e">
        <f t="shared" ca="1" si="158"/>
        <v>#NUM!</v>
      </c>
      <c r="AJ176" s="40" t="e">
        <f t="shared" ca="1" si="159"/>
        <v>#NUM!</v>
      </c>
      <c r="AK176" s="203" t="e">
        <f t="shared" ca="1" si="160"/>
        <v>#NUM!</v>
      </c>
      <c r="AL176" s="40" t="e">
        <f t="shared" ca="1" si="161"/>
        <v>#NUM!</v>
      </c>
      <c r="AM176" s="40" t="e">
        <f t="shared" ca="1" si="162"/>
        <v>#NUM!</v>
      </c>
      <c r="AN176" s="40" t="e">
        <f t="shared" ca="1" si="163"/>
        <v>#NUM!</v>
      </c>
      <c r="AO176" s="40" t="e">
        <f t="shared" ca="1" si="164"/>
        <v>#NUM!</v>
      </c>
      <c r="AP176" s="40" t="e">
        <f t="shared" ca="1" si="165"/>
        <v>#NUM!</v>
      </c>
      <c r="AQ176" s="40" t="e">
        <f t="shared" ca="1" si="166"/>
        <v>#NUM!</v>
      </c>
      <c r="AR176" s="40" t="e">
        <f t="shared" ca="1" si="167"/>
        <v>#NUM!</v>
      </c>
      <c r="AS176" s="40" t="e">
        <f t="shared" ca="1" si="168"/>
        <v>#NUM!</v>
      </c>
    </row>
    <row r="177" spans="1:45" x14ac:dyDescent="0.25">
      <c r="A177" s="154"/>
      <c r="B177" s="73">
        <f t="shared" si="144"/>
        <v>-59090.909090909088</v>
      </c>
      <c r="E177" s="148">
        <v>42826</v>
      </c>
      <c r="G177" s="139">
        <v>33</v>
      </c>
      <c r="H177" s="139">
        <v>0</v>
      </c>
      <c r="I177" s="49">
        <f t="shared" si="145"/>
        <v>46522</v>
      </c>
      <c r="J177" s="76">
        <v>1950000</v>
      </c>
      <c r="K177" s="40">
        <f t="shared" si="146"/>
        <v>33</v>
      </c>
      <c r="L177" s="74">
        <f t="shared" si="147"/>
        <v>1950000</v>
      </c>
      <c r="M177" s="76"/>
      <c r="N177" s="76">
        <f t="shared" si="148"/>
        <v>0</v>
      </c>
      <c r="O177" s="142"/>
      <c r="P177" s="142"/>
      <c r="Q177" s="142"/>
      <c r="R177" s="144"/>
      <c r="S177" s="144"/>
      <c r="T177" s="144"/>
      <c r="U177" s="144"/>
      <c r="V177" s="144"/>
      <c r="W177" s="144"/>
      <c r="X177" s="144"/>
      <c r="Y177" s="143"/>
      <c r="Z177" s="143">
        <f t="shared" si="149"/>
        <v>0</v>
      </c>
      <c r="AA177" s="9">
        <f t="shared" si="150"/>
        <v>0.375</v>
      </c>
      <c r="AB177" s="9">
        <f t="shared" si="151"/>
        <v>0</v>
      </c>
      <c r="AC177" s="9">
        <f t="shared" si="152"/>
        <v>0</v>
      </c>
      <c r="AD177" s="9">
        <f t="shared" si="153"/>
        <v>0</v>
      </c>
      <c r="AE177" s="40" t="e">
        <f t="shared" ca="1" si="154"/>
        <v>#NUM!</v>
      </c>
      <c r="AF177" s="40" t="e">
        <f t="shared" ca="1" si="155"/>
        <v>#NUM!</v>
      </c>
      <c r="AG177" s="40" t="e">
        <f t="shared" ca="1" si="156"/>
        <v>#NUM!</v>
      </c>
      <c r="AH177" s="40" t="e">
        <f t="shared" ca="1" si="157"/>
        <v>#NUM!</v>
      </c>
      <c r="AI177" s="40" t="e">
        <f t="shared" ca="1" si="158"/>
        <v>#NUM!</v>
      </c>
      <c r="AJ177" s="40" t="e">
        <f t="shared" ca="1" si="159"/>
        <v>#NUM!</v>
      </c>
      <c r="AK177" s="203" t="e">
        <f t="shared" ca="1" si="160"/>
        <v>#NUM!</v>
      </c>
      <c r="AL177" s="40" t="e">
        <f t="shared" ca="1" si="161"/>
        <v>#NUM!</v>
      </c>
      <c r="AM177" s="40" t="e">
        <f t="shared" ca="1" si="162"/>
        <v>#NUM!</v>
      </c>
      <c r="AN177" s="40" t="e">
        <f t="shared" ca="1" si="163"/>
        <v>#NUM!</v>
      </c>
      <c r="AO177" s="40" t="e">
        <f t="shared" ca="1" si="164"/>
        <v>#NUM!</v>
      </c>
      <c r="AP177" s="40" t="e">
        <f t="shared" ca="1" si="165"/>
        <v>#NUM!</v>
      </c>
      <c r="AQ177" s="40" t="e">
        <f t="shared" ca="1" si="166"/>
        <v>#NUM!</v>
      </c>
      <c r="AR177" s="40" t="e">
        <f t="shared" ca="1" si="167"/>
        <v>#NUM!</v>
      </c>
      <c r="AS177" s="40" t="e">
        <f t="shared" ca="1" si="168"/>
        <v>#NUM!</v>
      </c>
    </row>
    <row r="178" spans="1:45" x14ac:dyDescent="0.25">
      <c r="A178" s="154"/>
      <c r="B178" s="73">
        <f t="shared" si="144"/>
        <v>-59090.909090909088</v>
      </c>
      <c r="E178" s="148">
        <v>42826</v>
      </c>
      <c r="G178" s="139">
        <v>33</v>
      </c>
      <c r="H178" s="139">
        <v>0</v>
      </c>
      <c r="I178" s="49">
        <f t="shared" si="145"/>
        <v>46522</v>
      </c>
      <c r="J178" s="76">
        <v>1950000</v>
      </c>
      <c r="K178" s="40">
        <f t="shared" si="146"/>
        <v>33</v>
      </c>
      <c r="L178" s="74">
        <f t="shared" si="147"/>
        <v>1950000</v>
      </c>
      <c r="M178" s="76"/>
      <c r="N178" s="76">
        <f t="shared" si="148"/>
        <v>0</v>
      </c>
      <c r="O178" s="142"/>
      <c r="P178" s="142"/>
      <c r="Q178" s="142"/>
      <c r="R178" s="144"/>
      <c r="S178" s="144"/>
      <c r="T178" s="144"/>
      <c r="U178" s="144"/>
      <c r="V178" s="144"/>
      <c r="W178" s="144"/>
      <c r="X178" s="144"/>
      <c r="Y178" s="143"/>
      <c r="Z178" s="143">
        <f t="shared" si="149"/>
        <v>0</v>
      </c>
      <c r="AA178" s="9">
        <f t="shared" si="150"/>
        <v>0.375</v>
      </c>
      <c r="AB178" s="9">
        <f t="shared" si="151"/>
        <v>0</v>
      </c>
      <c r="AC178" s="9">
        <f t="shared" si="152"/>
        <v>0</v>
      </c>
      <c r="AD178" s="9">
        <f t="shared" si="153"/>
        <v>0</v>
      </c>
      <c r="AE178" s="40" t="e">
        <f t="shared" ca="1" si="154"/>
        <v>#NUM!</v>
      </c>
      <c r="AF178" s="40" t="e">
        <f t="shared" ca="1" si="155"/>
        <v>#NUM!</v>
      </c>
      <c r="AG178" s="40" t="e">
        <f t="shared" ca="1" si="156"/>
        <v>#NUM!</v>
      </c>
      <c r="AH178" s="40" t="e">
        <f t="shared" ca="1" si="157"/>
        <v>#NUM!</v>
      </c>
      <c r="AI178" s="40" t="e">
        <f t="shared" ca="1" si="158"/>
        <v>#NUM!</v>
      </c>
      <c r="AJ178" s="40" t="e">
        <f t="shared" ca="1" si="159"/>
        <v>#NUM!</v>
      </c>
      <c r="AK178" s="203" t="e">
        <f t="shared" ca="1" si="160"/>
        <v>#NUM!</v>
      </c>
      <c r="AL178" s="40" t="e">
        <f t="shared" ca="1" si="161"/>
        <v>#NUM!</v>
      </c>
      <c r="AM178" s="40" t="e">
        <f t="shared" ca="1" si="162"/>
        <v>#NUM!</v>
      </c>
      <c r="AN178" s="40" t="e">
        <f t="shared" ca="1" si="163"/>
        <v>#NUM!</v>
      </c>
      <c r="AO178" s="40" t="e">
        <f t="shared" ca="1" si="164"/>
        <v>#NUM!</v>
      </c>
      <c r="AP178" s="40" t="e">
        <f t="shared" ca="1" si="165"/>
        <v>#NUM!</v>
      </c>
      <c r="AQ178" s="40" t="e">
        <f t="shared" ca="1" si="166"/>
        <v>#NUM!</v>
      </c>
      <c r="AR178" s="40" t="e">
        <f t="shared" ca="1" si="167"/>
        <v>#NUM!</v>
      </c>
      <c r="AS178" s="40" t="e">
        <f t="shared" ca="1" si="168"/>
        <v>#NUM!</v>
      </c>
    </row>
    <row r="179" spans="1:45" x14ac:dyDescent="0.25">
      <c r="A179" s="154"/>
      <c r="B179" s="73">
        <f t="shared" si="144"/>
        <v>-59090.909090909088</v>
      </c>
      <c r="E179" s="148">
        <v>42826</v>
      </c>
      <c r="G179" s="139">
        <v>33</v>
      </c>
      <c r="H179" s="139">
        <v>0</v>
      </c>
      <c r="I179" s="49">
        <f t="shared" si="145"/>
        <v>46522</v>
      </c>
      <c r="J179" s="76">
        <v>1950000</v>
      </c>
      <c r="K179" s="40">
        <f t="shared" si="146"/>
        <v>33</v>
      </c>
      <c r="L179" s="74">
        <f t="shared" si="147"/>
        <v>1950000</v>
      </c>
      <c r="M179" s="76"/>
      <c r="N179" s="76">
        <f t="shared" si="148"/>
        <v>0</v>
      </c>
      <c r="O179" s="142"/>
      <c r="P179" s="142"/>
      <c r="Q179" s="142"/>
      <c r="R179" s="144"/>
      <c r="S179" s="144"/>
      <c r="T179" s="144"/>
      <c r="U179" s="144"/>
      <c r="V179" s="144"/>
      <c r="W179" s="144"/>
      <c r="X179" s="144"/>
      <c r="Y179" s="143"/>
      <c r="Z179" s="143">
        <f t="shared" si="149"/>
        <v>0</v>
      </c>
      <c r="AA179" s="9">
        <f t="shared" si="150"/>
        <v>0.375</v>
      </c>
      <c r="AB179" s="9">
        <f t="shared" si="151"/>
        <v>0</v>
      </c>
      <c r="AC179" s="9">
        <f t="shared" si="152"/>
        <v>0</v>
      </c>
      <c r="AD179" s="9">
        <f t="shared" si="153"/>
        <v>0</v>
      </c>
      <c r="AE179" s="40" t="e">
        <f t="shared" ca="1" si="154"/>
        <v>#NUM!</v>
      </c>
      <c r="AF179" s="40" t="e">
        <f t="shared" ca="1" si="155"/>
        <v>#NUM!</v>
      </c>
      <c r="AG179" s="40" t="e">
        <f t="shared" ca="1" si="156"/>
        <v>#NUM!</v>
      </c>
      <c r="AH179" s="40" t="e">
        <f t="shared" ca="1" si="157"/>
        <v>#NUM!</v>
      </c>
      <c r="AI179" s="40" t="e">
        <f t="shared" ca="1" si="158"/>
        <v>#NUM!</v>
      </c>
      <c r="AJ179" s="40" t="e">
        <f t="shared" ca="1" si="159"/>
        <v>#NUM!</v>
      </c>
      <c r="AK179" s="203" t="e">
        <f t="shared" ca="1" si="160"/>
        <v>#NUM!</v>
      </c>
      <c r="AL179" s="40" t="e">
        <f t="shared" ca="1" si="161"/>
        <v>#NUM!</v>
      </c>
      <c r="AM179" s="40" t="e">
        <f t="shared" ca="1" si="162"/>
        <v>#NUM!</v>
      </c>
      <c r="AN179" s="40" t="e">
        <f t="shared" ca="1" si="163"/>
        <v>#NUM!</v>
      </c>
      <c r="AO179" s="40" t="e">
        <f t="shared" ca="1" si="164"/>
        <v>#NUM!</v>
      </c>
      <c r="AP179" s="40" t="e">
        <f t="shared" ca="1" si="165"/>
        <v>#NUM!</v>
      </c>
      <c r="AQ179" s="40" t="e">
        <f t="shared" ca="1" si="166"/>
        <v>#NUM!</v>
      </c>
      <c r="AR179" s="40" t="e">
        <f t="shared" ca="1" si="167"/>
        <v>#NUM!</v>
      </c>
      <c r="AS179" s="40" t="e">
        <f t="shared" ca="1" si="168"/>
        <v>#NUM!</v>
      </c>
    </row>
    <row r="180" spans="1:45" x14ac:dyDescent="0.25">
      <c r="A180" s="154"/>
      <c r="B180" s="73">
        <f t="shared" si="144"/>
        <v>-59090.909090909088</v>
      </c>
      <c r="E180" s="148">
        <v>42826</v>
      </c>
      <c r="G180" s="139">
        <v>33</v>
      </c>
      <c r="H180" s="139">
        <v>0</v>
      </c>
      <c r="I180" s="49">
        <f t="shared" si="145"/>
        <v>46522</v>
      </c>
      <c r="J180" s="76">
        <v>1950000</v>
      </c>
      <c r="K180" s="40">
        <f t="shared" si="146"/>
        <v>33</v>
      </c>
      <c r="L180" s="74">
        <f t="shared" si="147"/>
        <v>1950000</v>
      </c>
      <c r="M180" s="76"/>
      <c r="N180" s="76">
        <f t="shared" si="148"/>
        <v>0</v>
      </c>
      <c r="O180" s="142"/>
      <c r="P180" s="142"/>
      <c r="Q180" s="142"/>
      <c r="R180" s="144"/>
      <c r="S180" s="144"/>
      <c r="T180" s="144"/>
      <c r="U180" s="144"/>
      <c r="V180" s="144"/>
      <c r="W180" s="144"/>
      <c r="X180" s="144"/>
      <c r="Y180" s="143"/>
      <c r="Z180" s="143">
        <f t="shared" si="149"/>
        <v>0</v>
      </c>
      <c r="AA180" s="9">
        <f t="shared" si="150"/>
        <v>0.375</v>
      </c>
      <c r="AB180" s="9">
        <f t="shared" si="151"/>
        <v>0</v>
      </c>
      <c r="AC180" s="9">
        <f t="shared" si="152"/>
        <v>0</v>
      </c>
      <c r="AD180" s="9">
        <f t="shared" si="153"/>
        <v>0</v>
      </c>
      <c r="AE180" s="40" t="e">
        <f t="shared" ca="1" si="154"/>
        <v>#NUM!</v>
      </c>
      <c r="AF180" s="40" t="e">
        <f t="shared" ca="1" si="155"/>
        <v>#NUM!</v>
      </c>
      <c r="AG180" s="40" t="e">
        <f t="shared" ca="1" si="156"/>
        <v>#NUM!</v>
      </c>
      <c r="AH180" s="40" t="e">
        <f t="shared" ca="1" si="157"/>
        <v>#NUM!</v>
      </c>
      <c r="AI180" s="40" t="e">
        <f t="shared" ca="1" si="158"/>
        <v>#NUM!</v>
      </c>
      <c r="AJ180" s="40" t="e">
        <f t="shared" ca="1" si="159"/>
        <v>#NUM!</v>
      </c>
      <c r="AK180" s="203" t="e">
        <f t="shared" ca="1" si="160"/>
        <v>#NUM!</v>
      </c>
      <c r="AL180" s="40" t="e">
        <f t="shared" ca="1" si="161"/>
        <v>#NUM!</v>
      </c>
      <c r="AM180" s="40" t="e">
        <f t="shared" ca="1" si="162"/>
        <v>#NUM!</v>
      </c>
      <c r="AN180" s="40" t="e">
        <f t="shared" ca="1" si="163"/>
        <v>#NUM!</v>
      </c>
      <c r="AO180" s="40" t="e">
        <f t="shared" ca="1" si="164"/>
        <v>#NUM!</v>
      </c>
      <c r="AP180" s="40" t="e">
        <f t="shared" ca="1" si="165"/>
        <v>#NUM!</v>
      </c>
      <c r="AQ180" s="40" t="e">
        <f t="shared" ca="1" si="166"/>
        <v>#NUM!</v>
      </c>
      <c r="AR180" s="40" t="e">
        <f t="shared" ca="1" si="167"/>
        <v>#NUM!</v>
      </c>
      <c r="AS180" s="40" t="e">
        <f t="shared" ca="1" si="168"/>
        <v>#NUM!</v>
      </c>
    </row>
    <row r="181" spans="1:45" x14ac:dyDescent="0.25">
      <c r="A181" s="154"/>
      <c r="B181" s="73">
        <f t="shared" si="144"/>
        <v>-59090.909090909088</v>
      </c>
      <c r="E181" s="148">
        <v>42826</v>
      </c>
      <c r="G181" s="139">
        <v>33</v>
      </c>
      <c r="H181" s="139">
        <v>0</v>
      </c>
      <c r="I181" s="49">
        <f t="shared" si="145"/>
        <v>46522</v>
      </c>
      <c r="J181" s="76">
        <v>1950000</v>
      </c>
      <c r="K181" s="40">
        <f t="shared" si="146"/>
        <v>33</v>
      </c>
      <c r="L181" s="74">
        <f t="shared" si="147"/>
        <v>1950000</v>
      </c>
      <c r="M181" s="76"/>
      <c r="N181" s="76">
        <f t="shared" si="148"/>
        <v>0</v>
      </c>
      <c r="O181" s="142"/>
      <c r="P181" s="142"/>
      <c r="Q181" s="142"/>
      <c r="R181" s="144"/>
      <c r="S181" s="144"/>
      <c r="T181" s="144"/>
      <c r="U181" s="144"/>
      <c r="V181" s="144"/>
      <c r="W181" s="144"/>
      <c r="X181" s="144"/>
      <c r="Y181" s="143"/>
      <c r="Z181" s="143">
        <f t="shared" si="149"/>
        <v>0</v>
      </c>
      <c r="AA181" s="9">
        <f t="shared" si="150"/>
        <v>0.375</v>
      </c>
      <c r="AB181" s="9">
        <f t="shared" si="151"/>
        <v>0</v>
      </c>
      <c r="AC181" s="9">
        <f t="shared" si="152"/>
        <v>0</v>
      </c>
      <c r="AD181" s="9">
        <f t="shared" si="153"/>
        <v>0</v>
      </c>
      <c r="AE181" s="40" t="e">
        <f t="shared" ca="1" si="154"/>
        <v>#NUM!</v>
      </c>
      <c r="AF181" s="40" t="e">
        <f t="shared" ca="1" si="155"/>
        <v>#NUM!</v>
      </c>
      <c r="AG181" s="40" t="e">
        <f t="shared" ca="1" si="156"/>
        <v>#NUM!</v>
      </c>
      <c r="AH181" s="40" t="e">
        <f t="shared" ca="1" si="157"/>
        <v>#NUM!</v>
      </c>
      <c r="AI181" s="40" t="e">
        <f t="shared" ca="1" si="158"/>
        <v>#NUM!</v>
      </c>
      <c r="AJ181" s="40" t="e">
        <f t="shared" ca="1" si="159"/>
        <v>#NUM!</v>
      </c>
      <c r="AK181" s="203" t="e">
        <f t="shared" ca="1" si="160"/>
        <v>#NUM!</v>
      </c>
      <c r="AL181" s="40" t="e">
        <f t="shared" ca="1" si="161"/>
        <v>#NUM!</v>
      </c>
      <c r="AM181" s="40" t="e">
        <f t="shared" ca="1" si="162"/>
        <v>#NUM!</v>
      </c>
      <c r="AN181" s="40" t="e">
        <f t="shared" ca="1" si="163"/>
        <v>#NUM!</v>
      </c>
      <c r="AO181" s="40" t="e">
        <f t="shared" ca="1" si="164"/>
        <v>#NUM!</v>
      </c>
      <c r="AP181" s="40" t="e">
        <f t="shared" ca="1" si="165"/>
        <v>#NUM!</v>
      </c>
      <c r="AQ181" s="40" t="e">
        <f t="shared" ca="1" si="166"/>
        <v>#NUM!</v>
      </c>
      <c r="AR181" s="40" t="e">
        <f t="shared" ca="1" si="167"/>
        <v>#NUM!</v>
      </c>
      <c r="AS181" s="40" t="e">
        <f t="shared" ca="1" si="168"/>
        <v>#NUM!</v>
      </c>
    </row>
    <row r="182" spans="1:45" x14ac:dyDescent="0.25">
      <c r="A182" s="154"/>
      <c r="B182" s="73">
        <f t="shared" si="144"/>
        <v>-59090.909090909088</v>
      </c>
      <c r="E182" s="148">
        <v>42826</v>
      </c>
      <c r="G182" s="139">
        <v>33</v>
      </c>
      <c r="H182" s="139">
        <v>0</v>
      </c>
      <c r="I182" s="49">
        <f t="shared" si="145"/>
        <v>46522</v>
      </c>
      <c r="J182" s="76">
        <v>1950000</v>
      </c>
      <c r="K182" s="40">
        <f t="shared" si="146"/>
        <v>33</v>
      </c>
      <c r="L182" s="74">
        <f t="shared" si="147"/>
        <v>1950000</v>
      </c>
      <c r="M182" s="76"/>
      <c r="N182" s="76">
        <f t="shared" si="148"/>
        <v>0</v>
      </c>
      <c r="O182" s="142"/>
      <c r="P182" s="142"/>
      <c r="Q182" s="142"/>
      <c r="R182" s="144"/>
      <c r="S182" s="144"/>
      <c r="T182" s="144"/>
      <c r="U182" s="144"/>
      <c r="V182" s="144"/>
      <c r="W182" s="144"/>
      <c r="X182" s="144"/>
      <c r="Y182" s="143"/>
      <c r="Z182" s="143">
        <f t="shared" si="149"/>
        <v>0</v>
      </c>
      <c r="AA182" s="9">
        <f t="shared" si="150"/>
        <v>0.375</v>
      </c>
      <c r="AB182" s="9">
        <f t="shared" si="151"/>
        <v>0</v>
      </c>
      <c r="AC182" s="9">
        <f t="shared" si="152"/>
        <v>0</v>
      </c>
      <c r="AD182" s="9">
        <f t="shared" si="153"/>
        <v>0</v>
      </c>
      <c r="AE182" s="40" t="e">
        <f t="shared" ca="1" si="154"/>
        <v>#NUM!</v>
      </c>
      <c r="AF182" s="40" t="e">
        <f t="shared" ca="1" si="155"/>
        <v>#NUM!</v>
      </c>
      <c r="AG182" s="40" t="e">
        <f t="shared" ca="1" si="156"/>
        <v>#NUM!</v>
      </c>
      <c r="AH182" s="40" t="e">
        <f t="shared" ca="1" si="157"/>
        <v>#NUM!</v>
      </c>
      <c r="AI182" s="40" t="e">
        <f t="shared" ca="1" si="158"/>
        <v>#NUM!</v>
      </c>
      <c r="AJ182" s="40" t="e">
        <f t="shared" ca="1" si="159"/>
        <v>#NUM!</v>
      </c>
      <c r="AK182" s="203" t="e">
        <f t="shared" ca="1" si="160"/>
        <v>#NUM!</v>
      </c>
      <c r="AL182" s="40" t="e">
        <f t="shared" ca="1" si="161"/>
        <v>#NUM!</v>
      </c>
      <c r="AM182" s="40" t="e">
        <f t="shared" ca="1" si="162"/>
        <v>#NUM!</v>
      </c>
      <c r="AN182" s="40" t="e">
        <f t="shared" ca="1" si="163"/>
        <v>#NUM!</v>
      </c>
      <c r="AO182" s="40" t="e">
        <f t="shared" ca="1" si="164"/>
        <v>#NUM!</v>
      </c>
      <c r="AP182" s="40" t="e">
        <f t="shared" ca="1" si="165"/>
        <v>#NUM!</v>
      </c>
      <c r="AQ182" s="40" t="e">
        <f t="shared" ca="1" si="166"/>
        <v>#NUM!</v>
      </c>
      <c r="AR182" s="40" t="e">
        <f t="shared" ca="1" si="167"/>
        <v>#NUM!</v>
      </c>
      <c r="AS182" s="40" t="e">
        <f t="shared" ca="1" si="168"/>
        <v>#NUM!</v>
      </c>
    </row>
    <row r="183" spans="1:45" x14ac:dyDescent="0.25">
      <c r="A183" s="154"/>
      <c r="B183" s="73">
        <f t="shared" si="144"/>
        <v>-59090.909090909088</v>
      </c>
      <c r="E183" s="148">
        <v>42826</v>
      </c>
      <c r="G183" s="139">
        <v>33</v>
      </c>
      <c r="H183" s="139">
        <v>0</v>
      </c>
      <c r="I183" s="49">
        <f t="shared" si="145"/>
        <v>46522</v>
      </c>
      <c r="J183" s="76">
        <v>1950000</v>
      </c>
      <c r="K183" s="40">
        <f t="shared" si="146"/>
        <v>33</v>
      </c>
      <c r="L183" s="74">
        <f t="shared" si="147"/>
        <v>1950000</v>
      </c>
      <c r="M183" s="76"/>
      <c r="N183" s="76">
        <f t="shared" si="148"/>
        <v>0</v>
      </c>
      <c r="O183" s="142"/>
      <c r="P183" s="142"/>
      <c r="Q183" s="142"/>
      <c r="R183" s="144"/>
      <c r="S183" s="144"/>
      <c r="T183" s="144"/>
      <c r="U183" s="144"/>
      <c r="V183" s="144"/>
      <c r="W183" s="144"/>
      <c r="X183" s="144"/>
      <c r="Y183" s="143"/>
      <c r="Z183" s="143">
        <f t="shared" si="149"/>
        <v>0</v>
      </c>
      <c r="AA183" s="9">
        <f t="shared" si="150"/>
        <v>0.375</v>
      </c>
      <c r="AB183" s="9">
        <f t="shared" si="151"/>
        <v>0</v>
      </c>
      <c r="AC183" s="9">
        <f t="shared" si="152"/>
        <v>0</v>
      </c>
      <c r="AD183" s="9">
        <f t="shared" si="153"/>
        <v>0</v>
      </c>
      <c r="AE183" s="40" t="e">
        <f t="shared" ca="1" si="154"/>
        <v>#NUM!</v>
      </c>
      <c r="AF183" s="40" t="e">
        <f t="shared" ca="1" si="155"/>
        <v>#NUM!</v>
      </c>
      <c r="AG183" s="40" t="e">
        <f t="shared" ca="1" si="156"/>
        <v>#NUM!</v>
      </c>
      <c r="AH183" s="40" t="e">
        <f t="shared" ca="1" si="157"/>
        <v>#NUM!</v>
      </c>
      <c r="AI183" s="40" t="e">
        <f t="shared" ca="1" si="158"/>
        <v>#NUM!</v>
      </c>
      <c r="AJ183" s="40" t="e">
        <f t="shared" ca="1" si="159"/>
        <v>#NUM!</v>
      </c>
      <c r="AK183" s="203" t="e">
        <f t="shared" ca="1" si="160"/>
        <v>#NUM!</v>
      </c>
      <c r="AL183" s="40" t="e">
        <f t="shared" ca="1" si="161"/>
        <v>#NUM!</v>
      </c>
      <c r="AM183" s="40" t="e">
        <f t="shared" ca="1" si="162"/>
        <v>#NUM!</v>
      </c>
      <c r="AN183" s="40" t="e">
        <f t="shared" ca="1" si="163"/>
        <v>#NUM!</v>
      </c>
      <c r="AO183" s="40" t="e">
        <f t="shared" ca="1" si="164"/>
        <v>#NUM!</v>
      </c>
      <c r="AP183" s="40" t="e">
        <f t="shared" ca="1" si="165"/>
        <v>#NUM!</v>
      </c>
      <c r="AQ183" s="40" t="e">
        <f t="shared" ca="1" si="166"/>
        <v>#NUM!</v>
      </c>
      <c r="AR183" s="40" t="e">
        <f t="shared" ca="1" si="167"/>
        <v>#NUM!</v>
      </c>
      <c r="AS183" s="40" t="e">
        <f t="shared" ca="1" si="168"/>
        <v>#NUM!</v>
      </c>
    </row>
    <row r="184" spans="1:45" x14ac:dyDescent="0.25">
      <c r="A184" s="154"/>
      <c r="B184" s="73">
        <f t="shared" si="144"/>
        <v>-59090.909090909088</v>
      </c>
      <c r="E184" s="148">
        <v>42826</v>
      </c>
      <c r="G184" s="139">
        <v>33</v>
      </c>
      <c r="H184" s="139">
        <v>0</v>
      </c>
      <c r="I184" s="49">
        <f t="shared" si="145"/>
        <v>46522</v>
      </c>
      <c r="J184" s="76">
        <v>1950000</v>
      </c>
      <c r="K184" s="40">
        <f t="shared" si="146"/>
        <v>33</v>
      </c>
      <c r="L184" s="74">
        <f t="shared" si="147"/>
        <v>1950000</v>
      </c>
      <c r="M184" s="76"/>
      <c r="N184" s="76">
        <f t="shared" si="148"/>
        <v>0</v>
      </c>
      <c r="O184" s="142"/>
      <c r="P184" s="142"/>
      <c r="Q184" s="142"/>
      <c r="R184" s="144"/>
      <c r="S184" s="144"/>
      <c r="T184" s="144"/>
      <c r="U184" s="144"/>
      <c r="V184" s="144"/>
      <c r="W184" s="144"/>
      <c r="X184" s="144"/>
      <c r="Y184" s="143"/>
      <c r="Z184" s="143">
        <f t="shared" si="149"/>
        <v>0</v>
      </c>
      <c r="AA184" s="9">
        <f t="shared" si="150"/>
        <v>0.375</v>
      </c>
      <c r="AB184" s="9">
        <f t="shared" si="151"/>
        <v>0</v>
      </c>
      <c r="AC184" s="9">
        <f t="shared" si="152"/>
        <v>0</v>
      </c>
      <c r="AD184" s="9">
        <f t="shared" si="153"/>
        <v>0</v>
      </c>
      <c r="AE184" s="40" t="e">
        <f t="shared" ca="1" si="154"/>
        <v>#NUM!</v>
      </c>
      <c r="AF184" s="40" t="e">
        <f t="shared" ca="1" si="155"/>
        <v>#NUM!</v>
      </c>
      <c r="AG184" s="40" t="e">
        <f t="shared" ca="1" si="156"/>
        <v>#NUM!</v>
      </c>
      <c r="AH184" s="40" t="e">
        <f t="shared" ca="1" si="157"/>
        <v>#NUM!</v>
      </c>
      <c r="AI184" s="40" t="e">
        <f t="shared" ca="1" si="158"/>
        <v>#NUM!</v>
      </c>
      <c r="AJ184" s="40" t="e">
        <f t="shared" ca="1" si="159"/>
        <v>#NUM!</v>
      </c>
      <c r="AK184" s="203" t="e">
        <f t="shared" ca="1" si="160"/>
        <v>#NUM!</v>
      </c>
      <c r="AL184" s="40" t="e">
        <f t="shared" ca="1" si="161"/>
        <v>#NUM!</v>
      </c>
      <c r="AM184" s="40" t="e">
        <f t="shared" ca="1" si="162"/>
        <v>#NUM!</v>
      </c>
      <c r="AN184" s="40" t="e">
        <f t="shared" ca="1" si="163"/>
        <v>#NUM!</v>
      </c>
      <c r="AO184" s="40" t="e">
        <f t="shared" ca="1" si="164"/>
        <v>#NUM!</v>
      </c>
      <c r="AP184" s="40" t="e">
        <f t="shared" ca="1" si="165"/>
        <v>#NUM!</v>
      </c>
      <c r="AQ184" s="40" t="e">
        <f t="shared" ca="1" si="166"/>
        <v>#NUM!</v>
      </c>
      <c r="AR184" s="40" t="e">
        <f t="shared" ca="1" si="167"/>
        <v>#NUM!</v>
      </c>
      <c r="AS184" s="40" t="e">
        <f t="shared" ca="1" si="168"/>
        <v>#NUM!</v>
      </c>
    </row>
    <row r="185" spans="1:45" x14ac:dyDescent="0.25">
      <c r="A185" s="154"/>
      <c r="B185" s="73">
        <f t="shared" si="144"/>
        <v>-59090.909090909088</v>
      </c>
      <c r="E185" s="148">
        <v>42826</v>
      </c>
      <c r="G185" s="139">
        <v>33</v>
      </c>
      <c r="H185" s="139">
        <v>0</v>
      </c>
      <c r="I185" s="49">
        <f t="shared" si="145"/>
        <v>46522</v>
      </c>
      <c r="J185" s="76">
        <v>1950000</v>
      </c>
      <c r="K185" s="40">
        <f t="shared" si="146"/>
        <v>33</v>
      </c>
      <c r="L185" s="74">
        <f t="shared" si="147"/>
        <v>1950000</v>
      </c>
      <c r="M185" s="76"/>
      <c r="N185" s="76">
        <f t="shared" si="148"/>
        <v>0</v>
      </c>
      <c r="O185" s="142"/>
      <c r="P185" s="142"/>
      <c r="Q185" s="142"/>
      <c r="R185" s="144"/>
      <c r="S185" s="144"/>
      <c r="T185" s="144"/>
      <c r="U185" s="144"/>
      <c r="V185" s="144"/>
      <c r="W185" s="144"/>
      <c r="X185" s="144"/>
      <c r="Y185" s="143"/>
      <c r="Z185" s="143">
        <f t="shared" si="149"/>
        <v>0</v>
      </c>
      <c r="AA185" s="9">
        <f t="shared" si="150"/>
        <v>0.375</v>
      </c>
      <c r="AB185" s="9">
        <f t="shared" si="151"/>
        <v>0</v>
      </c>
      <c r="AC185" s="9">
        <f t="shared" si="152"/>
        <v>0</v>
      </c>
      <c r="AD185" s="9">
        <f t="shared" si="153"/>
        <v>0</v>
      </c>
      <c r="AE185" s="40" t="e">
        <f t="shared" ca="1" si="154"/>
        <v>#NUM!</v>
      </c>
      <c r="AF185" s="40" t="e">
        <f t="shared" ca="1" si="155"/>
        <v>#NUM!</v>
      </c>
      <c r="AG185" s="40" t="e">
        <f t="shared" ca="1" si="156"/>
        <v>#NUM!</v>
      </c>
      <c r="AH185" s="40" t="e">
        <f t="shared" ca="1" si="157"/>
        <v>#NUM!</v>
      </c>
      <c r="AI185" s="40" t="e">
        <f t="shared" ca="1" si="158"/>
        <v>#NUM!</v>
      </c>
      <c r="AJ185" s="40" t="e">
        <f t="shared" ca="1" si="159"/>
        <v>#NUM!</v>
      </c>
      <c r="AK185" s="203" t="e">
        <f t="shared" ca="1" si="160"/>
        <v>#NUM!</v>
      </c>
      <c r="AL185" s="40" t="e">
        <f t="shared" ca="1" si="161"/>
        <v>#NUM!</v>
      </c>
      <c r="AM185" s="40" t="e">
        <f t="shared" ca="1" si="162"/>
        <v>#NUM!</v>
      </c>
      <c r="AN185" s="40" t="e">
        <f t="shared" ca="1" si="163"/>
        <v>#NUM!</v>
      </c>
      <c r="AO185" s="40" t="e">
        <f t="shared" ca="1" si="164"/>
        <v>#NUM!</v>
      </c>
      <c r="AP185" s="40" t="e">
        <f t="shared" ca="1" si="165"/>
        <v>#NUM!</v>
      </c>
      <c r="AQ185" s="40" t="e">
        <f t="shared" ca="1" si="166"/>
        <v>#NUM!</v>
      </c>
      <c r="AR185" s="40" t="e">
        <f t="shared" ca="1" si="167"/>
        <v>#NUM!</v>
      </c>
      <c r="AS185" s="40" t="e">
        <f t="shared" ca="1" si="168"/>
        <v>#NUM!</v>
      </c>
    </row>
    <row r="186" spans="1:45" x14ac:dyDescent="0.25">
      <c r="A186" s="154"/>
      <c r="B186" s="73">
        <f t="shared" si="144"/>
        <v>-59090.909090909088</v>
      </c>
      <c r="E186" s="148">
        <v>42826</v>
      </c>
      <c r="G186" s="139">
        <v>33</v>
      </c>
      <c r="H186" s="139">
        <v>0</v>
      </c>
      <c r="I186" s="49">
        <f t="shared" si="145"/>
        <v>46522</v>
      </c>
      <c r="J186" s="76">
        <v>1950000</v>
      </c>
      <c r="K186" s="40">
        <f t="shared" si="146"/>
        <v>33</v>
      </c>
      <c r="L186" s="74">
        <f t="shared" si="147"/>
        <v>1950000</v>
      </c>
      <c r="M186" s="76"/>
      <c r="N186" s="76">
        <f t="shared" si="148"/>
        <v>0</v>
      </c>
      <c r="O186" s="142"/>
      <c r="P186" s="142"/>
      <c r="Q186" s="142"/>
      <c r="R186" s="144"/>
      <c r="S186" s="144"/>
      <c r="T186" s="144"/>
      <c r="U186" s="144"/>
      <c r="V186" s="144"/>
      <c r="W186" s="144"/>
      <c r="X186" s="144"/>
      <c r="Y186" s="143"/>
      <c r="Z186" s="143">
        <f t="shared" si="149"/>
        <v>0</v>
      </c>
      <c r="AA186" s="9">
        <f t="shared" si="150"/>
        <v>0.375</v>
      </c>
      <c r="AB186" s="9">
        <f t="shared" si="151"/>
        <v>0</v>
      </c>
      <c r="AC186" s="9">
        <f t="shared" si="152"/>
        <v>0</v>
      </c>
      <c r="AD186" s="9">
        <f t="shared" si="153"/>
        <v>0</v>
      </c>
      <c r="AE186" s="40" t="e">
        <f t="shared" ca="1" si="154"/>
        <v>#NUM!</v>
      </c>
      <c r="AF186" s="40" t="e">
        <f t="shared" ca="1" si="155"/>
        <v>#NUM!</v>
      </c>
      <c r="AG186" s="40" t="e">
        <f t="shared" ca="1" si="156"/>
        <v>#NUM!</v>
      </c>
      <c r="AH186" s="40" t="e">
        <f t="shared" ca="1" si="157"/>
        <v>#NUM!</v>
      </c>
      <c r="AI186" s="40" t="e">
        <f t="shared" ca="1" si="158"/>
        <v>#NUM!</v>
      </c>
      <c r="AJ186" s="40" t="e">
        <f t="shared" ca="1" si="159"/>
        <v>#NUM!</v>
      </c>
      <c r="AK186" s="203" t="e">
        <f t="shared" ca="1" si="160"/>
        <v>#NUM!</v>
      </c>
      <c r="AL186" s="40" t="e">
        <f t="shared" ca="1" si="161"/>
        <v>#NUM!</v>
      </c>
      <c r="AM186" s="40" t="e">
        <f t="shared" ca="1" si="162"/>
        <v>#NUM!</v>
      </c>
      <c r="AN186" s="40" t="e">
        <f t="shared" ca="1" si="163"/>
        <v>#NUM!</v>
      </c>
      <c r="AO186" s="40" t="e">
        <f t="shared" ca="1" si="164"/>
        <v>#NUM!</v>
      </c>
      <c r="AP186" s="40" t="e">
        <f t="shared" ca="1" si="165"/>
        <v>#NUM!</v>
      </c>
      <c r="AQ186" s="40" t="e">
        <f t="shared" ca="1" si="166"/>
        <v>#NUM!</v>
      </c>
      <c r="AR186" s="40" t="e">
        <f t="shared" ca="1" si="167"/>
        <v>#NUM!</v>
      </c>
      <c r="AS186" s="40" t="e">
        <f t="shared" ca="1" si="168"/>
        <v>#NUM!</v>
      </c>
    </row>
    <row r="187" spans="1:45" x14ac:dyDescent="0.25">
      <c r="A187" s="154"/>
      <c r="B187" s="73">
        <f t="shared" si="144"/>
        <v>-59090.909090909088</v>
      </c>
      <c r="E187" s="148">
        <v>42826</v>
      </c>
      <c r="G187" s="139">
        <v>33</v>
      </c>
      <c r="H187" s="139">
        <v>0</v>
      </c>
      <c r="I187" s="49">
        <f t="shared" si="145"/>
        <v>46522</v>
      </c>
      <c r="J187" s="76">
        <v>1950000</v>
      </c>
      <c r="K187" s="40">
        <f t="shared" si="146"/>
        <v>33</v>
      </c>
      <c r="L187" s="74">
        <f t="shared" si="147"/>
        <v>1950000</v>
      </c>
      <c r="M187" s="76"/>
      <c r="N187" s="76">
        <f t="shared" si="148"/>
        <v>0</v>
      </c>
      <c r="O187" s="142"/>
      <c r="P187" s="142"/>
      <c r="Q187" s="142"/>
      <c r="R187" s="144"/>
      <c r="S187" s="144"/>
      <c r="T187" s="144"/>
      <c r="U187" s="144"/>
      <c r="V187" s="144"/>
      <c r="W187" s="144"/>
      <c r="X187" s="144"/>
      <c r="Y187" s="143"/>
      <c r="Z187" s="143">
        <f t="shared" si="149"/>
        <v>0</v>
      </c>
      <c r="AA187" s="9">
        <f t="shared" si="150"/>
        <v>0.375</v>
      </c>
      <c r="AB187" s="9">
        <f t="shared" si="151"/>
        <v>0</v>
      </c>
      <c r="AC187" s="9">
        <f t="shared" si="152"/>
        <v>0</v>
      </c>
      <c r="AD187" s="9">
        <f t="shared" si="153"/>
        <v>0</v>
      </c>
      <c r="AE187" s="40" t="e">
        <f t="shared" ca="1" si="154"/>
        <v>#NUM!</v>
      </c>
      <c r="AF187" s="40" t="e">
        <f t="shared" ca="1" si="155"/>
        <v>#NUM!</v>
      </c>
      <c r="AG187" s="40" t="e">
        <f t="shared" ca="1" si="156"/>
        <v>#NUM!</v>
      </c>
      <c r="AH187" s="40" t="e">
        <f t="shared" ca="1" si="157"/>
        <v>#NUM!</v>
      </c>
      <c r="AI187" s="40" t="e">
        <f t="shared" ca="1" si="158"/>
        <v>#NUM!</v>
      </c>
      <c r="AJ187" s="40" t="e">
        <f t="shared" ca="1" si="159"/>
        <v>#NUM!</v>
      </c>
      <c r="AK187" s="203" t="e">
        <f t="shared" ca="1" si="160"/>
        <v>#NUM!</v>
      </c>
      <c r="AL187" s="40" t="e">
        <f t="shared" ca="1" si="161"/>
        <v>#NUM!</v>
      </c>
      <c r="AM187" s="40" t="e">
        <f t="shared" ca="1" si="162"/>
        <v>#NUM!</v>
      </c>
      <c r="AN187" s="40" t="e">
        <f t="shared" ca="1" si="163"/>
        <v>#NUM!</v>
      </c>
      <c r="AO187" s="40" t="e">
        <f t="shared" ca="1" si="164"/>
        <v>#NUM!</v>
      </c>
      <c r="AP187" s="40" t="e">
        <f t="shared" ca="1" si="165"/>
        <v>#NUM!</v>
      </c>
      <c r="AQ187" s="40" t="e">
        <f t="shared" ca="1" si="166"/>
        <v>#NUM!</v>
      </c>
      <c r="AR187" s="40" t="e">
        <f t="shared" ca="1" si="167"/>
        <v>#NUM!</v>
      </c>
      <c r="AS187" s="40" t="e">
        <f t="shared" ca="1" si="168"/>
        <v>#NUM!</v>
      </c>
    </row>
    <row r="188" spans="1:45" x14ac:dyDescent="0.25">
      <c r="A188" s="154"/>
      <c r="B188" s="73">
        <f t="shared" si="144"/>
        <v>-59090.909090909088</v>
      </c>
      <c r="E188" s="148">
        <v>42826</v>
      </c>
      <c r="G188" s="139">
        <v>33</v>
      </c>
      <c r="H188" s="139">
        <v>0</v>
      </c>
      <c r="I188" s="49">
        <f t="shared" si="145"/>
        <v>46522</v>
      </c>
      <c r="J188" s="76">
        <v>1950000</v>
      </c>
      <c r="K188" s="40">
        <f t="shared" si="146"/>
        <v>33</v>
      </c>
      <c r="L188" s="74">
        <f t="shared" si="147"/>
        <v>1950000</v>
      </c>
      <c r="M188" s="76"/>
      <c r="N188" s="76">
        <f t="shared" si="148"/>
        <v>0</v>
      </c>
      <c r="O188" s="142"/>
      <c r="P188" s="142"/>
      <c r="Q188" s="142"/>
      <c r="R188" s="144"/>
      <c r="S188" s="144"/>
      <c r="T188" s="144"/>
      <c r="U188" s="144"/>
      <c r="V188" s="144"/>
      <c r="W188" s="144"/>
      <c r="X188" s="144"/>
      <c r="Y188" s="143"/>
      <c r="Z188" s="143">
        <f t="shared" si="149"/>
        <v>0</v>
      </c>
      <c r="AA188" s="9">
        <f t="shared" si="150"/>
        <v>0.375</v>
      </c>
      <c r="AB188" s="9">
        <f t="shared" si="151"/>
        <v>0</v>
      </c>
      <c r="AC188" s="9">
        <f t="shared" si="152"/>
        <v>0</v>
      </c>
      <c r="AD188" s="9">
        <f t="shared" si="153"/>
        <v>0</v>
      </c>
      <c r="AE188" s="40" t="e">
        <f t="shared" ca="1" si="154"/>
        <v>#NUM!</v>
      </c>
      <c r="AF188" s="40" t="e">
        <f t="shared" ca="1" si="155"/>
        <v>#NUM!</v>
      </c>
      <c r="AG188" s="40" t="e">
        <f t="shared" ca="1" si="156"/>
        <v>#NUM!</v>
      </c>
      <c r="AH188" s="40" t="e">
        <f t="shared" ca="1" si="157"/>
        <v>#NUM!</v>
      </c>
      <c r="AI188" s="40" t="e">
        <f t="shared" ca="1" si="158"/>
        <v>#NUM!</v>
      </c>
      <c r="AJ188" s="40" t="e">
        <f t="shared" ca="1" si="159"/>
        <v>#NUM!</v>
      </c>
      <c r="AK188" s="203" t="e">
        <f t="shared" ca="1" si="160"/>
        <v>#NUM!</v>
      </c>
      <c r="AL188" s="40" t="e">
        <f t="shared" ca="1" si="161"/>
        <v>#NUM!</v>
      </c>
      <c r="AM188" s="40" t="e">
        <f t="shared" ca="1" si="162"/>
        <v>#NUM!</v>
      </c>
      <c r="AN188" s="40" t="e">
        <f t="shared" ca="1" si="163"/>
        <v>#NUM!</v>
      </c>
      <c r="AO188" s="40" t="e">
        <f t="shared" ca="1" si="164"/>
        <v>#NUM!</v>
      </c>
      <c r="AP188" s="40" t="e">
        <f t="shared" ca="1" si="165"/>
        <v>#NUM!</v>
      </c>
      <c r="AQ188" s="40" t="e">
        <f t="shared" ca="1" si="166"/>
        <v>#NUM!</v>
      </c>
      <c r="AR188" s="40" t="e">
        <f t="shared" ca="1" si="167"/>
        <v>#NUM!</v>
      </c>
      <c r="AS188" s="40" t="e">
        <f t="shared" ca="1" si="168"/>
        <v>#NUM!</v>
      </c>
    </row>
    <row r="189" spans="1:45" x14ac:dyDescent="0.25">
      <c r="A189" s="154"/>
      <c r="B189" s="73">
        <f t="shared" si="144"/>
        <v>-59090.909090909088</v>
      </c>
      <c r="E189" s="148">
        <v>42826</v>
      </c>
      <c r="G189" s="139">
        <v>33</v>
      </c>
      <c r="H189" s="139">
        <v>0</v>
      </c>
      <c r="I189" s="49">
        <f t="shared" si="145"/>
        <v>46522</v>
      </c>
      <c r="J189" s="76">
        <v>1950000</v>
      </c>
      <c r="K189" s="40">
        <f t="shared" si="146"/>
        <v>33</v>
      </c>
      <c r="L189" s="74">
        <f t="shared" si="147"/>
        <v>1950000</v>
      </c>
      <c r="M189" s="76"/>
      <c r="N189" s="76">
        <f t="shared" si="148"/>
        <v>0</v>
      </c>
      <c r="O189" s="142"/>
      <c r="P189" s="142"/>
      <c r="Q189" s="142"/>
      <c r="R189" s="144"/>
      <c r="S189" s="144"/>
      <c r="T189" s="144"/>
      <c r="U189" s="144"/>
      <c r="V189" s="144"/>
      <c r="W189" s="144"/>
      <c r="X189" s="144"/>
      <c r="Y189" s="143"/>
      <c r="Z189" s="143">
        <f t="shared" si="149"/>
        <v>0</v>
      </c>
      <c r="AA189" s="9">
        <f t="shared" si="150"/>
        <v>0.375</v>
      </c>
      <c r="AB189" s="9">
        <f t="shared" si="151"/>
        <v>0</v>
      </c>
      <c r="AC189" s="9">
        <f t="shared" si="152"/>
        <v>0</v>
      </c>
      <c r="AD189" s="9">
        <f t="shared" si="153"/>
        <v>0</v>
      </c>
      <c r="AE189" s="40" t="e">
        <f t="shared" ca="1" si="154"/>
        <v>#NUM!</v>
      </c>
      <c r="AF189" s="40" t="e">
        <f t="shared" ca="1" si="155"/>
        <v>#NUM!</v>
      </c>
      <c r="AG189" s="40" t="e">
        <f t="shared" ca="1" si="156"/>
        <v>#NUM!</v>
      </c>
      <c r="AH189" s="40" t="e">
        <f t="shared" ca="1" si="157"/>
        <v>#NUM!</v>
      </c>
      <c r="AI189" s="40" t="e">
        <f t="shared" ca="1" si="158"/>
        <v>#NUM!</v>
      </c>
      <c r="AJ189" s="40" t="e">
        <f t="shared" ca="1" si="159"/>
        <v>#NUM!</v>
      </c>
      <c r="AK189" s="203" t="e">
        <f t="shared" ca="1" si="160"/>
        <v>#NUM!</v>
      </c>
      <c r="AL189" s="40" t="e">
        <f t="shared" ca="1" si="161"/>
        <v>#NUM!</v>
      </c>
      <c r="AM189" s="40" t="e">
        <f t="shared" ca="1" si="162"/>
        <v>#NUM!</v>
      </c>
      <c r="AN189" s="40" t="e">
        <f t="shared" ca="1" si="163"/>
        <v>#NUM!</v>
      </c>
      <c r="AO189" s="40" t="e">
        <f t="shared" ca="1" si="164"/>
        <v>#NUM!</v>
      </c>
      <c r="AP189" s="40" t="e">
        <f t="shared" ca="1" si="165"/>
        <v>#NUM!</v>
      </c>
      <c r="AQ189" s="40" t="e">
        <f t="shared" ca="1" si="166"/>
        <v>#NUM!</v>
      </c>
      <c r="AR189" s="40" t="e">
        <f t="shared" ca="1" si="167"/>
        <v>#NUM!</v>
      </c>
      <c r="AS189" s="40" t="e">
        <f t="shared" ca="1" si="168"/>
        <v>#NUM!</v>
      </c>
    </row>
    <row r="190" spans="1:45" x14ac:dyDescent="0.25">
      <c r="A190" s="154"/>
      <c r="B190" s="73">
        <f t="shared" si="144"/>
        <v>-59090.909090909088</v>
      </c>
      <c r="E190" s="148">
        <v>42826</v>
      </c>
      <c r="G190" s="139">
        <v>33</v>
      </c>
      <c r="H190" s="139">
        <v>0</v>
      </c>
      <c r="I190" s="49">
        <f t="shared" si="145"/>
        <v>46522</v>
      </c>
      <c r="J190" s="76">
        <v>1950000</v>
      </c>
      <c r="K190" s="40">
        <f t="shared" si="146"/>
        <v>33</v>
      </c>
      <c r="L190" s="74">
        <f t="shared" si="147"/>
        <v>1950000</v>
      </c>
      <c r="M190" s="76"/>
      <c r="N190" s="76">
        <f t="shared" si="148"/>
        <v>0</v>
      </c>
      <c r="O190" s="142"/>
      <c r="P190" s="142"/>
      <c r="Q190" s="142"/>
      <c r="R190" s="144"/>
      <c r="S190" s="144"/>
      <c r="T190" s="144"/>
      <c r="U190" s="144"/>
      <c r="V190" s="144"/>
      <c r="W190" s="144"/>
      <c r="X190" s="144"/>
      <c r="Y190" s="143"/>
      <c r="Z190" s="143">
        <f t="shared" si="149"/>
        <v>0</v>
      </c>
      <c r="AA190" s="9">
        <f t="shared" si="150"/>
        <v>0.375</v>
      </c>
      <c r="AB190" s="9">
        <f t="shared" si="151"/>
        <v>0</v>
      </c>
      <c r="AC190" s="9">
        <f t="shared" si="152"/>
        <v>0</v>
      </c>
      <c r="AD190" s="9">
        <f t="shared" si="153"/>
        <v>0</v>
      </c>
      <c r="AE190" s="40" t="e">
        <f t="shared" ca="1" si="154"/>
        <v>#NUM!</v>
      </c>
      <c r="AF190" s="40" t="e">
        <f t="shared" ca="1" si="155"/>
        <v>#NUM!</v>
      </c>
      <c r="AG190" s="40" t="e">
        <f t="shared" ca="1" si="156"/>
        <v>#NUM!</v>
      </c>
      <c r="AH190" s="40" t="e">
        <f t="shared" ca="1" si="157"/>
        <v>#NUM!</v>
      </c>
      <c r="AI190" s="40" t="e">
        <f t="shared" ca="1" si="158"/>
        <v>#NUM!</v>
      </c>
      <c r="AJ190" s="40" t="e">
        <f t="shared" ca="1" si="159"/>
        <v>#NUM!</v>
      </c>
      <c r="AK190" s="203" t="e">
        <f t="shared" ca="1" si="160"/>
        <v>#NUM!</v>
      </c>
      <c r="AL190" s="40" t="e">
        <f t="shared" ca="1" si="161"/>
        <v>#NUM!</v>
      </c>
      <c r="AM190" s="40" t="e">
        <f t="shared" ca="1" si="162"/>
        <v>#NUM!</v>
      </c>
      <c r="AN190" s="40" t="e">
        <f t="shared" ca="1" si="163"/>
        <v>#NUM!</v>
      </c>
      <c r="AO190" s="40" t="e">
        <f t="shared" ca="1" si="164"/>
        <v>#NUM!</v>
      </c>
      <c r="AP190" s="40" t="e">
        <f t="shared" ca="1" si="165"/>
        <v>#NUM!</v>
      </c>
      <c r="AQ190" s="40" t="e">
        <f t="shared" ca="1" si="166"/>
        <v>#NUM!</v>
      </c>
      <c r="AR190" s="40" t="e">
        <f t="shared" ca="1" si="167"/>
        <v>#NUM!</v>
      </c>
      <c r="AS190" s="40" t="e">
        <f t="shared" ca="1" si="168"/>
        <v>#NUM!</v>
      </c>
    </row>
    <row r="191" spans="1:45" x14ac:dyDescent="0.25">
      <c r="A191" s="154"/>
      <c r="B191" s="73">
        <f t="shared" si="144"/>
        <v>-59090.909090909088</v>
      </c>
      <c r="E191" s="148">
        <v>42826</v>
      </c>
      <c r="G191" s="139">
        <v>33</v>
      </c>
      <c r="H191" s="139">
        <v>0</v>
      </c>
      <c r="I191" s="49">
        <f t="shared" si="145"/>
        <v>46522</v>
      </c>
      <c r="J191" s="76">
        <v>1950000</v>
      </c>
      <c r="K191" s="40">
        <f t="shared" si="146"/>
        <v>33</v>
      </c>
      <c r="L191" s="74">
        <f t="shared" si="147"/>
        <v>1950000</v>
      </c>
      <c r="M191" s="76"/>
      <c r="N191" s="76">
        <f t="shared" si="148"/>
        <v>0</v>
      </c>
      <c r="O191" s="142"/>
      <c r="P191" s="142"/>
      <c r="Q191" s="142"/>
      <c r="R191" s="144"/>
      <c r="S191" s="144"/>
      <c r="T191" s="144"/>
      <c r="U191" s="144"/>
      <c r="V191" s="144"/>
      <c r="W191" s="144"/>
      <c r="X191" s="144"/>
      <c r="Y191" s="143"/>
      <c r="Z191" s="143">
        <f t="shared" si="149"/>
        <v>0</v>
      </c>
      <c r="AA191" s="9">
        <f t="shared" si="150"/>
        <v>0.375</v>
      </c>
      <c r="AB191" s="9">
        <f t="shared" si="151"/>
        <v>0</v>
      </c>
      <c r="AC191" s="9">
        <f t="shared" si="152"/>
        <v>0</v>
      </c>
      <c r="AD191" s="9">
        <f t="shared" si="153"/>
        <v>0</v>
      </c>
      <c r="AE191" s="40" t="e">
        <f t="shared" ca="1" si="154"/>
        <v>#NUM!</v>
      </c>
      <c r="AF191" s="40" t="e">
        <f t="shared" ca="1" si="155"/>
        <v>#NUM!</v>
      </c>
      <c r="AG191" s="40" t="e">
        <f t="shared" ca="1" si="156"/>
        <v>#NUM!</v>
      </c>
      <c r="AH191" s="40" t="e">
        <f t="shared" ca="1" si="157"/>
        <v>#NUM!</v>
      </c>
      <c r="AI191" s="40" t="e">
        <f t="shared" ca="1" si="158"/>
        <v>#NUM!</v>
      </c>
      <c r="AJ191" s="40" t="e">
        <f t="shared" ca="1" si="159"/>
        <v>#NUM!</v>
      </c>
      <c r="AK191" s="203" t="e">
        <f t="shared" ca="1" si="160"/>
        <v>#NUM!</v>
      </c>
      <c r="AL191" s="40" t="e">
        <f t="shared" ca="1" si="161"/>
        <v>#NUM!</v>
      </c>
      <c r="AM191" s="40" t="e">
        <f t="shared" ca="1" si="162"/>
        <v>#NUM!</v>
      </c>
      <c r="AN191" s="40" t="e">
        <f t="shared" ca="1" si="163"/>
        <v>#NUM!</v>
      </c>
      <c r="AO191" s="40" t="e">
        <f t="shared" ca="1" si="164"/>
        <v>#NUM!</v>
      </c>
      <c r="AP191" s="40" t="e">
        <f t="shared" ca="1" si="165"/>
        <v>#NUM!</v>
      </c>
      <c r="AQ191" s="40" t="e">
        <f t="shared" ca="1" si="166"/>
        <v>#NUM!</v>
      </c>
      <c r="AR191" s="40" t="e">
        <f t="shared" ca="1" si="167"/>
        <v>#NUM!</v>
      </c>
      <c r="AS191" s="40" t="e">
        <f t="shared" ca="1" si="168"/>
        <v>#NUM!</v>
      </c>
    </row>
    <row r="192" spans="1:45" x14ac:dyDescent="0.25">
      <c r="A192" s="154"/>
      <c r="B192" s="73">
        <f t="shared" si="144"/>
        <v>-59090.909090909088</v>
      </c>
      <c r="E192" s="148">
        <v>42826</v>
      </c>
      <c r="G192" s="139">
        <v>33</v>
      </c>
      <c r="H192" s="139">
        <v>0</v>
      </c>
      <c r="I192" s="49">
        <f t="shared" si="145"/>
        <v>46522</v>
      </c>
      <c r="J192" s="76">
        <v>1950000</v>
      </c>
      <c r="K192" s="40">
        <f t="shared" si="146"/>
        <v>33</v>
      </c>
      <c r="L192" s="74">
        <f t="shared" si="147"/>
        <v>1950000</v>
      </c>
      <c r="M192" s="76"/>
      <c r="N192" s="76">
        <f t="shared" si="148"/>
        <v>0</v>
      </c>
      <c r="O192" s="142"/>
      <c r="P192" s="142"/>
      <c r="Q192" s="142"/>
      <c r="R192" s="144"/>
      <c r="S192" s="144"/>
      <c r="T192" s="144"/>
      <c r="U192" s="144"/>
      <c r="V192" s="144"/>
      <c r="W192" s="144"/>
      <c r="X192" s="144"/>
      <c r="Y192" s="143"/>
      <c r="Z192" s="143">
        <f t="shared" si="149"/>
        <v>0</v>
      </c>
      <c r="AA192" s="9">
        <f t="shared" si="150"/>
        <v>0.375</v>
      </c>
      <c r="AB192" s="9">
        <f t="shared" si="151"/>
        <v>0</v>
      </c>
      <c r="AC192" s="9">
        <f t="shared" si="152"/>
        <v>0</v>
      </c>
      <c r="AD192" s="9">
        <f t="shared" si="153"/>
        <v>0</v>
      </c>
      <c r="AE192" s="40" t="e">
        <f t="shared" ca="1" si="154"/>
        <v>#NUM!</v>
      </c>
      <c r="AF192" s="40" t="e">
        <f t="shared" ca="1" si="155"/>
        <v>#NUM!</v>
      </c>
      <c r="AG192" s="40" t="e">
        <f t="shared" ca="1" si="156"/>
        <v>#NUM!</v>
      </c>
      <c r="AH192" s="40" t="e">
        <f t="shared" ca="1" si="157"/>
        <v>#NUM!</v>
      </c>
      <c r="AI192" s="40" t="e">
        <f t="shared" ca="1" si="158"/>
        <v>#NUM!</v>
      </c>
      <c r="AJ192" s="40" t="e">
        <f t="shared" ca="1" si="159"/>
        <v>#NUM!</v>
      </c>
      <c r="AK192" s="203" t="e">
        <f t="shared" ca="1" si="160"/>
        <v>#NUM!</v>
      </c>
      <c r="AL192" s="40" t="e">
        <f t="shared" ca="1" si="161"/>
        <v>#NUM!</v>
      </c>
      <c r="AM192" s="40" t="e">
        <f t="shared" ca="1" si="162"/>
        <v>#NUM!</v>
      </c>
      <c r="AN192" s="40" t="e">
        <f t="shared" ca="1" si="163"/>
        <v>#NUM!</v>
      </c>
      <c r="AO192" s="40" t="e">
        <f t="shared" ca="1" si="164"/>
        <v>#NUM!</v>
      </c>
      <c r="AP192" s="40" t="e">
        <f t="shared" ca="1" si="165"/>
        <v>#NUM!</v>
      </c>
      <c r="AQ192" s="40" t="e">
        <f t="shared" ca="1" si="166"/>
        <v>#NUM!</v>
      </c>
      <c r="AR192" s="40" t="e">
        <f t="shared" ca="1" si="167"/>
        <v>#NUM!</v>
      </c>
      <c r="AS192" s="40" t="e">
        <f t="shared" ca="1" si="168"/>
        <v>#NUM!</v>
      </c>
    </row>
    <row r="193" spans="1:45" x14ac:dyDescent="0.25">
      <c r="A193" s="154"/>
      <c r="B193" s="73">
        <f t="shared" si="144"/>
        <v>-59090.909090909088</v>
      </c>
      <c r="E193" s="148">
        <v>42826</v>
      </c>
      <c r="G193" s="139">
        <v>33</v>
      </c>
      <c r="H193" s="139">
        <v>0</v>
      </c>
      <c r="I193" s="49">
        <f t="shared" si="145"/>
        <v>46522</v>
      </c>
      <c r="J193" s="76">
        <v>1950000</v>
      </c>
      <c r="K193" s="40">
        <f t="shared" si="146"/>
        <v>33</v>
      </c>
      <c r="L193" s="74">
        <f t="shared" si="147"/>
        <v>1950000</v>
      </c>
      <c r="M193" s="76"/>
      <c r="N193" s="76">
        <f t="shared" si="148"/>
        <v>0</v>
      </c>
      <c r="O193" s="142"/>
      <c r="P193" s="142"/>
      <c r="Q193" s="142"/>
      <c r="R193" s="144"/>
      <c r="S193" s="144"/>
      <c r="T193" s="144"/>
      <c r="U193" s="144"/>
      <c r="V193" s="144"/>
      <c r="W193" s="144"/>
      <c r="X193" s="144"/>
      <c r="Y193" s="143"/>
      <c r="Z193" s="143">
        <f t="shared" si="149"/>
        <v>0</v>
      </c>
      <c r="AA193" s="9">
        <f t="shared" si="150"/>
        <v>0.375</v>
      </c>
      <c r="AB193" s="9">
        <f t="shared" si="151"/>
        <v>0</v>
      </c>
      <c r="AC193" s="9">
        <f t="shared" si="152"/>
        <v>0</v>
      </c>
      <c r="AD193" s="9">
        <f t="shared" si="153"/>
        <v>0</v>
      </c>
      <c r="AE193" s="40" t="e">
        <f t="shared" ca="1" si="154"/>
        <v>#NUM!</v>
      </c>
      <c r="AF193" s="40" t="e">
        <f t="shared" ca="1" si="155"/>
        <v>#NUM!</v>
      </c>
      <c r="AG193" s="40" t="e">
        <f t="shared" ca="1" si="156"/>
        <v>#NUM!</v>
      </c>
      <c r="AH193" s="40" t="e">
        <f t="shared" ca="1" si="157"/>
        <v>#NUM!</v>
      </c>
      <c r="AI193" s="40" t="e">
        <f t="shared" ca="1" si="158"/>
        <v>#NUM!</v>
      </c>
      <c r="AJ193" s="40" t="e">
        <f t="shared" ca="1" si="159"/>
        <v>#NUM!</v>
      </c>
      <c r="AK193" s="203" t="e">
        <f t="shared" ca="1" si="160"/>
        <v>#NUM!</v>
      </c>
      <c r="AL193" s="40" t="e">
        <f t="shared" ca="1" si="161"/>
        <v>#NUM!</v>
      </c>
      <c r="AM193" s="40" t="e">
        <f t="shared" ca="1" si="162"/>
        <v>#NUM!</v>
      </c>
      <c r="AN193" s="40" t="e">
        <f t="shared" ca="1" si="163"/>
        <v>#NUM!</v>
      </c>
      <c r="AO193" s="40" t="e">
        <f t="shared" ca="1" si="164"/>
        <v>#NUM!</v>
      </c>
      <c r="AP193" s="40" t="e">
        <f t="shared" ca="1" si="165"/>
        <v>#NUM!</v>
      </c>
      <c r="AQ193" s="40" t="e">
        <f t="shared" ca="1" si="166"/>
        <v>#NUM!</v>
      </c>
      <c r="AR193" s="40" t="e">
        <f t="shared" ca="1" si="167"/>
        <v>#NUM!</v>
      </c>
      <c r="AS193" s="40" t="e">
        <f t="shared" ca="1" si="168"/>
        <v>#NUM!</v>
      </c>
    </row>
    <row r="194" spans="1:45" x14ac:dyDescent="0.25">
      <c r="A194" s="154"/>
      <c r="B194" s="73">
        <f t="shared" si="144"/>
        <v>-59090.909090909088</v>
      </c>
      <c r="E194" s="148">
        <v>42826</v>
      </c>
      <c r="G194" s="139">
        <v>33</v>
      </c>
      <c r="H194" s="139">
        <v>0</v>
      </c>
      <c r="I194" s="49">
        <f t="shared" si="145"/>
        <v>46522</v>
      </c>
      <c r="J194" s="76">
        <v>1950000</v>
      </c>
      <c r="K194" s="40">
        <f t="shared" si="146"/>
        <v>33</v>
      </c>
      <c r="L194" s="74">
        <f t="shared" si="147"/>
        <v>1950000</v>
      </c>
      <c r="M194" s="76"/>
      <c r="N194" s="76">
        <f t="shared" si="148"/>
        <v>0</v>
      </c>
      <c r="O194" s="142"/>
      <c r="P194" s="142"/>
      <c r="Q194" s="142"/>
      <c r="R194" s="144"/>
      <c r="S194" s="144"/>
      <c r="T194" s="144"/>
      <c r="U194" s="144"/>
      <c r="V194" s="144"/>
      <c r="W194" s="144"/>
      <c r="X194" s="144"/>
      <c r="Y194" s="143"/>
      <c r="Z194" s="143">
        <f t="shared" si="149"/>
        <v>0</v>
      </c>
      <c r="AA194" s="9">
        <f t="shared" si="150"/>
        <v>0.375</v>
      </c>
      <c r="AB194" s="9">
        <f t="shared" si="151"/>
        <v>0</v>
      </c>
      <c r="AC194" s="9">
        <f t="shared" si="152"/>
        <v>0</v>
      </c>
      <c r="AD194" s="9">
        <f t="shared" si="153"/>
        <v>0</v>
      </c>
      <c r="AE194" s="40" t="e">
        <f t="shared" ca="1" si="154"/>
        <v>#NUM!</v>
      </c>
      <c r="AF194" s="40" t="e">
        <f t="shared" ca="1" si="155"/>
        <v>#NUM!</v>
      </c>
      <c r="AG194" s="40" t="e">
        <f t="shared" ca="1" si="156"/>
        <v>#NUM!</v>
      </c>
      <c r="AH194" s="40" t="e">
        <f t="shared" ca="1" si="157"/>
        <v>#NUM!</v>
      </c>
      <c r="AI194" s="40" t="e">
        <f t="shared" ca="1" si="158"/>
        <v>#NUM!</v>
      </c>
      <c r="AJ194" s="40" t="e">
        <f t="shared" ca="1" si="159"/>
        <v>#NUM!</v>
      </c>
      <c r="AK194" s="203" t="e">
        <f t="shared" ca="1" si="160"/>
        <v>#NUM!</v>
      </c>
      <c r="AL194" s="40" t="e">
        <f t="shared" ca="1" si="161"/>
        <v>#NUM!</v>
      </c>
      <c r="AM194" s="40" t="e">
        <f t="shared" ca="1" si="162"/>
        <v>#NUM!</v>
      </c>
      <c r="AN194" s="40" t="e">
        <f t="shared" ca="1" si="163"/>
        <v>#NUM!</v>
      </c>
      <c r="AO194" s="40" t="e">
        <f t="shared" ca="1" si="164"/>
        <v>#NUM!</v>
      </c>
      <c r="AP194" s="40" t="e">
        <f t="shared" ca="1" si="165"/>
        <v>#NUM!</v>
      </c>
      <c r="AQ194" s="40" t="e">
        <f t="shared" ca="1" si="166"/>
        <v>#NUM!</v>
      </c>
      <c r="AR194" s="40" t="e">
        <f t="shared" ca="1" si="167"/>
        <v>#NUM!</v>
      </c>
      <c r="AS194" s="40" t="e">
        <f t="shared" ca="1" si="168"/>
        <v>#NUM!</v>
      </c>
    </row>
    <row r="195" spans="1:45" x14ac:dyDescent="0.25">
      <c r="A195" s="154"/>
      <c r="B195" s="73">
        <f t="shared" si="144"/>
        <v>-59090.909090909088</v>
      </c>
      <c r="E195" s="148">
        <v>42826</v>
      </c>
      <c r="G195" s="139">
        <v>33</v>
      </c>
      <c r="H195" s="139">
        <v>0</v>
      </c>
      <c r="I195" s="49">
        <f t="shared" si="145"/>
        <v>46522</v>
      </c>
      <c r="J195" s="76">
        <v>1950000</v>
      </c>
      <c r="K195" s="40">
        <f t="shared" si="146"/>
        <v>33</v>
      </c>
      <c r="L195" s="74">
        <f t="shared" si="147"/>
        <v>1950000</v>
      </c>
      <c r="M195" s="76"/>
      <c r="N195" s="76">
        <f t="shared" si="148"/>
        <v>0</v>
      </c>
      <c r="O195" s="142"/>
      <c r="P195" s="142"/>
      <c r="Q195" s="142"/>
      <c r="R195" s="144"/>
      <c r="S195" s="144"/>
      <c r="T195" s="144"/>
      <c r="U195" s="144"/>
      <c r="V195" s="144"/>
      <c r="W195" s="144"/>
      <c r="X195" s="144"/>
      <c r="Y195" s="143"/>
      <c r="Z195" s="143">
        <f t="shared" si="149"/>
        <v>0</v>
      </c>
      <c r="AA195" s="9">
        <f t="shared" si="150"/>
        <v>0.375</v>
      </c>
      <c r="AB195" s="9">
        <f t="shared" si="151"/>
        <v>0</v>
      </c>
      <c r="AC195" s="9">
        <f t="shared" si="152"/>
        <v>0</v>
      </c>
      <c r="AD195" s="9">
        <f t="shared" si="153"/>
        <v>0</v>
      </c>
      <c r="AE195" s="40" t="e">
        <f t="shared" ca="1" si="154"/>
        <v>#NUM!</v>
      </c>
      <c r="AF195" s="40" t="e">
        <f t="shared" ca="1" si="155"/>
        <v>#NUM!</v>
      </c>
      <c r="AG195" s="40" t="e">
        <f t="shared" ca="1" si="156"/>
        <v>#NUM!</v>
      </c>
      <c r="AH195" s="40" t="e">
        <f t="shared" ca="1" si="157"/>
        <v>#NUM!</v>
      </c>
      <c r="AI195" s="40" t="e">
        <f t="shared" ca="1" si="158"/>
        <v>#NUM!</v>
      </c>
      <c r="AJ195" s="40" t="e">
        <f t="shared" ca="1" si="159"/>
        <v>#NUM!</v>
      </c>
      <c r="AK195" s="203" t="e">
        <f t="shared" ca="1" si="160"/>
        <v>#NUM!</v>
      </c>
      <c r="AL195" s="40" t="e">
        <f t="shared" ca="1" si="161"/>
        <v>#NUM!</v>
      </c>
      <c r="AM195" s="40" t="e">
        <f t="shared" ca="1" si="162"/>
        <v>#NUM!</v>
      </c>
      <c r="AN195" s="40" t="e">
        <f t="shared" ca="1" si="163"/>
        <v>#NUM!</v>
      </c>
      <c r="AO195" s="40" t="e">
        <f t="shared" ca="1" si="164"/>
        <v>#NUM!</v>
      </c>
      <c r="AP195" s="40" t="e">
        <f t="shared" ca="1" si="165"/>
        <v>#NUM!</v>
      </c>
      <c r="AQ195" s="40" t="e">
        <f t="shared" ca="1" si="166"/>
        <v>#NUM!</v>
      </c>
      <c r="AR195" s="40" t="e">
        <f t="shared" ca="1" si="167"/>
        <v>#NUM!</v>
      </c>
      <c r="AS195" s="40" t="e">
        <f t="shared" ca="1" si="168"/>
        <v>#NUM!</v>
      </c>
    </row>
    <row r="196" spans="1:45" x14ac:dyDescent="0.25">
      <c r="A196" s="154"/>
      <c r="B196" s="73">
        <f t="shared" si="144"/>
        <v>-59090.909090909088</v>
      </c>
      <c r="E196" s="148">
        <v>42826</v>
      </c>
      <c r="G196" s="139">
        <v>33</v>
      </c>
      <c r="H196" s="139">
        <v>0</v>
      </c>
      <c r="I196" s="49">
        <f t="shared" si="145"/>
        <v>46522</v>
      </c>
      <c r="J196" s="76">
        <v>1950000</v>
      </c>
      <c r="K196" s="40">
        <f t="shared" si="146"/>
        <v>33</v>
      </c>
      <c r="L196" s="74">
        <f t="shared" si="147"/>
        <v>1950000</v>
      </c>
      <c r="M196" s="76"/>
      <c r="N196" s="76">
        <f t="shared" si="148"/>
        <v>0</v>
      </c>
      <c r="O196" s="142"/>
      <c r="P196" s="142"/>
      <c r="Q196" s="142"/>
      <c r="R196" s="144"/>
      <c r="S196" s="144"/>
      <c r="T196" s="144"/>
      <c r="U196" s="144"/>
      <c r="V196" s="144"/>
      <c r="W196" s="144"/>
      <c r="X196" s="144"/>
      <c r="Y196" s="143"/>
      <c r="Z196" s="143">
        <f t="shared" si="149"/>
        <v>0</v>
      </c>
      <c r="AA196" s="9">
        <f t="shared" si="150"/>
        <v>0.375</v>
      </c>
      <c r="AB196" s="9">
        <f t="shared" si="151"/>
        <v>0</v>
      </c>
      <c r="AC196" s="9">
        <f t="shared" si="152"/>
        <v>0</v>
      </c>
      <c r="AD196" s="9">
        <f t="shared" si="153"/>
        <v>0</v>
      </c>
      <c r="AE196" s="40" t="e">
        <f t="shared" ca="1" si="154"/>
        <v>#NUM!</v>
      </c>
      <c r="AF196" s="40" t="e">
        <f t="shared" ca="1" si="155"/>
        <v>#NUM!</v>
      </c>
      <c r="AG196" s="40" t="e">
        <f t="shared" ca="1" si="156"/>
        <v>#NUM!</v>
      </c>
      <c r="AH196" s="40" t="e">
        <f t="shared" ca="1" si="157"/>
        <v>#NUM!</v>
      </c>
      <c r="AI196" s="40" t="e">
        <f t="shared" ca="1" si="158"/>
        <v>#NUM!</v>
      </c>
      <c r="AJ196" s="40" t="e">
        <f t="shared" ca="1" si="159"/>
        <v>#NUM!</v>
      </c>
      <c r="AK196" s="203" t="e">
        <f t="shared" ca="1" si="160"/>
        <v>#NUM!</v>
      </c>
      <c r="AL196" s="40" t="e">
        <f t="shared" ca="1" si="161"/>
        <v>#NUM!</v>
      </c>
      <c r="AM196" s="40" t="e">
        <f t="shared" ca="1" si="162"/>
        <v>#NUM!</v>
      </c>
      <c r="AN196" s="40" t="e">
        <f t="shared" ca="1" si="163"/>
        <v>#NUM!</v>
      </c>
      <c r="AO196" s="40" t="e">
        <f t="shared" ca="1" si="164"/>
        <v>#NUM!</v>
      </c>
      <c r="AP196" s="40" t="e">
        <f t="shared" ca="1" si="165"/>
        <v>#NUM!</v>
      </c>
      <c r="AQ196" s="40" t="e">
        <f t="shared" ca="1" si="166"/>
        <v>#NUM!</v>
      </c>
      <c r="AR196" s="40" t="e">
        <f t="shared" ca="1" si="167"/>
        <v>#NUM!</v>
      </c>
      <c r="AS196" s="40" t="e">
        <f t="shared" ca="1" si="168"/>
        <v>#NUM!</v>
      </c>
    </row>
    <row r="197" spans="1:45" x14ac:dyDescent="0.25">
      <c r="A197" s="154"/>
      <c r="B197" s="73">
        <f t="shared" si="144"/>
        <v>-59090.909090909088</v>
      </c>
      <c r="E197" s="148">
        <v>42826</v>
      </c>
      <c r="G197" s="139">
        <v>33</v>
      </c>
      <c r="H197" s="139">
        <v>0</v>
      </c>
      <c r="I197" s="49">
        <f t="shared" si="145"/>
        <v>46522</v>
      </c>
      <c r="J197" s="76">
        <v>1950000</v>
      </c>
      <c r="K197" s="40">
        <f t="shared" si="146"/>
        <v>33</v>
      </c>
      <c r="L197" s="74">
        <f t="shared" si="147"/>
        <v>1950000</v>
      </c>
      <c r="M197" s="76"/>
      <c r="N197" s="76">
        <f t="shared" si="148"/>
        <v>0</v>
      </c>
      <c r="O197" s="142"/>
      <c r="P197" s="142"/>
      <c r="Q197" s="142"/>
      <c r="R197" s="144"/>
      <c r="S197" s="144"/>
      <c r="T197" s="144"/>
      <c r="U197" s="144"/>
      <c r="V197" s="144"/>
      <c r="W197" s="144"/>
      <c r="X197" s="144"/>
      <c r="Y197" s="143"/>
      <c r="Z197" s="143">
        <f t="shared" si="149"/>
        <v>0</v>
      </c>
      <c r="AA197" s="9">
        <f t="shared" si="150"/>
        <v>0.375</v>
      </c>
      <c r="AB197" s="9">
        <f t="shared" si="151"/>
        <v>0</v>
      </c>
      <c r="AC197" s="9">
        <f t="shared" si="152"/>
        <v>0</v>
      </c>
      <c r="AD197" s="9">
        <f t="shared" si="153"/>
        <v>0</v>
      </c>
      <c r="AE197" s="40" t="e">
        <f t="shared" ca="1" si="154"/>
        <v>#NUM!</v>
      </c>
      <c r="AF197" s="40" t="e">
        <f t="shared" ca="1" si="155"/>
        <v>#NUM!</v>
      </c>
      <c r="AG197" s="40" t="e">
        <f t="shared" ca="1" si="156"/>
        <v>#NUM!</v>
      </c>
      <c r="AH197" s="40" t="e">
        <f t="shared" ca="1" si="157"/>
        <v>#NUM!</v>
      </c>
      <c r="AI197" s="40" t="e">
        <f t="shared" ca="1" si="158"/>
        <v>#NUM!</v>
      </c>
      <c r="AJ197" s="40" t="e">
        <f t="shared" ca="1" si="159"/>
        <v>#NUM!</v>
      </c>
      <c r="AK197" s="203" t="e">
        <f t="shared" ca="1" si="160"/>
        <v>#NUM!</v>
      </c>
      <c r="AL197" s="40" t="e">
        <f t="shared" ca="1" si="161"/>
        <v>#NUM!</v>
      </c>
      <c r="AM197" s="40" t="e">
        <f t="shared" ca="1" si="162"/>
        <v>#NUM!</v>
      </c>
      <c r="AN197" s="40" t="e">
        <f t="shared" ca="1" si="163"/>
        <v>#NUM!</v>
      </c>
      <c r="AO197" s="40" t="e">
        <f t="shared" ca="1" si="164"/>
        <v>#NUM!</v>
      </c>
      <c r="AP197" s="40" t="e">
        <f t="shared" ca="1" si="165"/>
        <v>#NUM!</v>
      </c>
      <c r="AQ197" s="40" t="e">
        <f t="shared" ca="1" si="166"/>
        <v>#NUM!</v>
      </c>
      <c r="AR197" s="40" t="e">
        <f t="shared" ca="1" si="167"/>
        <v>#NUM!</v>
      </c>
      <c r="AS197" s="40" t="e">
        <f t="shared" ca="1" si="168"/>
        <v>#NUM!</v>
      </c>
    </row>
    <row r="198" spans="1:45" x14ac:dyDescent="0.25">
      <c r="A198" s="154"/>
      <c r="B198" s="73">
        <f t="shared" si="144"/>
        <v>-59090.909090909088</v>
      </c>
      <c r="E198" s="148">
        <v>42826</v>
      </c>
      <c r="G198" s="139">
        <v>33</v>
      </c>
      <c r="H198" s="139">
        <v>0</v>
      </c>
      <c r="I198" s="49">
        <f t="shared" si="145"/>
        <v>46522</v>
      </c>
      <c r="J198" s="76">
        <v>1950000</v>
      </c>
      <c r="K198" s="40">
        <f t="shared" si="146"/>
        <v>33</v>
      </c>
      <c r="L198" s="74">
        <f t="shared" si="147"/>
        <v>1950000</v>
      </c>
      <c r="M198" s="76"/>
      <c r="N198" s="76">
        <f t="shared" si="148"/>
        <v>0</v>
      </c>
      <c r="O198" s="142"/>
      <c r="P198" s="142"/>
      <c r="Q198" s="142"/>
      <c r="R198" s="144"/>
      <c r="S198" s="144"/>
      <c r="T198" s="144"/>
      <c r="U198" s="144"/>
      <c r="V198" s="144"/>
      <c r="W198" s="144"/>
      <c r="X198" s="144"/>
      <c r="Y198" s="143"/>
      <c r="Z198" s="143">
        <f t="shared" si="149"/>
        <v>0</v>
      </c>
      <c r="AA198" s="9">
        <f t="shared" si="150"/>
        <v>0.375</v>
      </c>
      <c r="AB198" s="9">
        <f t="shared" si="151"/>
        <v>0</v>
      </c>
      <c r="AC198" s="9">
        <f t="shared" si="152"/>
        <v>0</v>
      </c>
      <c r="AD198" s="9">
        <f t="shared" si="153"/>
        <v>0</v>
      </c>
      <c r="AE198" s="40" t="e">
        <f t="shared" ca="1" si="154"/>
        <v>#NUM!</v>
      </c>
      <c r="AF198" s="40" t="e">
        <f t="shared" ca="1" si="155"/>
        <v>#NUM!</v>
      </c>
      <c r="AG198" s="40" t="e">
        <f t="shared" ca="1" si="156"/>
        <v>#NUM!</v>
      </c>
      <c r="AH198" s="40" t="e">
        <f t="shared" ca="1" si="157"/>
        <v>#NUM!</v>
      </c>
      <c r="AI198" s="40" t="e">
        <f t="shared" ca="1" si="158"/>
        <v>#NUM!</v>
      </c>
      <c r="AJ198" s="40" t="e">
        <f t="shared" ca="1" si="159"/>
        <v>#NUM!</v>
      </c>
      <c r="AK198" s="203" t="e">
        <f t="shared" ca="1" si="160"/>
        <v>#NUM!</v>
      </c>
      <c r="AL198" s="40" t="e">
        <f t="shared" ca="1" si="161"/>
        <v>#NUM!</v>
      </c>
      <c r="AM198" s="40" t="e">
        <f t="shared" ca="1" si="162"/>
        <v>#NUM!</v>
      </c>
      <c r="AN198" s="40" t="e">
        <f t="shared" ca="1" si="163"/>
        <v>#NUM!</v>
      </c>
      <c r="AO198" s="40" t="e">
        <f t="shared" ca="1" si="164"/>
        <v>#NUM!</v>
      </c>
      <c r="AP198" s="40" t="e">
        <f t="shared" ca="1" si="165"/>
        <v>#NUM!</v>
      </c>
      <c r="AQ198" s="40" t="e">
        <f t="shared" ca="1" si="166"/>
        <v>#NUM!</v>
      </c>
      <c r="AR198" s="40" t="e">
        <f t="shared" ca="1" si="167"/>
        <v>#NUM!</v>
      </c>
      <c r="AS198" s="40" t="e">
        <f t="shared" ca="1" si="168"/>
        <v>#NUM!</v>
      </c>
    </row>
    <row r="199" spans="1:45" x14ac:dyDescent="0.25">
      <c r="A199" s="154"/>
      <c r="B199" s="73">
        <f t="shared" si="144"/>
        <v>-59090.909090909088</v>
      </c>
      <c r="E199" s="148">
        <v>42826</v>
      </c>
      <c r="G199" s="139">
        <v>33</v>
      </c>
      <c r="H199" s="139">
        <v>0</v>
      </c>
      <c r="I199" s="49">
        <f t="shared" si="145"/>
        <v>46522</v>
      </c>
      <c r="J199" s="76">
        <v>1950000</v>
      </c>
      <c r="K199" s="40">
        <f t="shared" si="146"/>
        <v>33</v>
      </c>
      <c r="L199" s="74">
        <f t="shared" si="147"/>
        <v>1950000</v>
      </c>
      <c r="M199" s="76"/>
      <c r="N199" s="76">
        <f t="shared" si="148"/>
        <v>0</v>
      </c>
      <c r="O199" s="142"/>
      <c r="P199" s="142"/>
      <c r="Q199" s="142"/>
      <c r="R199" s="144"/>
      <c r="S199" s="144"/>
      <c r="T199" s="144"/>
      <c r="U199" s="144"/>
      <c r="V199" s="144"/>
      <c r="W199" s="144"/>
      <c r="X199" s="144"/>
      <c r="Y199" s="143"/>
      <c r="Z199" s="143">
        <f t="shared" si="149"/>
        <v>0</v>
      </c>
      <c r="AA199" s="9">
        <f t="shared" si="150"/>
        <v>0.375</v>
      </c>
      <c r="AB199" s="9">
        <f t="shared" si="151"/>
        <v>0</v>
      </c>
      <c r="AC199" s="9">
        <f t="shared" si="152"/>
        <v>0</v>
      </c>
      <c r="AD199" s="9">
        <f t="shared" si="153"/>
        <v>0</v>
      </c>
      <c r="AE199" s="40" t="e">
        <f t="shared" ca="1" si="154"/>
        <v>#NUM!</v>
      </c>
      <c r="AF199" s="40" t="e">
        <f t="shared" ca="1" si="155"/>
        <v>#NUM!</v>
      </c>
      <c r="AG199" s="40" t="e">
        <f t="shared" ca="1" si="156"/>
        <v>#NUM!</v>
      </c>
      <c r="AH199" s="40" t="e">
        <f t="shared" ca="1" si="157"/>
        <v>#NUM!</v>
      </c>
      <c r="AI199" s="40" t="e">
        <f t="shared" ca="1" si="158"/>
        <v>#NUM!</v>
      </c>
      <c r="AJ199" s="40" t="e">
        <f t="shared" ca="1" si="159"/>
        <v>#NUM!</v>
      </c>
      <c r="AK199" s="203" t="e">
        <f t="shared" ca="1" si="160"/>
        <v>#NUM!</v>
      </c>
      <c r="AL199" s="40" t="e">
        <f t="shared" ca="1" si="161"/>
        <v>#NUM!</v>
      </c>
      <c r="AM199" s="40" t="e">
        <f t="shared" ca="1" si="162"/>
        <v>#NUM!</v>
      </c>
      <c r="AN199" s="40" t="e">
        <f t="shared" ca="1" si="163"/>
        <v>#NUM!</v>
      </c>
      <c r="AO199" s="40" t="e">
        <f t="shared" ca="1" si="164"/>
        <v>#NUM!</v>
      </c>
      <c r="AP199" s="40" t="e">
        <f t="shared" ca="1" si="165"/>
        <v>#NUM!</v>
      </c>
      <c r="AQ199" s="40" t="e">
        <f t="shared" ca="1" si="166"/>
        <v>#NUM!</v>
      </c>
      <c r="AR199" s="40" t="e">
        <f t="shared" ca="1" si="167"/>
        <v>#NUM!</v>
      </c>
      <c r="AS199" s="40" t="e">
        <f t="shared" ca="1" si="168"/>
        <v>#NUM!</v>
      </c>
    </row>
    <row r="200" spans="1:45" x14ac:dyDescent="0.25">
      <c r="A200" s="154"/>
      <c r="B200" s="73">
        <f t="shared" si="144"/>
        <v>-59090.909090909088</v>
      </c>
      <c r="E200" s="148">
        <v>42826</v>
      </c>
      <c r="G200" s="139">
        <v>33</v>
      </c>
      <c r="H200" s="139">
        <v>0</v>
      </c>
      <c r="I200" s="49">
        <f t="shared" si="145"/>
        <v>46522</v>
      </c>
      <c r="J200" s="76">
        <v>1950000</v>
      </c>
      <c r="K200" s="40">
        <f t="shared" si="146"/>
        <v>33</v>
      </c>
      <c r="L200" s="74">
        <f t="shared" si="147"/>
        <v>1950000</v>
      </c>
      <c r="M200" s="76"/>
      <c r="N200" s="76">
        <f t="shared" si="148"/>
        <v>0</v>
      </c>
      <c r="O200" s="142"/>
      <c r="P200" s="142"/>
      <c r="Q200" s="142"/>
      <c r="R200" s="144"/>
      <c r="S200" s="144"/>
      <c r="T200" s="144"/>
      <c r="U200" s="144"/>
      <c r="V200" s="144"/>
      <c r="W200" s="144"/>
      <c r="X200" s="144"/>
      <c r="Y200" s="143"/>
      <c r="Z200" s="143">
        <f t="shared" si="149"/>
        <v>0</v>
      </c>
      <c r="AA200" s="9">
        <f t="shared" si="150"/>
        <v>0.375</v>
      </c>
      <c r="AB200" s="9">
        <f t="shared" si="151"/>
        <v>0</v>
      </c>
      <c r="AC200" s="9">
        <f t="shared" si="152"/>
        <v>0</v>
      </c>
      <c r="AD200" s="9">
        <f t="shared" si="153"/>
        <v>0</v>
      </c>
      <c r="AE200" s="40" t="e">
        <f t="shared" ca="1" si="154"/>
        <v>#NUM!</v>
      </c>
      <c r="AF200" s="40" t="e">
        <f t="shared" ca="1" si="155"/>
        <v>#NUM!</v>
      </c>
      <c r="AG200" s="40" t="e">
        <f t="shared" ca="1" si="156"/>
        <v>#NUM!</v>
      </c>
      <c r="AH200" s="40" t="e">
        <f t="shared" ca="1" si="157"/>
        <v>#NUM!</v>
      </c>
      <c r="AI200" s="40" t="e">
        <f t="shared" ca="1" si="158"/>
        <v>#NUM!</v>
      </c>
      <c r="AJ200" s="40" t="e">
        <f t="shared" ca="1" si="159"/>
        <v>#NUM!</v>
      </c>
      <c r="AK200" s="203" t="e">
        <f t="shared" ca="1" si="160"/>
        <v>#NUM!</v>
      </c>
      <c r="AL200" s="40" t="e">
        <f t="shared" ca="1" si="161"/>
        <v>#NUM!</v>
      </c>
      <c r="AM200" s="40" t="e">
        <f t="shared" ca="1" si="162"/>
        <v>#NUM!</v>
      </c>
      <c r="AN200" s="40" t="e">
        <f t="shared" ca="1" si="163"/>
        <v>#NUM!</v>
      </c>
      <c r="AO200" s="40" t="e">
        <f t="shared" ca="1" si="164"/>
        <v>#NUM!</v>
      </c>
      <c r="AP200" s="40" t="e">
        <f t="shared" ca="1" si="165"/>
        <v>#NUM!</v>
      </c>
      <c r="AQ200" s="40" t="e">
        <f t="shared" ca="1" si="166"/>
        <v>#NUM!</v>
      </c>
      <c r="AR200" s="40" t="e">
        <f t="shared" ca="1" si="167"/>
        <v>#NUM!</v>
      </c>
      <c r="AS200" s="40" t="e">
        <f t="shared" ca="1" si="168"/>
        <v>#NUM!</v>
      </c>
    </row>
    <row r="201" spans="1:45" x14ac:dyDescent="0.25">
      <c r="A201" s="154"/>
      <c r="B201" s="73">
        <f t="shared" si="144"/>
        <v>-59090.909090909088</v>
      </c>
      <c r="E201" s="148">
        <v>42826</v>
      </c>
      <c r="G201" s="139">
        <v>33</v>
      </c>
      <c r="H201" s="139">
        <v>0</v>
      </c>
      <c r="I201" s="49">
        <f t="shared" si="145"/>
        <v>46522</v>
      </c>
      <c r="J201" s="76">
        <v>1950000</v>
      </c>
      <c r="K201" s="40">
        <f t="shared" si="146"/>
        <v>33</v>
      </c>
      <c r="L201" s="74">
        <f t="shared" si="147"/>
        <v>1950000</v>
      </c>
      <c r="M201" s="76"/>
      <c r="N201" s="76">
        <f t="shared" si="148"/>
        <v>0</v>
      </c>
      <c r="O201" s="142"/>
      <c r="P201" s="142"/>
      <c r="Q201" s="142"/>
      <c r="R201" s="144"/>
      <c r="S201" s="144"/>
      <c r="T201" s="144"/>
      <c r="U201" s="144"/>
      <c r="V201" s="144"/>
      <c r="W201" s="144"/>
      <c r="X201" s="144"/>
      <c r="Y201" s="143"/>
      <c r="Z201" s="143">
        <f t="shared" si="149"/>
        <v>0</v>
      </c>
      <c r="AA201" s="9">
        <f t="shared" si="150"/>
        <v>0.375</v>
      </c>
      <c r="AB201" s="9">
        <f t="shared" si="151"/>
        <v>0</v>
      </c>
      <c r="AC201" s="9">
        <f t="shared" si="152"/>
        <v>0</v>
      </c>
      <c r="AD201" s="9">
        <f t="shared" si="153"/>
        <v>0</v>
      </c>
      <c r="AE201" s="40" t="e">
        <f t="shared" ca="1" si="154"/>
        <v>#NUM!</v>
      </c>
      <c r="AF201" s="40" t="e">
        <f t="shared" ca="1" si="155"/>
        <v>#NUM!</v>
      </c>
      <c r="AG201" s="40" t="e">
        <f t="shared" ca="1" si="156"/>
        <v>#NUM!</v>
      </c>
      <c r="AH201" s="40" t="e">
        <f t="shared" ca="1" si="157"/>
        <v>#NUM!</v>
      </c>
      <c r="AI201" s="40" t="e">
        <f t="shared" ca="1" si="158"/>
        <v>#NUM!</v>
      </c>
      <c r="AJ201" s="40" t="e">
        <f t="shared" ca="1" si="159"/>
        <v>#NUM!</v>
      </c>
      <c r="AK201" s="203" t="e">
        <f t="shared" ca="1" si="160"/>
        <v>#NUM!</v>
      </c>
      <c r="AL201" s="40" t="e">
        <f t="shared" ca="1" si="161"/>
        <v>#NUM!</v>
      </c>
      <c r="AM201" s="40" t="e">
        <f t="shared" ca="1" si="162"/>
        <v>#NUM!</v>
      </c>
      <c r="AN201" s="40" t="e">
        <f t="shared" ca="1" si="163"/>
        <v>#NUM!</v>
      </c>
      <c r="AO201" s="40" t="e">
        <f t="shared" ca="1" si="164"/>
        <v>#NUM!</v>
      </c>
      <c r="AP201" s="40" t="e">
        <f t="shared" ca="1" si="165"/>
        <v>#NUM!</v>
      </c>
      <c r="AQ201" s="40" t="e">
        <f t="shared" ca="1" si="166"/>
        <v>#NUM!</v>
      </c>
      <c r="AR201" s="40" t="e">
        <f t="shared" ca="1" si="167"/>
        <v>#NUM!</v>
      </c>
      <c r="AS201" s="40" t="e">
        <f t="shared" ca="1" si="168"/>
        <v>#NUM!</v>
      </c>
    </row>
    <row r="202" spans="1:45" x14ac:dyDescent="0.25">
      <c r="A202" s="154"/>
      <c r="B202" s="73">
        <f t="shared" si="144"/>
        <v>-59090.909090909088</v>
      </c>
      <c r="E202" s="148">
        <v>42826</v>
      </c>
      <c r="G202" s="139">
        <v>33</v>
      </c>
      <c r="H202" s="139">
        <v>0</v>
      </c>
      <c r="I202" s="49">
        <f t="shared" si="145"/>
        <v>46522</v>
      </c>
      <c r="J202" s="76">
        <v>1950000</v>
      </c>
      <c r="K202" s="40">
        <f t="shared" si="146"/>
        <v>33</v>
      </c>
      <c r="L202" s="74">
        <f t="shared" si="147"/>
        <v>1950000</v>
      </c>
      <c r="M202" s="76"/>
      <c r="N202" s="76">
        <f t="shared" si="148"/>
        <v>0</v>
      </c>
      <c r="O202" s="142"/>
      <c r="P202" s="142"/>
      <c r="Q202" s="142"/>
      <c r="R202" s="144"/>
      <c r="S202" s="144"/>
      <c r="T202" s="144"/>
      <c r="U202" s="144"/>
      <c r="V202" s="144"/>
      <c r="W202" s="144"/>
      <c r="X202" s="144"/>
      <c r="Y202" s="143"/>
      <c r="Z202" s="143">
        <f t="shared" si="149"/>
        <v>0</v>
      </c>
      <c r="AA202" s="9">
        <f t="shared" si="150"/>
        <v>0.375</v>
      </c>
      <c r="AB202" s="9">
        <f t="shared" si="151"/>
        <v>0</v>
      </c>
      <c r="AC202" s="9">
        <f t="shared" si="152"/>
        <v>0</v>
      </c>
      <c r="AD202" s="9">
        <f t="shared" si="153"/>
        <v>0</v>
      </c>
      <c r="AE202" s="40" t="e">
        <f t="shared" ca="1" si="154"/>
        <v>#NUM!</v>
      </c>
      <c r="AF202" s="40" t="e">
        <f t="shared" ca="1" si="155"/>
        <v>#NUM!</v>
      </c>
      <c r="AG202" s="40" t="e">
        <f t="shared" ca="1" si="156"/>
        <v>#NUM!</v>
      </c>
      <c r="AH202" s="40" t="e">
        <f t="shared" ca="1" si="157"/>
        <v>#NUM!</v>
      </c>
      <c r="AI202" s="40" t="e">
        <f t="shared" ca="1" si="158"/>
        <v>#NUM!</v>
      </c>
      <c r="AJ202" s="40" t="e">
        <f t="shared" ca="1" si="159"/>
        <v>#NUM!</v>
      </c>
      <c r="AK202" s="203" t="e">
        <f t="shared" ca="1" si="160"/>
        <v>#NUM!</v>
      </c>
      <c r="AL202" s="40" t="e">
        <f t="shared" ca="1" si="161"/>
        <v>#NUM!</v>
      </c>
      <c r="AM202" s="40" t="e">
        <f t="shared" ca="1" si="162"/>
        <v>#NUM!</v>
      </c>
      <c r="AN202" s="40" t="e">
        <f t="shared" ca="1" si="163"/>
        <v>#NUM!</v>
      </c>
      <c r="AO202" s="40" t="e">
        <f t="shared" ca="1" si="164"/>
        <v>#NUM!</v>
      </c>
      <c r="AP202" s="40" t="e">
        <f t="shared" ca="1" si="165"/>
        <v>#NUM!</v>
      </c>
      <c r="AQ202" s="40" t="e">
        <f t="shared" ca="1" si="166"/>
        <v>#NUM!</v>
      </c>
      <c r="AR202" s="40" t="e">
        <f t="shared" ca="1" si="167"/>
        <v>#NUM!</v>
      </c>
      <c r="AS202" s="40" t="e">
        <f t="shared" ca="1" si="168"/>
        <v>#NUM!</v>
      </c>
    </row>
    <row r="203" spans="1:45" x14ac:dyDescent="0.25">
      <c r="A203" s="154"/>
      <c r="B203" s="73">
        <f t="shared" si="144"/>
        <v>-59090.909090909088</v>
      </c>
      <c r="E203" s="148">
        <v>42826</v>
      </c>
      <c r="G203" s="139">
        <v>33</v>
      </c>
      <c r="H203" s="139">
        <v>0</v>
      </c>
      <c r="I203" s="49">
        <f t="shared" si="145"/>
        <v>46522</v>
      </c>
      <c r="J203" s="76">
        <v>1950000</v>
      </c>
      <c r="K203" s="40">
        <f t="shared" si="146"/>
        <v>33</v>
      </c>
      <c r="L203" s="74">
        <f t="shared" si="147"/>
        <v>1950000</v>
      </c>
      <c r="M203" s="76"/>
      <c r="N203" s="76">
        <f t="shared" si="148"/>
        <v>0</v>
      </c>
      <c r="O203" s="142"/>
      <c r="P203" s="142"/>
      <c r="Q203" s="142"/>
      <c r="R203" s="144"/>
      <c r="S203" s="144"/>
      <c r="T203" s="144"/>
      <c r="U203" s="144"/>
      <c r="V203" s="144"/>
      <c r="W203" s="144"/>
      <c r="X203" s="144"/>
      <c r="Y203" s="143"/>
      <c r="Z203" s="143">
        <f t="shared" si="149"/>
        <v>0</v>
      </c>
      <c r="AA203" s="9">
        <f t="shared" si="150"/>
        <v>0.375</v>
      </c>
      <c r="AB203" s="9">
        <f t="shared" si="151"/>
        <v>0</v>
      </c>
      <c r="AC203" s="9">
        <f t="shared" si="152"/>
        <v>0</v>
      </c>
      <c r="AD203" s="9">
        <f t="shared" si="153"/>
        <v>0</v>
      </c>
      <c r="AE203" s="40" t="e">
        <f t="shared" ca="1" si="154"/>
        <v>#NUM!</v>
      </c>
      <c r="AF203" s="40" t="e">
        <f t="shared" ca="1" si="155"/>
        <v>#NUM!</v>
      </c>
      <c r="AG203" s="40" t="e">
        <f t="shared" ca="1" si="156"/>
        <v>#NUM!</v>
      </c>
      <c r="AH203" s="40" t="e">
        <f t="shared" ca="1" si="157"/>
        <v>#NUM!</v>
      </c>
      <c r="AI203" s="40" t="e">
        <f t="shared" ca="1" si="158"/>
        <v>#NUM!</v>
      </c>
      <c r="AJ203" s="40" t="e">
        <f t="shared" ca="1" si="159"/>
        <v>#NUM!</v>
      </c>
      <c r="AK203" s="203" t="e">
        <f t="shared" ca="1" si="160"/>
        <v>#NUM!</v>
      </c>
      <c r="AL203" s="40" t="e">
        <f t="shared" ca="1" si="161"/>
        <v>#NUM!</v>
      </c>
      <c r="AM203" s="40" t="e">
        <f t="shared" ca="1" si="162"/>
        <v>#NUM!</v>
      </c>
      <c r="AN203" s="40" t="e">
        <f t="shared" ca="1" si="163"/>
        <v>#NUM!</v>
      </c>
      <c r="AO203" s="40" t="e">
        <f t="shared" ca="1" si="164"/>
        <v>#NUM!</v>
      </c>
      <c r="AP203" s="40" t="e">
        <f t="shared" ca="1" si="165"/>
        <v>#NUM!</v>
      </c>
      <c r="AQ203" s="40" t="e">
        <f t="shared" ca="1" si="166"/>
        <v>#NUM!</v>
      </c>
      <c r="AR203" s="40" t="e">
        <f t="shared" ca="1" si="167"/>
        <v>#NUM!</v>
      </c>
      <c r="AS203" s="40" t="e">
        <f t="shared" ca="1" si="168"/>
        <v>#NUM!</v>
      </c>
    </row>
  </sheetData>
  <sortState ref="A63:AS79">
    <sortCondition ref="B63:B79"/>
  </sortState>
  <conditionalFormatting sqref="L19:L203 L2:L16">
    <cfRule type="cellIs" dxfId="59" priority="140" operator="lessThan">
      <formula>0</formula>
    </cfRule>
    <cfRule type="cellIs" dxfId="58" priority="141" operator="greaterThan">
      <formula>0</formula>
    </cfRule>
  </conditionalFormatting>
  <conditionalFormatting sqref="B19:B203 B2:B16">
    <cfRule type="cellIs" dxfId="57" priority="129" operator="between">
      <formula>500000</formula>
      <formula>700000</formula>
    </cfRule>
    <cfRule type="cellIs" dxfId="56" priority="130" operator="lessThan">
      <formula>500000</formula>
    </cfRule>
    <cfRule type="cellIs" dxfId="55" priority="131" operator="greaterThan">
      <formula>700000</formula>
    </cfRule>
  </conditionalFormatting>
  <conditionalFormatting sqref="AB19:AB203 AB2:AB16">
    <cfRule type="cellIs" dxfId="54" priority="121" operator="lessThan">
      <formula>5</formula>
    </cfRule>
    <cfRule type="cellIs" dxfId="53" priority="122" operator="greaterThan">
      <formula>7</formula>
    </cfRule>
  </conditionalFormatting>
  <conditionalFormatting sqref="AC19:AD203 AC2:AD16">
    <cfRule type="cellIs" dxfId="52" priority="119" operator="lessThan">
      <formula>0.35</formula>
    </cfRule>
    <cfRule type="cellIs" dxfId="51" priority="120" operator="greaterThan">
      <formula>0.5</formula>
    </cfRule>
  </conditionalFormatting>
  <conditionalFormatting sqref="AM17:AN17 AP17 AN19:AS203 AG19:AI203 AE19:AE203 AK19:AL203 AN2:AS16 AG2:AI16 AE2:AE16 AK2:AL16">
    <cfRule type="cellIs" dxfId="50" priority="116" operator="greaterThan">
      <formula>12.5</formula>
    </cfRule>
  </conditionalFormatting>
  <conditionalFormatting sqref="M19:M203 M2:M16">
    <cfRule type="cellIs" dxfId="49" priority="102" operator="greaterThan">
      <formula>35000</formula>
    </cfRule>
  </conditionalFormatting>
  <conditionalFormatting sqref="P19:P203 P2:P16">
    <cfRule type="cellIs" dxfId="48" priority="101" operator="greaterThan">
      <formula>"4.9"</formula>
    </cfRule>
  </conditionalFormatting>
  <conditionalFormatting sqref="AR17:AS17">
    <cfRule type="cellIs" dxfId="47" priority="95" operator="greaterThan">
      <formula>12.5</formula>
    </cfRule>
  </conditionalFormatting>
  <conditionalFormatting sqref="AF19:AF203 AF2:AF16">
    <cfRule type="cellIs" dxfId="46" priority="70" operator="lessThan">
      <formula>14</formula>
    </cfRule>
    <cfRule type="cellIs" dxfId="45" priority="71" operator="greaterThan">
      <formula>14.19</formula>
    </cfRule>
  </conditionalFormatting>
  <conditionalFormatting sqref="AM19:AM203 AM2:AM16">
    <cfRule type="cellIs" dxfId="44" priority="68" operator="lessThan">
      <formula>14.2</formula>
    </cfRule>
    <cfRule type="cellIs" dxfId="43" priority="69" operator="greaterThan">
      <formula>15</formula>
    </cfRule>
  </conditionalFormatting>
  <conditionalFormatting sqref="AA19:AA1048576 AA1:AA16">
    <cfRule type="cellIs" dxfId="42" priority="8" operator="lessThan">
      <formula>2.2</formula>
    </cfRule>
    <cfRule type="cellIs" dxfId="41" priority="9" operator="greaterThan">
      <formula>3.5</formula>
    </cfRule>
  </conditionalFormatting>
  <conditionalFormatting sqref="R2:X16">
    <cfRule type="colorScale" priority="2514">
      <colorScale>
        <cfvo type="min"/>
        <cfvo type="max"/>
        <color rgb="FFFFEF9C"/>
        <color rgb="FF63BE7B"/>
      </colorScale>
    </cfRule>
  </conditionalFormatting>
  <conditionalFormatting sqref="Y2:Y16">
    <cfRule type="dataBar" priority="2516">
      <dataBar>
        <cfvo type="min"/>
        <cfvo type="max"/>
        <color rgb="FF008AEF"/>
      </dataBar>
      <extLst>
        <ext xmlns:x14="http://schemas.microsoft.com/office/spreadsheetml/2009/9/main" uri="{B025F937-C7B1-47D3-B67F-A62EFF666E3E}">
          <x14:id>{EA31D7E8-5705-45C9-9ED1-C99524A0F4CE}</x14:id>
        </ext>
      </extLst>
    </cfRule>
  </conditionalFormatting>
  <conditionalFormatting sqref="Z2:Z16">
    <cfRule type="dataBar" priority="2518">
      <dataBar>
        <cfvo type="min"/>
        <cfvo type="max"/>
        <color rgb="FFFFB628"/>
      </dataBar>
      <extLst>
        <ext xmlns:x14="http://schemas.microsoft.com/office/spreadsheetml/2009/9/main" uri="{B025F937-C7B1-47D3-B67F-A62EFF666E3E}">
          <x14:id>{653E72DB-5AF9-4496-996F-D68BCA2D99FD}</x14:id>
        </ext>
      </extLst>
    </cfRule>
  </conditionalFormatting>
  <conditionalFormatting sqref="Z19:Z203">
    <cfRule type="dataBar" priority="3913">
      <dataBar>
        <cfvo type="min"/>
        <cfvo type="max"/>
        <color rgb="FFFFB628"/>
      </dataBar>
      <extLst>
        <ext xmlns:x14="http://schemas.microsoft.com/office/spreadsheetml/2009/9/main" uri="{B025F937-C7B1-47D3-B67F-A62EFF666E3E}">
          <x14:id>{3C682282-25D2-4EFE-9CBD-074D64A6ECE2}</x14:id>
        </ext>
      </extLst>
    </cfRule>
  </conditionalFormatting>
  <conditionalFormatting sqref="R19:X203">
    <cfRule type="colorScale" priority="3914">
      <colorScale>
        <cfvo type="min"/>
        <cfvo type="max"/>
        <color rgb="FFFFEF9C"/>
        <color rgb="FF63BE7B"/>
      </colorScale>
    </cfRule>
  </conditionalFormatting>
  <conditionalFormatting sqref="Y19:Y203">
    <cfRule type="dataBar" priority="3915">
      <dataBar>
        <cfvo type="min"/>
        <cfvo type="max"/>
        <color rgb="FF008AEF"/>
      </dataBar>
      <extLst>
        <ext xmlns:x14="http://schemas.microsoft.com/office/spreadsheetml/2009/9/main" uri="{B025F937-C7B1-47D3-B67F-A62EFF666E3E}">
          <x14:id>{1D23E164-B355-463D-9615-10D1173488AA}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31D7E8-5705-45C9-9ED1-C99524A0F4CE}">
            <x14:dataBar minLength="0" maxLength="100" border="1" negativeBarBorderColorSameAsPositive="0">
              <x14:cfvo type="autoMin"/>
              <x14:cfvo type="autoMax"/>
              <x14:borderColor rgb="FF008AEF"/>
              <x14:negativeFillColor rgb="FFFF0000"/>
              <x14:negativeBorderColor rgb="FFFF0000"/>
              <x14:axisColor rgb="FF000000"/>
            </x14:dataBar>
          </x14:cfRule>
          <xm:sqref>Y2:Y16</xm:sqref>
        </x14:conditionalFormatting>
        <x14:conditionalFormatting xmlns:xm="http://schemas.microsoft.com/office/excel/2006/main">
          <x14:cfRule type="dataBar" id="{653E72DB-5AF9-4496-996F-D68BCA2D99FD}">
            <x14:dataBar minLength="0" maxLength="100" border="1" negativeBarBorderColorSameAsPositive="0">
              <x14:cfvo type="autoMin"/>
              <x14:cfvo type="autoMax"/>
              <x14:borderColor rgb="FFFFB628"/>
              <x14:negativeFillColor rgb="FFFF0000"/>
              <x14:negativeBorderColor rgb="FFFF0000"/>
              <x14:axisColor rgb="FF000000"/>
            </x14:dataBar>
          </x14:cfRule>
          <xm:sqref>Z2:Z16</xm:sqref>
        </x14:conditionalFormatting>
        <x14:conditionalFormatting xmlns:xm="http://schemas.microsoft.com/office/excel/2006/main">
          <x14:cfRule type="dataBar" id="{3C682282-25D2-4EFE-9CBD-074D64A6ECE2}">
            <x14:dataBar minLength="0" maxLength="100" border="1" negativeBarBorderColorSameAsPositive="0">
              <x14:cfvo type="autoMin"/>
              <x14:cfvo type="autoMax"/>
              <x14:borderColor rgb="FFFFB628"/>
              <x14:negativeFillColor rgb="FFFF0000"/>
              <x14:negativeBorderColor rgb="FFFF0000"/>
              <x14:axisColor rgb="FF000000"/>
            </x14:dataBar>
          </x14:cfRule>
          <xm:sqref>Z19:Z203</xm:sqref>
        </x14:conditionalFormatting>
        <x14:conditionalFormatting xmlns:xm="http://schemas.microsoft.com/office/excel/2006/main">
          <x14:cfRule type="dataBar" id="{1D23E164-B355-463D-9615-10D1173488AA}">
            <x14:dataBar minLength="0" maxLength="100" border="1" negativeBarBorderColorSameAsPositive="0">
              <x14:cfvo type="autoMin"/>
              <x14:cfvo type="autoMax"/>
              <x14:borderColor rgb="FF008AEF"/>
              <x14:negativeFillColor rgb="FFFF0000"/>
              <x14:negativeBorderColor rgb="FFFF0000"/>
              <x14:axisColor rgb="FF000000"/>
            </x14:dataBar>
          </x14:cfRule>
          <xm:sqref>Y19:Y203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baseColWidth="10" defaultColWidth="11.42578125" defaultRowHeight="15" x14ac:dyDescent="0.25"/>
  <cols>
    <col min="1" max="1" width="6.140625" style="69" customWidth="1"/>
    <col min="2" max="2" width="11.5703125" style="69"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359</v>
      </c>
      <c r="B1"/>
    </row>
    <row r="2" spans="1:40" x14ac:dyDescent="0.25">
      <c r="A2"/>
      <c r="B2" t="s">
        <v>360</v>
      </c>
    </row>
    <row r="3" spans="1:40" x14ac:dyDescent="0.25">
      <c r="A3" t="s">
        <v>361</v>
      </c>
      <c r="B3"/>
    </row>
    <row r="4" spans="1:40" x14ac:dyDescent="0.25">
      <c r="A4"/>
      <c r="B4" t="s">
        <v>362</v>
      </c>
    </row>
    <row r="5" spans="1:40" x14ac:dyDescent="0.25">
      <c r="A5"/>
      <c r="B5" t="s">
        <v>363</v>
      </c>
    </row>
    <row r="6" spans="1:40" x14ac:dyDescent="0.25">
      <c r="A6" t="s">
        <v>364</v>
      </c>
      <c r="B6"/>
    </row>
    <row r="7" spans="1:40" x14ac:dyDescent="0.25">
      <c r="A7"/>
      <c r="B7" t="s">
        <v>365</v>
      </c>
      <c r="X7">
        <f>X8-112</f>
        <v>80.5</v>
      </c>
    </row>
    <row r="8" spans="1:40" x14ac:dyDescent="0.25">
      <c r="A8" t="s">
        <v>366</v>
      </c>
      <c r="B8"/>
      <c r="X8">
        <f>(X9+X10)*7</f>
        <v>192.5</v>
      </c>
    </row>
    <row r="9" spans="1:40" x14ac:dyDescent="0.25">
      <c r="A9"/>
      <c r="B9" t="s">
        <v>367</v>
      </c>
      <c r="W9" s="244" t="s">
        <v>221</v>
      </c>
      <c r="X9" s="245">
        <v>13.5</v>
      </c>
    </row>
    <row r="10" spans="1:40" x14ac:dyDescent="0.25">
      <c r="A10"/>
      <c r="B10"/>
      <c r="W10" s="244" t="s">
        <v>368</v>
      </c>
      <c r="X10" s="244">
        <v>14</v>
      </c>
    </row>
    <row r="11" spans="1:40" x14ac:dyDescent="0.25">
      <c r="A11"/>
      <c r="B11"/>
      <c r="F11" s="240"/>
      <c r="G11" s="240"/>
      <c r="H11" s="240"/>
      <c r="I11" s="240"/>
      <c r="J11" s="240"/>
      <c r="K11" s="240"/>
      <c r="L11" s="240"/>
      <c r="M11" s="241">
        <f>SUM(M13:M27)</f>
        <v>970</v>
      </c>
      <c r="N11" s="240"/>
      <c r="O11" s="240"/>
      <c r="P11" s="240"/>
      <c r="Q11" s="240"/>
      <c r="R11" s="240"/>
      <c r="S11" s="240"/>
      <c r="T11" s="240"/>
      <c r="U11" s="240"/>
      <c r="Y11" s="240"/>
      <c r="Z11" s="240"/>
      <c r="AA11" s="240"/>
      <c r="AB11" s="240"/>
      <c r="AC11" s="240"/>
      <c r="AD11" s="240"/>
      <c r="AE11" s="240"/>
      <c r="AF11" s="241">
        <f>SUM(AF13:AF27)</f>
        <v>5644.4400000000005</v>
      </c>
      <c r="AG11" s="240"/>
      <c r="AH11" s="240"/>
      <c r="AI11" s="240"/>
      <c r="AJ11" s="240"/>
      <c r="AK11" s="240"/>
      <c r="AL11" s="240"/>
      <c r="AM11" s="240"/>
      <c r="AN11" s="240"/>
    </row>
    <row r="12" spans="1:40" x14ac:dyDescent="0.25">
      <c r="A12" s="11" t="s">
        <v>179</v>
      </c>
      <c r="B12" s="11" t="s">
        <v>369</v>
      </c>
      <c r="C12" s="11" t="s">
        <v>86</v>
      </c>
      <c r="D12" s="11" t="s">
        <v>370</v>
      </c>
      <c r="E12" s="11" t="s">
        <v>371</v>
      </c>
      <c r="F12" s="11" t="s">
        <v>15</v>
      </c>
      <c r="G12" s="11" t="s">
        <v>16</v>
      </c>
      <c r="H12" s="11" t="s">
        <v>17</v>
      </c>
      <c r="I12" s="11" t="s">
        <v>18</v>
      </c>
      <c r="J12" s="11" t="s">
        <v>19</v>
      </c>
      <c r="K12" s="11" t="s">
        <v>20</v>
      </c>
      <c r="L12" s="11" t="s">
        <v>6</v>
      </c>
      <c r="M12" s="11" t="s">
        <v>69</v>
      </c>
      <c r="N12" s="11" t="s">
        <v>372</v>
      </c>
      <c r="O12" s="11" t="s">
        <v>373</v>
      </c>
      <c r="P12" s="11" t="s">
        <v>374</v>
      </c>
      <c r="Q12" s="11" t="s">
        <v>375</v>
      </c>
      <c r="R12" s="11" t="s">
        <v>376</v>
      </c>
      <c r="S12" s="11" t="s">
        <v>377</v>
      </c>
      <c r="T12" s="11" t="s">
        <v>378</v>
      </c>
      <c r="U12" s="11" t="s">
        <v>379</v>
      </c>
      <c r="W12" s="11" t="s">
        <v>370</v>
      </c>
      <c r="X12" s="11" t="s">
        <v>371</v>
      </c>
      <c r="Y12" s="11" t="s">
        <v>15</v>
      </c>
      <c r="Z12" s="11" t="s">
        <v>16</v>
      </c>
      <c r="AA12" s="11" t="s">
        <v>17</v>
      </c>
      <c r="AB12" s="11" t="s">
        <v>18</v>
      </c>
      <c r="AC12" s="11" t="s">
        <v>19</v>
      </c>
      <c r="AD12" s="11" t="s">
        <v>20</v>
      </c>
      <c r="AE12" s="11" t="s">
        <v>6</v>
      </c>
      <c r="AF12" s="11" t="s">
        <v>69</v>
      </c>
      <c r="AG12" s="11" t="s">
        <v>372</v>
      </c>
      <c r="AH12" s="11" t="s">
        <v>373</v>
      </c>
      <c r="AI12" s="11" t="s">
        <v>374</v>
      </c>
      <c r="AJ12" s="11" t="s">
        <v>375</v>
      </c>
      <c r="AK12" s="11" t="s">
        <v>376</v>
      </c>
      <c r="AL12" s="11" t="s">
        <v>377</v>
      </c>
      <c r="AM12" s="11" t="s">
        <v>378</v>
      </c>
      <c r="AN12" s="11" t="s">
        <v>379</v>
      </c>
    </row>
    <row r="13" spans="1:40" x14ac:dyDescent="0.25">
      <c r="A13" t="s">
        <v>29</v>
      </c>
      <c r="B13" s="16"/>
      <c r="C13" s="20"/>
      <c r="D13" s="20"/>
      <c r="E13" s="20"/>
      <c r="F13" s="121">
        <v>2</v>
      </c>
      <c r="G13" s="21">
        <v>2</v>
      </c>
      <c r="H13" s="121">
        <v>0</v>
      </c>
      <c r="I13" s="21">
        <v>0</v>
      </c>
      <c r="J13" s="121">
        <v>0</v>
      </c>
      <c r="K13" s="21">
        <v>0</v>
      </c>
      <c r="L13" s="121">
        <v>2</v>
      </c>
      <c r="M13" s="51"/>
      <c r="N13" s="240">
        <v>0</v>
      </c>
      <c r="O13" s="240">
        <v>0</v>
      </c>
      <c r="P13" s="240">
        <v>0</v>
      </c>
      <c r="Q13" s="242">
        <v>0</v>
      </c>
      <c r="R13" s="242">
        <v>0</v>
      </c>
      <c r="S13" s="242">
        <v>0</v>
      </c>
      <c r="T13" s="242">
        <v>0</v>
      </c>
      <c r="U13" s="70">
        <f>SUM(N13:T13)</f>
        <v>0</v>
      </c>
      <c r="Y13" s="121">
        <f>F13</f>
        <v>2</v>
      </c>
      <c r="Z13" s="121">
        <f t="shared" ref="Z13:AE28" si="0">G13</f>
        <v>2</v>
      </c>
      <c r="AA13" s="121">
        <f t="shared" si="0"/>
        <v>0</v>
      </c>
      <c r="AB13" s="121">
        <f t="shared" si="0"/>
        <v>0</v>
      </c>
      <c r="AC13" s="121">
        <f t="shared" si="0"/>
        <v>0</v>
      </c>
      <c r="AD13" s="121">
        <f t="shared" si="0"/>
        <v>0</v>
      </c>
      <c r="AE13" s="121">
        <f t="shared" si="0"/>
        <v>2</v>
      </c>
      <c r="AF13" s="51"/>
      <c r="AG13" s="240">
        <v>0</v>
      </c>
      <c r="AH13" s="240">
        <v>0</v>
      </c>
      <c r="AI13" s="240">
        <v>0</v>
      </c>
      <c r="AJ13" s="242">
        <v>0</v>
      </c>
      <c r="AK13" s="242">
        <v>0</v>
      </c>
      <c r="AL13" s="242">
        <v>0</v>
      </c>
      <c r="AM13" s="242">
        <v>0</v>
      </c>
      <c r="AN13" s="70">
        <f>SUM(AG13:AM13)</f>
        <v>0</v>
      </c>
    </row>
    <row r="14" spans="1:40" x14ac:dyDescent="0.25">
      <c r="A14" t="s">
        <v>32</v>
      </c>
      <c r="B14" s="16"/>
      <c r="C14" s="4"/>
      <c r="D14" s="4"/>
      <c r="E14" s="4"/>
      <c r="F14" s="122">
        <v>0</v>
      </c>
      <c r="G14" s="27">
        <v>2</v>
      </c>
      <c r="H14" s="122">
        <v>2</v>
      </c>
      <c r="I14" s="27">
        <v>2</v>
      </c>
      <c r="J14" s="122">
        <v>2</v>
      </c>
      <c r="K14" s="27">
        <v>2</v>
      </c>
      <c r="L14" s="122">
        <v>2</v>
      </c>
      <c r="M14" s="51"/>
      <c r="N14" s="240">
        <v>0</v>
      </c>
      <c r="O14" s="240">
        <v>0</v>
      </c>
      <c r="P14" s="240">
        <v>0</v>
      </c>
      <c r="Q14" s="240">
        <v>0</v>
      </c>
      <c r="R14" s="240">
        <v>0</v>
      </c>
      <c r="S14" s="240">
        <v>0</v>
      </c>
      <c r="T14" s="240">
        <v>0</v>
      </c>
      <c r="U14" s="70">
        <f t="shared" ref="U14" si="1">SUM(N14:T14)</f>
        <v>0</v>
      </c>
      <c r="Y14" s="121">
        <f t="shared" ref="Y14:Y28" si="2">F14</f>
        <v>0</v>
      </c>
      <c r="Z14" s="121">
        <f t="shared" si="0"/>
        <v>2</v>
      </c>
      <c r="AA14" s="121">
        <f t="shared" si="0"/>
        <v>2</v>
      </c>
      <c r="AB14" s="121">
        <f t="shared" si="0"/>
        <v>2</v>
      </c>
      <c r="AC14" s="121">
        <f t="shared" si="0"/>
        <v>2</v>
      </c>
      <c r="AD14" s="121">
        <f t="shared" si="0"/>
        <v>2</v>
      </c>
      <c r="AE14" s="121">
        <f t="shared" si="0"/>
        <v>2</v>
      </c>
      <c r="AF14" s="51"/>
      <c r="AG14" s="240">
        <v>0</v>
      </c>
      <c r="AH14" s="240">
        <v>0</v>
      </c>
      <c r="AI14" s="240">
        <v>0</v>
      </c>
      <c r="AJ14" s="240">
        <v>0</v>
      </c>
      <c r="AK14" s="240">
        <v>0</v>
      </c>
      <c r="AL14" s="240">
        <v>0</v>
      </c>
      <c r="AM14" s="240">
        <v>0</v>
      </c>
      <c r="AN14" s="70">
        <f t="shared" ref="AN14" si="3">SUM(AG14:AM14)</f>
        <v>0</v>
      </c>
    </row>
    <row r="15" spans="1:40" x14ac:dyDescent="0.25">
      <c r="A15" t="s">
        <v>33</v>
      </c>
      <c r="B15" s="16"/>
      <c r="C15" s="4"/>
      <c r="D15" s="4"/>
      <c r="E15" s="4"/>
      <c r="F15" s="122">
        <v>0</v>
      </c>
      <c r="G15" s="27">
        <v>2</v>
      </c>
      <c r="H15" s="122">
        <v>2</v>
      </c>
      <c r="I15" s="27">
        <v>2</v>
      </c>
      <c r="J15" s="122">
        <v>2</v>
      </c>
      <c r="K15" s="27">
        <v>2</v>
      </c>
      <c r="L15" s="122">
        <v>2</v>
      </c>
      <c r="M15" s="51"/>
      <c r="N15" s="240">
        <v>0</v>
      </c>
      <c r="O15" s="240">
        <v>0</v>
      </c>
      <c r="P15" s="240">
        <v>0</v>
      </c>
      <c r="Q15" s="240">
        <v>0</v>
      </c>
      <c r="R15" s="240">
        <v>0</v>
      </c>
      <c r="S15" s="240">
        <v>0</v>
      </c>
      <c r="T15" s="240">
        <v>0</v>
      </c>
      <c r="U15" s="70">
        <f>SUM(N15:T15)</f>
        <v>0</v>
      </c>
      <c r="Y15" s="121">
        <f t="shared" si="2"/>
        <v>0</v>
      </c>
      <c r="Z15" s="121">
        <f t="shared" si="0"/>
        <v>2</v>
      </c>
      <c r="AA15" s="121">
        <f t="shared" si="0"/>
        <v>2</v>
      </c>
      <c r="AB15" s="121">
        <f t="shared" si="0"/>
        <v>2</v>
      </c>
      <c r="AC15" s="121">
        <f t="shared" si="0"/>
        <v>2</v>
      </c>
      <c r="AD15" s="121">
        <f t="shared" si="0"/>
        <v>2</v>
      </c>
      <c r="AE15" s="121">
        <f t="shared" si="0"/>
        <v>2</v>
      </c>
      <c r="AF15" s="51"/>
      <c r="AG15" s="240">
        <v>0</v>
      </c>
      <c r="AH15" s="240">
        <v>0</v>
      </c>
      <c r="AI15" s="240">
        <v>0</v>
      </c>
      <c r="AJ15" s="240">
        <v>0</v>
      </c>
      <c r="AK15" s="240">
        <v>0</v>
      </c>
      <c r="AL15" s="240">
        <v>0</v>
      </c>
      <c r="AM15" s="240">
        <v>0</v>
      </c>
      <c r="AN15" s="70">
        <f>SUM(AG15:AM15)</f>
        <v>0</v>
      </c>
    </row>
    <row r="16" spans="1:40" x14ac:dyDescent="0.25">
      <c r="A16" t="s">
        <v>39</v>
      </c>
      <c r="B16" s="16"/>
      <c r="C16" s="4"/>
      <c r="D16" s="4"/>
      <c r="E16" s="4"/>
      <c r="F16" s="122">
        <v>0</v>
      </c>
      <c r="G16" s="27">
        <v>2</v>
      </c>
      <c r="H16" s="122">
        <v>2</v>
      </c>
      <c r="I16" s="27">
        <v>2</v>
      </c>
      <c r="J16" s="122">
        <v>2</v>
      </c>
      <c r="K16" s="27">
        <v>2</v>
      </c>
      <c r="L16" s="122">
        <v>2</v>
      </c>
      <c r="M16" s="51"/>
      <c r="N16" s="240">
        <v>0</v>
      </c>
      <c r="O16" s="240">
        <v>0</v>
      </c>
      <c r="P16" s="240">
        <v>0</v>
      </c>
      <c r="Q16" s="240">
        <v>0</v>
      </c>
      <c r="R16" s="240">
        <v>0</v>
      </c>
      <c r="S16" s="240">
        <v>0</v>
      </c>
      <c r="T16" s="240">
        <v>0</v>
      </c>
      <c r="U16" s="70">
        <f>SUM(N16:T16)</f>
        <v>0</v>
      </c>
      <c r="Y16" s="121">
        <f t="shared" si="2"/>
        <v>0</v>
      </c>
      <c r="Z16" s="121">
        <f t="shared" si="0"/>
        <v>2</v>
      </c>
      <c r="AA16" s="121">
        <f t="shared" si="0"/>
        <v>2</v>
      </c>
      <c r="AB16" s="121">
        <f t="shared" si="0"/>
        <v>2</v>
      </c>
      <c r="AC16" s="121">
        <f t="shared" si="0"/>
        <v>2</v>
      </c>
      <c r="AD16" s="121">
        <f t="shared" si="0"/>
        <v>2</v>
      </c>
      <c r="AE16" s="121">
        <f t="shared" si="0"/>
        <v>2</v>
      </c>
      <c r="AF16" s="51"/>
      <c r="AG16" s="240">
        <v>0</v>
      </c>
      <c r="AH16" s="240">
        <v>0</v>
      </c>
      <c r="AI16" s="240">
        <v>0</v>
      </c>
      <c r="AJ16" s="240">
        <v>0</v>
      </c>
      <c r="AK16" s="240">
        <v>0</v>
      </c>
      <c r="AL16" s="240">
        <v>0</v>
      </c>
      <c r="AM16" s="240">
        <v>0</v>
      </c>
      <c r="AN16" s="70">
        <f>SUM(AG16:AM16)</f>
        <v>0</v>
      </c>
    </row>
    <row r="17" spans="1:40" x14ac:dyDescent="0.25">
      <c r="A17" t="s">
        <v>41</v>
      </c>
      <c r="B17" s="16"/>
      <c r="C17" s="4"/>
      <c r="D17" s="4"/>
      <c r="E17" s="4"/>
      <c r="F17" s="122">
        <v>0</v>
      </c>
      <c r="G17" s="27">
        <v>2</v>
      </c>
      <c r="H17" s="122">
        <v>2</v>
      </c>
      <c r="I17" s="27">
        <v>2</v>
      </c>
      <c r="J17" s="122">
        <v>2</v>
      </c>
      <c r="K17" s="27">
        <v>2</v>
      </c>
      <c r="L17" s="122">
        <v>2</v>
      </c>
      <c r="M17" s="51"/>
      <c r="N17" s="240">
        <v>0</v>
      </c>
      <c r="O17" s="240">
        <v>0</v>
      </c>
      <c r="P17" s="240">
        <v>0</v>
      </c>
      <c r="Q17" s="240">
        <v>0</v>
      </c>
      <c r="R17" s="240">
        <v>0</v>
      </c>
      <c r="S17" s="240">
        <v>0</v>
      </c>
      <c r="T17" s="240">
        <v>0</v>
      </c>
      <c r="U17" s="70">
        <f t="shared" ref="U17:U24" si="4">SUM(N17:T17)</f>
        <v>0</v>
      </c>
      <c r="Y17" s="121">
        <f t="shared" si="2"/>
        <v>0</v>
      </c>
      <c r="Z17" s="121">
        <f t="shared" si="0"/>
        <v>2</v>
      </c>
      <c r="AA17" s="121">
        <f t="shared" si="0"/>
        <v>2</v>
      </c>
      <c r="AB17" s="121">
        <f t="shared" si="0"/>
        <v>2</v>
      </c>
      <c r="AC17" s="121">
        <f t="shared" si="0"/>
        <v>2</v>
      </c>
      <c r="AD17" s="121">
        <f t="shared" si="0"/>
        <v>2</v>
      </c>
      <c r="AE17" s="121">
        <f t="shared" si="0"/>
        <v>2</v>
      </c>
      <c r="AF17" s="51"/>
      <c r="AG17" s="240">
        <v>0</v>
      </c>
      <c r="AH17" s="240">
        <v>0</v>
      </c>
      <c r="AI17" s="240">
        <v>0</v>
      </c>
      <c r="AJ17" s="240">
        <v>0</v>
      </c>
      <c r="AK17" s="240">
        <v>0</v>
      </c>
      <c r="AL17" s="240">
        <v>0</v>
      </c>
      <c r="AM17" s="240">
        <v>0</v>
      </c>
      <c r="AN17" s="70">
        <f t="shared" ref="AN17:AN24" si="5">SUM(AG17:AM17)</f>
        <v>0</v>
      </c>
    </row>
    <row r="18" spans="1:40" x14ac:dyDescent="0.25">
      <c r="A18" t="s">
        <v>38</v>
      </c>
      <c r="B18" s="16"/>
      <c r="C18" s="4"/>
      <c r="D18" s="4"/>
      <c r="E18" s="4"/>
      <c r="F18" s="122">
        <v>0</v>
      </c>
      <c r="G18" s="27">
        <v>2</v>
      </c>
      <c r="H18" s="122">
        <v>2</v>
      </c>
      <c r="I18" s="27">
        <v>2</v>
      </c>
      <c r="J18" s="122">
        <v>2</v>
      </c>
      <c r="K18" s="27">
        <v>2</v>
      </c>
      <c r="L18" s="122">
        <v>2</v>
      </c>
      <c r="M18" s="51"/>
      <c r="N18" s="240">
        <v>0</v>
      </c>
      <c r="O18" s="240">
        <v>0</v>
      </c>
      <c r="P18" s="240">
        <v>0</v>
      </c>
      <c r="Q18" s="240">
        <v>0</v>
      </c>
      <c r="R18" s="240">
        <v>0</v>
      </c>
      <c r="S18" s="240">
        <v>0</v>
      </c>
      <c r="T18" s="240">
        <v>0</v>
      </c>
      <c r="U18" s="70">
        <f t="shared" si="4"/>
        <v>0</v>
      </c>
      <c r="Y18" s="121">
        <f t="shared" si="2"/>
        <v>0</v>
      </c>
      <c r="Z18" s="121">
        <f t="shared" si="0"/>
        <v>2</v>
      </c>
      <c r="AA18" s="121">
        <f t="shared" si="0"/>
        <v>2</v>
      </c>
      <c r="AB18" s="121">
        <f t="shared" si="0"/>
        <v>2</v>
      </c>
      <c r="AC18" s="121">
        <f t="shared" si="0"/>
        <v>2</v>
      </c>
      <c r="AD18" s="121">
        <f t="shared" si="0"/>
        <v>2</v>
      </c>
      <c r="AE18" s="121">
        <f t="shared" si="0"/>
        <v>2</v>
      </c>
      <c r="AF18" s="51"/>
      <c r="AG18" s="240">
        <v>0</v>
      </c>
      <c r="AH18" s="240">
        <v>0</v>
      </c>
      <c r="AI18" s="240">
        <v>0</v>
      </c>
      <c r="AJ18" s="240">
        <v>0</v>
      </c>
      <c r="AK18" s="240">
        <v>0</v>
      </c>
      <c r="AL18" s="240">
        <v>0</v>
      </c>
      <c r="AM18" s="240">
        <v>0</v>
      </c>
      <c r="AN18" s="70">
        <f t="shared" si="5"/>
        <v>0</v>
      </c>
    </row>
    <row r="19" spans="1:40" x14ac:dyDescent="0.25">
      <c r="A19" t="s">
        <v>35</v>
      </c>
      <c r="B19" s="16"/>
      <c r="C19" s="4"/>
      <c r="D19" s="4"/>
      <c r="E19" s="4"/>
      <c r="F19" s="122">
        <v>0</v>
      </c>
      <c r="G19" s="27">
        <v>2</v>
      </c>
      <c r="H19" s="122">
        <v>2</v>
      </c>
      <c r="I19" s="27">
        <v>2</v>
      </c>
      <c r="J19" s="122">
        <v>2</v>
      </c>
      <c r="K19" s="27">
        <v>2</v>
      </c>
      <c r="L19" s="122">
        <v>2</v>
      </c>
      <c r="M19" s="51"/>
      <c r="N19" s="240">
        <v>0</v>
      </c>
      <c r="O19" s="240">
        <v>0</v>
      </c>
      <c r="P19" s="240">
        <v>0</v>
      </c>
      <c r="Q19" s="240">
        <v>0</v>
      </c>
      <c r="R19" s="240">
        <v>0</v>
      </c>
      <c r="S19" s="240">
        <v>0</v>
      </c>
      <c r="T19" s="240">
        <v>0</v>
      </c>
      <c r="U19" s="70">
        <f t="shared" si="4"/>
        <v>0</v>
      </c>
      <c r="Y19" s="121">
        <f t="shared" si="2"/>
        <v>0</v>
      </c>
      <c r="Z19" s="121">
        <f t="shared" si="0"/>
        <v>2</v>
      </c>
      <c r="AA19" s="121">
        <f t="shared" si="0"/>
        <v>2</v>
      </c>
      <c r="AB19" s="121">
        <f t="shared" si="0"/>
        <v>2</v>
      </c>
      <c r="AC19" s="121">
        <f t="shared" si="0"/>
        <v>2</v>
      </c>
      <c r="AD19" s="121">
        <f t="shared" si="0"/>
        <v>2</v>
      </c>
      <c r="AE19" s="121">
        <f t="shared" si="0"/>
        <v>2</v>
      </c>
      <c r="AF19" s="51"/>
      <c r="AG19" s="240">
        <v>0</v>
      </c>
      <c r="AH19" s="240">
        <v>0</v>
      </c>
      <c r="AI19" s="240">
        <v>0</v>
      </c>
      <c r="AJ19" s="240">
        <v>0</v>
      </c>
      <c r="AK19" s="240">
        <v>0</v>
      </c>
      <c r="AL19" s="240">
        <v>0</v>
      </c>
      <c r="AM19" s="240">
        <v>0</v>
      </c>
      <c r="AN19" s="70">
        <f t="shared" si="5"/>
        <v>0</v>
      </c>
    </row>
    <row r="20" spans="1:40" x14ac:dyDescent="0.25">
      <c r="A20" t="s">
        <v>31</v>
      </c>
      <c r="B20" s="16"/>
      <c r="C20" s="4"/>
      <c r="D20" s="4"/>
      <c r="E20" s="4"/>
      <c r="F20" s="122">
        <v>0</v>
      </c>
      <c r="G20" s="27">
        <v>2</v>
      </c>
      <c r="H20" s="122">
        <v>2</v>
      </c>
      <c r="I20" s="27">
        <v>2</v>
      </c>
      <c r="J20" s="122">
        <v>2</v>
      </c>
      <c r="K20" s="27">
        <v>2</v>
      </c>
      <c r="L20" s="122">
        <v>2</v>
      </c>
      <c r="M20" s="51"/>
      <c r="N20" s="240">
        <v>0</v>
      </c>
      <c r="O20" s="240">
        <v>0</v>
      </c>
      <c r="P20" s="240">
        <v>0</v>
      </c>
      <c r="Q20" s="240">
        <v>0</v>
      </c>
      <c r="R20" s="240">
        <v>0</v>
      </c>
      <c r="S20" s="240">
        <v>0</v>
      </c>
      <c r="T20" s="240">
        <v>0</v>
      </c>
      <c r="U20" s="70">
        <f t="shared" si="4"/>
        <v>0</v>
      </c>
      <c r="Y20" s="121">
        <f t="shared" si="2"/>
        <v>0</v>
      </c>
      <c r="Z20" s="121">
        <f t="shared" si="0"/>
        <v>2</v>
      </c>
      <c r="AA20" s="121">
        <f t="shared" si="0"/>
        <v>2</v>
      </c>
      <c r="AB20" s="121">
        <f t="shared" si="0"/>
        <v>2</v>
      </c>
      <c r="AC20" s="121">
        <f t="shared" si="0"/>
        <v>2</v>
      </c>
      <c r="AD20" s="121">
        <f t="shared" si="0"/>
        <v>2</v>
      </c>
      <c r="AE20" s="121">
        <f t="shared" si="0"/>
        <v>2</v>
      </c>
      <c r="AF20" s="51"/>
      <c r="AG20" s="240">
        <v>0</v>
      </c>
      <c r="AH20" s="240">
        <v>0</v>
      </c>
      <c r="AI20" s="240">
        <v>0</v>
      </c>
      <c r="AJ20" s="240">
        <v>0</v>
      </c>
      <c r="AK20" s="240">
        <v>0</v>
      </c>
      <c r="AL20" s="240">
        <v>0</v>
      </c>
      <c r="AM20" s="240">
        <v>0</v>
      </c>
      <c r="AN20" s="70">
        <f t="shared" si="5"/>
        <v>0</v>
      </c>
    </row>
    <row r="21" spans="1:40" x14ac:dyDescent="0.25">
      <c r="A21" t="s">
        <v>43</v>
      </c>
      <c r="B21" s="16"/>
      <c r="C21" s="4"/>
      <c r="D21" s="4"/>
      <c r="E21" s="4"/>
      <c r="F21" s="122">
        <v>0</v>
      </c>
      <c r="G21" s="27">
        <v>2</v>
      </c>
      <c r="H21" s="122">
        <v>2</v>
      </c>
      <c r="I21" s="27">
        <v>2</v>
      </c>
      <c r="J21" s="122">
        <v>2</v>
      </c>
      <c r="K21" s="27">
        <v>2</v>
      </c>
      <c r="L21" s="122">
        <v>2</v>
      </c>
      <c r="M21" s="51"/>
      <c r="N21" s="240">
        <v>0</v>
      </c>
      <c r="O21" s="240">
        <v>0</v>
      </c>
      <c r="P21" s="240">
        <v>0</v>
      </c>
      <c r="Q21" s="240">
        <v>0</v>
      </c>
      <c r="R21" s="240">
        <v>0</v>
      </c>
      <c r="S21" s="240">
        <v>0</v>
      </c>
      <c r="T21" s="240">
        <v>0</v>
      </c>
      <c r="U21" s="70">
        <f t="shared" si="4"/>
        <v>0</v>
      </c>
      <c r="Y21" s="121">
        <f t="shared" si="2"/>
        <v>0</v>
      </c>
      <c r="Z21" s="121">
        <f t="shared" si="0"/>
        <v>2</v>
      </c>
      <c r="AA21" s="121">
        <f t="shared" si="0"/>
        <v>2</v>
      </c>
      <c r="AB21" s="121">
        <f t="shared" si="0"/>
        <v>2</v>
      </c>
      <c r="AC21" s="121">
        <f t="shared" si="0"/>
        <v>2</v>
      </c>
      <c r="AD21" s="121">
        <f t="shared" si="0"/>
        <v>2</v>
      </c>
      <c r="AE21" s="121">
        <f t="shared" si="0"/>
        <v>2</v>
      </c>
      <c r="AF21" s="51"/>
      <c r="AG21" s="240">
        <v>0</v>
      </c>
      <c r="AH21" s="240">
        <v>0</v>
      </c>
      <c r="AI21" s="240">
        <v>0</v>
      </c>
      <c r="AJ21" s="240">
        <v>0</v>
      </c>
      <c r="AK21" s="240">
        <v>0</v>
      </c>
      <c r="AL21" s="240">
        <v>0</v>
      </c>
      <c r="AM21" s="240">
        <v>0</v>
      </c>
      <c r="AN21" s="70">
        <f t="shared" si="5"/>
        <v>0</v>
      </c>
    </row>
    <row r="22" spans="1:40" x14ac:dyDescent="0.25">
      <c r="A22" t="s">
        <v>37</v>
      </c>
      <c r="B22" s="16"/>
      <c r="C22" s="4"/>
      <c r="D22" s="4"/>
      <c r="E22" s="4"/>
      <c r="F22" s="122">
        <v>0</v>
      </c>
      <c r="G22" s="27">
        <v>2</v>
      </c>
      <c r="H22" s="122">
        <v>2</v>
      </c>
      <c r="I22" s="27">
        <v>2</v>
      </c>
      <c r="J22" s="122">
        <v>2</v>
      </c>
      <c r="K22" s="27">
        <v>2</v>
      </c>
      <c r="L22" s="122">
        <v>2</v>
      </c>
      <c r="M22" s="51"/>
      <c r="N22" s="240">
        <v>0</v>
      </c>
      <c r="O22" s="240">
        <v>0</v>
      </c>
      <c r="P22" s="240">
        <v>0</v>
      </c>
      <c r="Q22" s="240">
        <v>0</v>
      </c>
      <c r="R22" s="240">
        <v>0</v>
      </c>
      <c r="S22" s="240">
        <v>0</v>
      </c>
      <c r="T22" s="240">
        <v>0</v>
      </c>
      <c r="U22" s="70">
        <f t="shared" si="4"/>
        <v>0</v>
      </c>
      <c r="Y22" s="121">
        <f t="shared" si="2"/>
        <v>0</v>
      </c>
      <c r="Z22" s="121">
        <f t="shared" si="0"/>
        <v>2</v>
      </c>
      <c r="AA22" s="121">
        <f t="shared" si="0"/>
        <v>2</v>
      </c>
      <c r="AB22" s="121">
        <f t="shared" si="0"/>
        <v>2</v>
      </c>
      <c r="AC22" s="121">
        <f t="shared" si="0"/>
        <v>2</v>
      </c>
      <c r="AD22" s="121">
        <f t="shared" si="0"/>
        <v>2</v>
      </c>
      <c r="AE22" s="121">
        <f t="shared" si="0"/>
        <v>2</v>
      </c>
      <c r="AF22" s="51"/>
      <c r="AG22" s="240">
        <v>0</v>
      </c>
      <c r="AH22" s="240">
        <v>0</v>
      </c>
      <c r="AI22" s="240">
        <v>0</v>
      </c>
      <c r="AJ22" s="240">
        <v>0</v>
      </c>
      <c r="AK22" s="240">
        <v>0</v>
      </c>
      <c r="AL22" s="240">
        <v>0</v>
      </c>
      <c r="AM22" s="240">
        <v>0</v>
      </c>
      <c r="AN22" s="70">
        <f t="shared" si="5"/>
        <v>0</v>
      </c>
    </row>
    <row r="23" spans="1:40" x14ac:dyDescent="0.25">
      <c r="A23" t="s">
        <v>36</v>
      </c>
      <c r="B23" s="16"/>
      <c r="C23" s="4"/>
      <c r="D23" s="4"/>
      <c r="E23" s="4"/>
      <c r="F23" s="122">
        <v>0</v>
      </c>
      <c r="G23" s="27">
        <v>2</v>
      </c>
      <c r="H23" s="122">
        <v>2</v>
      </c>
      <c r="I23" s="27">
        <v>2</v>
      </c>
      <c r="J23" s="122">
        <v>2</v>
      </c>
      <c r="K23" s="27">
        <v>2</v>
      </c>
      <c r="L23" s="122">
        <v>2</v>
      </c>
      <c r="M23" s="51"/>
      <c r="N23" s="240">
        <v>0</v>
      </c>
      <c r="O23" s="240">
        <v>0</v>
      </c>
      <c r="P23" s="240">
        <v>0</v>
      </c>
      <c r="Q23" s="240">
        <v>0</v>
      </c>
      <c r="R23" s="240">
        <v>0</v>
      </c>
      <c r="S23" s="240">
        <v>0</v>
      </c>
      <c r="T23" s="240">
        <v>0</v>
      </c>
      <c r="U23" s="70">
        <f t="shared" si="4"/>
        <v>0</v>
      </c>
      <c r="Y23" s="121">
        <f t="shared" si="2"/>
        <v>0</v>
      </c>
      <c r="Z23" s="121">
        <f t="shared" si="0"/>
        <v>2</v>
      </c>
      <c r="AA23" s="121">
        <f t="shared" si="0"/>
        <v>2</v>
      </c>
      <c r="AB23" s="121">
        <f t="shared" si="0"/>
        <v>2</v>
      </c>
      <c r="AC23" s="121">
        <f t="shared" si="0"/>
        <v>2</v>
      </c>
      <c r="AD23" s="121">
        <f t="shared" si="0"/>
        <v>2</v>
      </c>
      <c r="AE23" s="121">
        <f t="shared" si="0"/>
        <v>2</v>
      </c>
      <c r="AF23" s="51"/>
      <c r="AG23" s="240">
        <v>0</v>
      </c>
      <c r="AH23" s="240">
        <v>0</v>
      </c>
      <c r="AI23" s="240">
        <v>0</v>
      </c>
      <c r="AJ23" s="240">
        <v>0</v>
      </c>
      <c r="AK23" s="240">
        <v>0</v>
      </c>
      <c r="AL23" s="240">
        <v>0</v>
      </c>
      <c r="AM23" s="240">
        <v>0</v>
      </c>
      <c r="AN23" s="70">
        <f t="shared" si="5"/>
        <v>0</v>
      </c>
    </row>
    <row r="24" spans="1:40" x14ac:dyDescent="0.25">
      <c r="A24" t="s">
        <v>40</v>
      </c>
      <c r="B24" s="16" t="s">
        <v>380</v>
      </c>
      <c r="C24" s="4" t="s">
        <v>45</v>
      </c>
      <c r="D24" s="4">
        <v>17</v>
      </c>
      <c r="E24" s="4">
        <v>15</v>
      </c>
      <c r="F24" s="122">
        <v>0</v>
      </c>
      <c r="G24" s="27">
        <v>2</v>
      </c>
      <c r="H24" s="122">
        <v>5.7</v>
      </c>
      <c r="I24" s="27">
        <v>5.5</v>
      </c>
      <c r="J24" s="122">
        <v>5</v>
      </c>
      <c r="K24" s="27">
        <v>3</v>
      </c>
      <c r="L24" s="122">
        <v>2</v>
      </c>
      <c r="M24" s="51">
        <v>350</v>
      </c>
      <c r="N24" s="240">
        <v>0</v>
      </c>
      <c r="O24" s="240">
        <v>0</v>
      </c>
      <c r="P24" s="240">
        <v>11</v>
      </c>
      <c r="Q24" s="240">
        <f>5.5+1.5</f>
        <v>7</v>
      </c>
      <c r="R24" s="240">
        <v>7</v>
      </c>
      <c r="S24" s="240">
        <v>2</v>
      </c>
      <c r="T24" s="240">
        <v>0</v>
      </c>
      <c r="U24" s="70">
        <f t="shared" si="4"/>
        <v>27</v>
      </c>
      <c r="W24">
        <f>D24+1</f>
        <v>18</v>
      </c>
      <c r="X24">
        <f>E24+$X$7</f>
        <v>95.5</v>
      </c>
      <c r="Y24" s="121">
        <f t="shared" si="2"/>
        <v>0</v>
      </c>
      <c r="Z24" s="121">
        <f t="shared" si="0"/>
        <v>2</v>
      </c>
      <c r="AA24" s="121">
        <f t="shared" si="0"/>
        <v>5.7</v>
      </c>
      <c r="AB24" s="121">
        <v>9.5</v>
      </c>
      <c r="AC24" s="121">
        <f>8+3/5</f>
        <v>8.6</v>
      </c>
      <c r="AD24" s="121">
        <f t="shared" si="0"/>
        <v>3</v>
      </c>
      <c r="AE24" s="121">
        <f t="shared" si="0"/>
        <v>2</v>
      </c>
      <c r="AF24" s="51">
        <f>(2140+140+150)*1.008</f>
        <v>2449.44</v>
      </c>
      <c r="AG24" s="240">
        <f>N24</f>
        <v>0</v>
      </c>
      <c r="AH24" s="240">
        <f t="shared" ref="AH24:AM26" si="6">O24</f>
        <v>0</v>
      </c>
      <c r="AI24" s="240">
        <f t="shared" si="6"/>
        <v>11</v>
      </c>
      <c r="AJ24" s="42">
        <f>Q24+X9</f>
        <v>20.5</v>
      </c>
      <c r="AK24" s="240">
        <f>R24+X10</f>
        <v>21</v>
      </c>
      <c r="AL24" s="240">
        <f t="shared" si="6"/>
        <v>2</v>
      </c>
      <c r="AM24" s="240">
        <f t="shared" si="6"/>
        <v>0</v>
      </c>
      <c r="AN24" s="70">
        <f t="shared" si="5"/>
        <v>54.5</v>
      </c>
    </row>
    <row r="25" spans="1:40" x14ac:dyDescent="0.25">
      <c r="A25" t="s">
        <v>34</v>
      </c>
      <c r="B25" s="16" t="s">
        <v>381</v>
      </c>
      <c r="C25" s="4" t="s">
        <v>344</v>
      </c>
      <c r="D25" s="4">
        <v>17</v>
      </c>
      <c r="E25" s="4">
        <v>19</v>
      </c>
      <c r="F25" s="122">
        <v>0</v>
      </c>
      <c r="G25" s="27">
        <v>6</v>
      </c>
      <c r="H25" s="122">
        <v>3</v>
      </c>
      <c r="I25" s="27">
        <v>3</v>
      </c>
      <c r="J25" s="122">
        <v>5</v>
      </c>
      <c r="K25" s="27">
        <v>2</v>
      </c>
      <c r="L25" s="122">
        <v>0</v>
      </c>
      <c r="M25" s="51">
        <v>330</v>
      </c>
      <c r="N25" s="240">
        <v>0</v>
      </c>
      <c r="O25" s="240">
        <v>14</v>
      </c>
      <c r="P25" s="240">
        <v>3</v>
      </c>
      <c r="Q25" s="240">
        <v>1.5</v>
      </c>
      <c r="R25" s="240">
        <v>7</v>
      </c>
      <c r="S25" s="240">
        <v>0</v>
      </c>
      <c r="T25" s="240">
        <v>-2</v>
      </c>
      <c r="U25" s="70">
        <f>SUM(N25:T25)</f>
        <v>23.5</v>
      </c>
      <c r="W25">
        <f t="shared" ref="W25:W26" si="7">D25+1</f>
        <v>18</v>
      </c>
      <c r="X25">
        <f t="shared" ref="X25:X26" si="8">E25+$X$7</f>
        <v>99.5</v>
      </c>
      <c r="Y25" s="121">
        <f t="shared" si="2"/>
        <v>0</v>
      </c>
      <c r="Z25" s="121">
        <f t="shared" si="0"/>
        <v>6</v>
      </c>
      <c r="AA25" s="121">
        <f t="shared" si="0"/>
        <v>3</v>
      </c>
      <c r="AB25" s="121">
        <v>8</v>
      </c>
      <c r="AC25" s="121">
        <f>8+3/5</f>
        <v>8.6</v>
      </c>
      <c r="AD25" s="121">
        <f t="shared" si="0"/>
        <v>2</v>
      </c>
      <c r="AE25" s="121">
        <f t="shared" si="0"/>
        <v>0</v>
      </c>
      <c r="AF25" s="51">
        <f>(830+455+165)*1</f>
        <v>1450</v>
      </c>
      <c r="AG25" s="240">
        <f t="shared" ref="AG25:AG26" si="9">N25</f>
        <v>0</v>
      </c>
      <c r="AH25" s="240">
        <f t="shared" si="6"/>
        <v>14</v>
      </c>
      <c r="AI25" s="240">
        <f t="shared" si="6"/>
        <v>3</v>
      </c>
      <c r="AJ25" s="42">
        <f>Q25+X9</f>
        <v>15</v>
      </c>
      <c r="AK25" s="240">
        <f>R25+X10</f>
        <v>21</v>
      </c>
      <c r="AL25" s="240">
        <f t="shared" si="6"/>
        <v>0</v>
      </c>
      <c r="AM25" s="240">
        <f t="shared" si="6"/>
        <v>-2</v>
      </c>
      <c r="AN25" s="70">
        <f>SUM(AG25:AM25)</f>
        <v>51</v>
      </c>
    </row>
    <row r="26" spans="1:40" x14ac:dyDescent="0.25">
      <c r="A26" t="s">
        <v>42</v>
      </c>
      <c r="B26" s="16" t="s">
        <v>382</v>
      </c>
      <c r="C26" s="4" t="s">
        <v>344</v>
      </c>
      <c r="D26" s="4">
        <v>17</v>
      </c>
      <c r="E26" s="4">
        <v>15</v>
      </c>
      <c r="F26" s="122">
        <v>0</v>
      </c>
      <c r="G26" s="27">
        <v>3</v>
      </c>
      <c r="H26" s="122">
        <v>5</v>
      </c>
      <c r="I26" s="27">
        <v>4</v>
      </c>
      <c r="J26" s="122">
        <v>4</v>
      </c>
      <c r="K26" s="27">
        <v>3</v>
      </c>
      <c r="L26" s="122">
        <v>0</v>
      </c>
      <c r="M26" s="51">
        <v>290</v>
      </c>
      <c r="N26" s="240">
        <v>0</v>
      </c>
      <c r="O26" s="240">
        <v>3</v>
      </c>
      <c r="P26" s="240">
        <v>9</v>
      </c>
      <c r="Q26" s="240">
        <v>3.5</v>
      </c>
      <c r="R26" s="240">
        <v>4</v>
      </c>
      <c r="S26" s="240">
        <v>2</v>
      </c>
      <c r="T26" s="240">
        <v>-2</v>
      </c>
      <c r="U26" s="70">
        <f>SUM(N26:T26)</f>
        <v>19.5</v>
      </c>
      <c r="W26">
        <f t="shared" si="7"/>
        <v>18</v>
      </c>
      <c r="X26">
        <f t="shared" si="8"/>
        <v>95.5</v>
      </c>
      <c r="Y26" s="121">
        <f t="shared" si="2"/>
        <v>0</v>
      </c>
      <c r="Z26" s="121">
        <f t="shared" si="0"/>
        <v>3</v>
      </c>
      <c r="AA26" s="121">
        <f t="shared" si="0"/>
        <v>5</v>
      </c>
      <c r="AB26" s="121">
        <f>8+2.5/3</f>
        <v>8.8333333333333339</v>
      </c>
      <c r="AC26" s="121">
        <v>8</v>
      </c>
      <c r="AD26" s="121">
        <f t="shared" si="0"/>
        <v>3</v>
      </c>
      <c r="AE26" s="121">
        <f t="shared" si="0"/>
        <v>0</v>
      </c>
      <c r="AF26" s="51">
        <f>(1475+135+135)*1</f>
        <v>1745</v>
      </c>
      <c r="AG26" s="240">
        <f t="shared" si="9"/>
        <v>0</v>
      </c>
      <c r="AH26" s="240">
        <f t="shared" si="6"/>
        <v>3</v>
      </c>
      <c r="AI26" s="240">
        <f t="shared" si="6"/>
        <v>9</v>
      </c>
      <c r="AJ26" s="240">
        <f>Q26+X10</f>
        <v>17.5</v>
      </c>
      <c r="AK26" s="240">
        <f>R26+X10</f>
        <v>18</v>
      </c>
      <c r="AL26" s="240">
        <f t="shared" si="6"/>
        <v>2</v>
      </c>
      <c r="AM26" s="240">
        <f t="shared" si="6"/>
        <v>-2</v>
      </c>
      <c r="AN26" s="70">
        <f>SUM(AG26:AM26)</f>
        <v>47.5</v>
      </c>
    </row>
    <row r="27" spans="1:40" x14ac:dyDescent="0.25">
      <c r="A27" t="s">
        <v>46</v>
      </c>
      <c r="B27" s="16"/>
      <c r="C27" s="4"/>
      <c r="D27" s="4"/>
      <c r="E27" s="4"/>
      <c r="F27" s="122">
        <v>0</v>
      </c>
      <c r="G27" s="27">
        <v>2</v>
      </c>
      <c r="H27" s="122">
        <v>2</v>
      </c>
      <c r="I27" s="27">
        <v>2</v>
      </c>
      <c r="J27" s="122">
        <v>2</v>
      </c>
      <c r="K27" s="27">
        <v>2</v>
      </c>
      <c r="L27" s="122">
        <v>2</v>
      </c>
      <c r="M27" s="51"/>
      <c r="N27" s="240">
        <v>0</v>
      </c>
      <c r="O27" s="240">
        <v>0</v>
      </c>
      <c r="P27" s="240">
        <v>0</v>
      </c>
      <c r="Q27" s="240">
        <v>0</v>
      </c>
      <c r="R27" s="240">
        <v>0</v>
      </c>
      <c r="S27" s="240">
        <v>0</v>
      </c>
      <c r="T27" s="240">
        <v>0</v>
      </c>
      <c r="U27" s="70">
        <f t="shared" ref="U27:U28" si="10">SUM(N27:T27)</f>
        <v>0</v>
      </c>
      <c r="Y27" s="121">
        <f t="shared" si="2"/>
        <v>0</v>
      </c>
      <c r="Z27" s="121">
        <f t="shared" si="0"/>
        <v>2</v>
      </c>
      <c r="AA27" s="121">
        <f t="shared" si="0"/>
        <v>2</v>
      </c>
      <c r="AB27" s="121">
        <f t="shared" si="0"/>
        <v>2</v>
      </c>
      <c r="AC27" s="121">
        <f t="shared" si="0"/>
        <v>2</v>
      </c>
      <c r="AD27" s="121">
        <f t="shared" si="0"/>
        <v>2</v>
      </c>
      <c r="AE27" s="121">
        <f t="shared" si="0"/>
        <v>2</v>
      </c>
      <c r="AF27" s="51"/>
      <c r="AG27" s="240">
        <v>0</v>
      </c>
      <c r="AH27" s="240">
        <v>0</v>
      </c>
      <c r="AI27" s="240">
        <v>0</v>
      </c>
      <c r="AJ27" s="240">
        <v>0</v>
      </c>
      <c r="AK27" s="240">
        <v>0</v>
      </c>
      <c r="AL27" s="240">
        <v>0</v>
      </c>
      <c r="AM27" s="240">
        <v>0</v>
      </c>
      <c r="AN27" s="70">
        <f t="shared" ref="AN27:AN28" si="11">SUM(AG27:AM27)</f>
        <v>0</v>
      </c>
    </row>
    <row r="28" spans="1:40" x14ac:dyDescent="0.25">
      <c r="A28" t="s">
        <v>383</v>
      </c>
      <c r="B28" s="16"/>
      <c r="C28" s="4"/>
      <c r="D28" s="4"/>
      <c r="E28" s="4"/>
      <c r="F28" s="122">
        <v>0</v>
      </c>
      <c r="G28" s="27">
        <v>2</v>
      </c>
      <c r="H28" s="122">
        <v>2</v>
      </c>
      <c r="I28" s="27">
        <v>2</v>
      </c>
      <c r="J28" s="122">
        <v>2</v>
      </c>
      <c r="K28" s="27">
        <v>2</v>
      </c>
      <c r="L28" s="122">
        <v>2</v>
      </c>
      <c r="M28" s="51"/>
      <c r="N28" s="240">
        <v>0</v>
      </c>
      <c r="O28" s="240">
        <v>0</v>
      </c>
      <c r="P28" s="240">
        <v>0</v>
      </c>
      <c r="Q28" s="240">
        <v>0</v>
      </c>
      <c r="R28" s="240">
        <v>0</v>
      </c>
      <c r="S28" s="240">
        <v>0</v>
      </c>
      <c r="T28" s="240">
        <v>0</v>
      </c>
      <c r="U28" s="70">
        <f t="shared" si="10"/>
        <v>0</v>
      </c>
      <c r="Y28" s="121">
        <f t="shared" si="2"/>
        <v>0</v>
      </c>
      <c r="Z28" s="121">
        <f t="shared" si="0"/>
        <v>2</v>
      </c>
      <c r="AA28" s="121">
        <f t="shared" si="0"/>
        <v>2</v>
      </c>
      <c r="AB28" s="121">
        <f t="shared" si="0"/>
        <v>2</v>
      </c>
      <c r="AC28" s="121">
        <f t="shared" si="0"/>
        <v>2</v>
      </c>
      <c r="AD28" s="121">
        <f t="shared" si="0"/>
        <v>2</v>
      </c>
      <c r="AE28" s="121">
        <f t="shared" si="0"/>
        <v>2</v>
      </c>
      <c r="AF28" s="51"/>
      <c r="AG28" s="240">
        <v>0</v>
      </c>
      <c r="AH28" s="240">
        <v>0</v>
      </c>
      <c r="AI28" s="240">
        <v>0</v>
      </c>
      <c r="AJ28" s="240">
        <v>0</v>
      </c>
      <c r="AK28" s="240">
        <v>0</v>
      </c>
      <c r="AL28" s="240">
        <v>0</v>
      </c>
      <c r="AM28" s="240">
        <v>0</v>
      </c>
      <c r="AN28" s="70">
        <f t="shared" si="11"/>
        <v>0</v>
      </c>
    </row>
    <row r="29" spans="1:40" x14ac:dyDescent="0.25">
      <c r="A29"/>
      <c r="B29"/>
      <c r="F29" s="240"/>
      <c r="G29" s="240"/>
      <c r="H29" s="240"/>
      <c r="I29" s="240"/>
      <c r="J29" s="240"/>
      <c r="K29" s="240"/>
      <c r="L29" s="240"/>
      <c r="M29" s="241">
        <f>SUM(M31:M45)</f>
        <v>15124.68</v>
      </c>
      <c r="N29" s="240"/>
      <c r="O29" s="240"/>
      <c r="P29" s="240"/>
      <c r="Q29" s="240"/>
      <c r="R29" s="240"/>
      <c r="S29" s="240"/>
      <c r="T29" s="240"/>
      <c r="U29" s="240"/>
      <c r="Y29" s="240"/>
      <c r="Z29" s="240"/>
      <c r="AA29" s="240"/>
      <c r="AB29" s="240"/>
      <c r="AC29" s="240"/>
      <c r="AD29" s="240"/>
      <c r="AE29" s="240"/>
      <c r="AF29" s="241">
        <f>SUM(AF31:AF45)</f>
        <v>42675.44</v>
      </c>
      <c r="AG29" s="240"/>
      <c r="AH29" s="240"/>
      <c r="AI29" s="240"/>
      <c r="AJ29" s="240"/>
      <c r="AK29" s="240"/>
      <c r="AL29" s="240"/>
      <c r="AM29" s="240"/>
      <c r="AN29" s="240"/>
    </row>
    <row r="30" spans="1:40" x14ac:dyDescent="0.25">
      <c r="A30" s="11" t="s">
        <v>179</v>
      </c>
      <c r="B30" s="11" t="s">
        <v>2</v>
      </c>
      <c r="C30" s="11" t="s">
        <v>86</v>
      </c>
      <c r="D30" s="11" t="s">
        <v>370</v>
      </c>
      <c r="E30" s="11" t="s">
        <v>371</v>
      </c>
      <c r="F30" s="11" t="s">
        <v>15</v>
      </c>
      <c r="G30" s="11" t="s">
        <v>16</v>
      </c>
      <c r="H30" s="11" t="s">
        <v>17</v>
      </c>
      <c r="I30" s="11" t="s">
        <v>18</v>
      </c>
      <c r="J30" s="11" t="s">
        <v>19</v>
      </c>
      <c r="K30" s="11" t="s">
        <v>20</v>
      </c>
      <c r="L30" s="11" t="s">
        <v>6</v>
      </c>
      <c r="M30" s="11" t="s">
        <v>69</v>
      </c>
      <c r="N30" s="11" t="s">
        <v>372</v>
      </c>
      <c r="O30" s="11" t="s">
        <v>373</v>
      </c>
      <c r="P30" s="11" t="s">
        <v>374</v>
      </c>
      <c r="Q30" s="11" t="s">
        <v>375</v>
      </c>
      <c r="R30" s="11" t="s">
        <v>376</v>
      </c>
      <c r="S30" s="11" t="s">
        <v>377</v>
      </c>
      <c r="T30" s="11" t="s">
        <v>378</v>
      </c>
      <c r="U30" s="11" t="s">
        <v>379</v>
      </c>
      <c r="W30" s="11" t="s">
        <v>370</v>
      </c>
      <c r="X30" s="11" t="s">
        <v>371</v>
      </c>
      <c r="Y30" s="11" t="s">
        <v>15</v>
      </c>
      <c r="Z30" s="11" t="s">
        <v>16</v>
      </c>
      <c r="AA30" s="11" t="s">
        <v>17</v>
      </c>
      <c r="AB30" s="11" t="s">
        <v>18</v>
      </c>
      <c r="AC30" s="11" t="s">
        <v>19</v>
      </c>
      <c r="AD30" s="11" t="s">
        <v>20</v>
      </c>
      <c r="AE30" s="11" t="s">
        <v>6</v>
      </c>
      <c r="AF30" s="11" t="s">
        <v>69</v>
      </c>
      <c r="AG30" s="11" t="s">
        <v>372</v>
      </c>
      <c r="AH30" s="11" t="s">
        <v>373</v>
      </c>
      <c r="AI30" s="11" t="s">
        <v>374</v>
      </c>
      <c r="AJ30" s="11" t="s">
        <v>375</v>
      </c>
      <c r="AK30" s="11" t="s">
        <v>376</v>
      </c>
      <c r="AL30" s="11" t="s">
        <v>377</v>
      </c>
      <c r="AM30" s="11" t="s">
        <v>378</v>
      </c>
      <c r="AN30" s="11" t="s">
        <v>379</v>
      </c>
    </row>
    <row r="31" spans="1:40" x14ac:dyDescent="0.25">
      <c r="A31" t="s">
        <v>29</v>
      </c>
      <c r="B31" s="16"/>
      <c r="C31" s="20"/>
      <c r="D31" s="20"/>
      <c r="E31" s="20"/>
      <c r="F31" s="121">
        <f>Y13</f>
        <v>2</v>
      </c>
      <c r="G31" s="121">
        <f t="shared" ref="G31:M46" si="12">Z13</f>
        <v>2</v>
      </c>
      <c r="H31" s="121">
        <f t="shared" si="12"/>
        <v>0</v>
      </c>
      <c r="I31" s="121">
        <f t="shared" si="12"/>
        <v>0</v>
      </c>
      <c r="J31" s="121">
        <f t="shared" si="12"/>
        <v>0</v>
      </c>
      <c r="K31" s="121">
        <f t="shared" si="12"/>
        <v>0</v>
      </c>
      <c r="L31" s="121">
        <f t="shared" si="12"/>
        <v>2</v>
      </c>
      <c r="M31" s="51"/>
      <c r="N31" s="240">
        <f>AG13</f>
        <v>0</v>
      </c>
      <c r="O31" s="240">
        <f t="shared" ref="O31:T46" si="13">AH13</f>
        <v>0</v>
      </c>
      <c r="P31" s="240">
        <f t="shared" si="13"/>
        <v>0</v>
      </c>
      <c r="Q31" s="240">
        <f t="shared" si="13"/>
        <v>0</v>
      </c>
      <c r="R31" s="240">
        <f t="shared" si="13"/>
        <v>0</v>
      </c>
      <c r="S31" s="240">
        <f t="shared" si="13"/>
        <v>0</v>
      </c>
      <c r="T31" s="240">
        <f t="shared" si="13"/>
        <v>0</v>
      </c>
      <c r="U31" s="70">
        <f>SUM(N31:T31)</f>
        <v>0</v>
      </c>
      <c r="Y31" s="121">
        <f>F31</f>
        <v>2</v>
      </c>
      <c r="Z31" s="121">
        <f t="shared" ref="Z31:AE46" si="14">G31</f>
        <v>2</v>
      </c>
      <c r="AA31" s="121">
        <f t="shared" si="14"/>
        <v>0</v>
      </c>
      <c r="AB31" s="121">
        <f t="shared" si="14"/>
        <v>0</v>
      </c>
      <c r="AC31" s="121">
        <f t="shared" si="14"/>
        <v>0</v>
      </c>
      <c r="AD31" s="121">
        <f t="shared" si="14"/>
        <v>0</v>
      </c>
      <c r="AE31" s="121">
        <f t="shared" si="14"/>
        <v>2</v>
      </c>
      <c r="AF31" s="51"/>
      <c r="AG31" s="240">
        <f>N31</f>
        <v>0</v>
      </c>
      <c r="AH31" s="240">
        <f t="shared" ref="AH31:AM46" si="15">O31</f>
        <v>0</v>
      </c>
      <c r="AI31" s="240">
        <f t="shared" si="15"/>
        <v>0</v>
      </c>
      <c r="AJ31" s="240">
        <f t="shared" si="15"/>
        <v>0</v>
      </c>
      <c r="AK31" s="240">
        <f t="shared" si="15"/>
        <v>0</v>
      </c>
      <c r="AL31" s="240">
        <f t="shared" si="15"/>
        <v>0</v>
      </c>
      <c r="AM31" s="240">
        <f t="shared" si="15"/>
        <v>0</v>
      </c>
      <c r="AN31" s="70">
        <f>SUM(AG31:AM31)</f>
        <v>0</v>
      </c>
    </row>
    <row r="32" spans="1:40" x14ac:dyDescent="0.25">
      <c r="A32" t="s">
        <v>32</v>
      </c>
      <c r="B32" s="16"/>
      <c r="C32" s="4"/>
      <c r="D32" s="4"/>
      <c r="E32" s="4"/>
      <c r="F32" s="121">
        <f t="shared" ref="F32:F46" si="16">Y14</f>
        <v>0</v>
      </c>
      <c r="G32" s="121">
        <f t="shared" si="12"/>
        <v>2</v>
      </c>
      <c r="H32" s="121">
        <f t="shared" si="12"/>
        <v>2</v>
      </c>
      <c r="I32" s="121">
        <f t="shared" si="12"/>
        <v>2</v>
      </c>
      <c r="J32" s="121">
        <f t="shared" si="12"/>
        <v>2</v>
      </c>
      <c r="K32" s="121">
        <f t="shared" si="12"/>
        <v>2</v>
      </c>
      <c r="L32" s="121">
        <f t="shared" si="12"/>
        <v>2</v>
      </c>
      <c r="M32" s="51"/>
      <c r="N32" s="240">
        <f t="shared" ref="N32:N46" si="17">AG14</f>
        <v>0</v>
      </c>
      <c r="O32" s="240">
        <f t="shared" si="13"/>
        <v>0</v>
      </c>
      <c r="P32" s="240">
        <f t="shared" si="13"/>
        <v>0</v>
      </c>
      <c r="Q32" s="240">
        <f t="shared" si="13"/>
        <v>0</v>
      </c>
      <c r="R32" s="240">
        <f t="shared" si="13"/>
        <v>0</v>
      </c>
      <c r="S32" s="240">
        <f t="shared" si="13"/>
        <v>0</v>
      </c>
      <c r="T32" s="240">
        <f t="shared" si="13"/>
        <v>0</v>
      </c>
      <c r="U32" s="70">
        <f t="shared" ref="U32" si="18">SUM(N32:T32)</f>
        <v>0</v>
      </c>
      <c r="Y32" s="121">
        <f t="shared" ref="Y32:Y46" si="19">F32</f>
        <v>0</v>
      </c>
      <c r="Z32" s="121">
        <f t="shared" si="14"/>
        <v>2</v>
      </c>
      <c r="AA32" s="121">
        <f t="shared" si="14"/>
        <v>2</v>
      </c>
      <c r="AB32" s="121">
        <f t="shared" si="14"/>
        <v>2</v>
      </c>
      <c r="AC32" s="121">
        <f t="shared" si="14"/>
        <v>2</v>
      </c>
      <c r="AD32" s="121">
        <f t="shared" si="14"/>
        <v>2</v>
      </c>
      <c r="AE32" s="121">
        <f t="shared" si="14"/>
        <v>2</v>
      </c>
      <c r="AF32" s="51"/>
      <c r="AG32" s="240">
        <f t="shared" ref="AG32:AG46" si="20">N32</f>
        <v>0</v>
      </c>
      <c r="AH32" s="240">
        <f t="shared" si="15"/>
        <v>0</v>
      </c>
      <c r="AI32" s="240">
        <f t="shared" si="15"/>
        <v>0</v>
      </c>
      <c r="AJ32" s="240">
        <f t="shared" si="15"/>
        <v>0</v>
      </c>
      <c r="AK32" s="240">
        <f t="shared" si="15"/>
        <v>0</v>
      </c>
      <c r="AL32" s="240">
        <f t="shared" si="15"/>
        <v>0</v>
      </c>
      <c r="AM32" s="240">
        <f t="shared" si="15"/>
        <v>0</v>
      </c>
      <c r="AN32" s="70">
        <f t="shared" ref="AN32" si="21">SUM(AG32:AM32)</f>
        <v>0</v>
      </c>
    </row>
    <row r="33" spans="1:46" x14ac:dyDescent="0.25">
      <c r="A33" t="s">
        <v>33</v>
      </c>
      <c r="B33" s="16"/>
      <c r="C33" s="4"/>
      <c r="D33" s="4"/>
      <c r="E33" s="4"/>
      <c r="F33" s="121">
        <f t="shared" si="16"/>
        <v>0</v>
      </c>
      <c r="G33" s="121">
        <f t="shared" si="12"/>
        <v>2</v>
      </c>
      <c r="H33" s="121">
        <f t="shared" si="12"/>
        <v>2</v>
      </c>
      <c r="I33" s="121">
        <f t="shared" si="12"/>
        <v>2</v>
      </c>
      <c r="J33" s="121">
        <f t="shared" si="12"/>
        <v>2</v>
      </c>
      <c r="K33" s="121">
        <f t="shared" si="12"/>
        <v>2</v>
      </c>
      <c r="L33" s="121">
        <f t="shared" si="12"/>
        <v>2</v>
      </c>
      <c r="M33" s="51"/>
      <c r="N33" s="240">
        <f t="shared" si="17"/>
        <v>0</v>
      </c>
      <c r="O33" s="240">
        <f t="shared" si="13"/>
        <v>0</v>
      </c>
      <c r="P33" s="240">
        <f t="shared" si="13"/>
        <v>0</v>
      </c>
      <c r="Q33" s="240">
        <f t="shared" si="13"/>
        <v>0</v>
      </c>
      <c r="R33" s="240">
        <f t="shared" si="13"/>
        <v>0</v>
      </c>
      <c r="S33" s="240">
        <f t="shared" si="13"/>
        <v>0</v>
      </c>
      <c r="T33" s="240">
        <f t="shared" si="13"/>
        <v>0</v>
      </c>
      <c r="U33" s="70">
        <f>SUM(N33:T33)</f>
        <v>0</v>
      </c>
      <c r="Y33" s="121">
        <f t="shared" si="19"/>
        <v>0</v>
      </c>
      <c r="Z33" s="121">
        <f t="shared" si="14"/>
        <v>2</v>
      </c>
      <c r="AA33" s="121">
        <f t="shared" si="14"/>
        <v>2</v>
      </c>
      <c r="AB33" s="121">
        <f t="shared" si="14"/>
        <v>2</v>
      </c>
      <c r="AC33" s="121">
        <f t="shared" si="14"/>
        <v>2</v>
      </c>
      <c r="AD33" s="121">
        <f t="shared" si="14"/>
        <v>2</v>
      </c>
      <c r="AE33" s="121">
        <f t="shared" si="14"/>
        <v>2</v>
      </c>
      <c r="AF33" s="51"/>
      <c r="AG33" s="240">
        <f t="shared" si="20"/>
        <v>0</v>
      </c>
      <c r="AH33" s="240">
        <f t="shared" si="15"/>
        <v>0</v>
      </c>
      <c r="AI33" s="240">
        <f t="shared" si="15"/>
        <v>0</v>
      </c>
      <c r="AJ33" s="240">
        <f t="shared" si="15"/>
        <v>0</v>
      </c>
      <c r="AK33" s="240">
        <f t="shared" si="15"/>
        <v>0</v>
      </c>
      <c r="AL33" s="240">
        <f t="shared" si="15"/>
        <v>0</v>
      </c>
      <c r="AM33" s="240">
        <f t="shared" si="15"/>
        <v>0</v>
      </c>
      <c r="AN33" s="70">
        <f>SUM(AG33:AM33)</f>
        <v>0</v>
      </c>
    </row>
    <row r="34" spans="1:46" x14ac:dyDescent="0.25">
      <c r="A34" t="s">
        <v>39</v>
      </c>
      <c r="B34" s="16"/>
      <c r="C34" s="4"/>
      <c r="D34" s="4"/>
      <c r="E34" s="4"/>
      <c r="F34" s="121">
        <f t="shared" si="16"/>
        <v>0</v>
      </c>
      <c r="G34" s="121">
        <f t="shared" si="12"/>
        <v>2</v>
      </c>
      <c r="H34" s="121">
        <f t="shared" si="12"/>
        <v>2</v>
      </c>
      <c r="I34" s="121">
        <f t="shared" si="12"/>
        <v>2</v>
      </c>
      <c r="J34" s="121">
        <f t="shared" si="12"/>
        <v>2</v>
      </c>
      <c r="K34" s="121">
        <f t="shared" si="12"/>
        <v>2</v>
      </c>
      <c r="L34" s="121">
        <f t="shared" si="12"/>
        <v>2</v>
      </c>
      <c r="M34" s="51"/>
      <c r="N34" s="240">
        <f t="shared" si="17"/>
        <v>0</v>
      </c>
      <c r="O34" s="240">
        <f t="shared" si="13"/>
        <v>0</v>
      </c>
      <c r="P34" s="240">
        <f t="shared" si="13"/>
        <v>0</v>
      </c>
      <c r="Q34" s="240">
        <f t="shared" si="13"/>
        <v>0</v>
      </c>
      <c r="R34" s="240">
        <f t="shared" si="13"/>
        <v>0</v>
      </c>
      <c r="S34" s="240">
        <f t="shared" si="13"/>
        <v>0</v>
      </c>
      <c r="T34" s="240">
        <f t="shared" si="13"/>
        <v>0</v>
      </c>
      <c r="U34" s="70">
        <f>SUM(N34:T34)</f>
        <v>0</v>
      </c>
      <c r="Y34" s="121">
        <f t="shared" si="19"/>
        <v>0</v>
      </c>
      <c r="Z34" s="121">
        <f t="shared" si="14"/>
        <v>2</v>
      </c>
      <c r="AA34" s="121">
        <f t="shared" si="14"/>
        <v>2</v>
      </c>
      <c r="AB34" s="121">
        <f t="shared" si="14"/>
        <v>2</v>
      </c>
      <c r="AC34" s="121">
        <f t="shared" si="14"/>
        <v>2</v>
      </c>
      <c r="AD34" s="121">
        <f t="shared" si="14"/>
        <v>2</v>
      </c>
      <c r="AE34" s="121">
        <f t="shared" si="14"/>
        <v>2</v>
      </c>
      <c r="AF34" s="51"/>
      <c r="AG34" s="240">
        <f t="shared" si="20"/>
        <v>0</v>
      </c>
      <c r="AH34" s="240">
        <f t="shared" si="15"/>
        <v>0</v>
      </c>
      <c r="AI34" s="240">
        <f t="shared" si="15"/>
        <v>0</v>
      </c>
      <c r="AJ34" s="240">
        <f t="shared" si="15"/>
        <v>0</v>
      </c>
      <c r="AK34" s="240">
        <f t="shared" si="15"/>
        <v>0</v>
      </c>
      <c r="AL34" s="240">
        <f t="shared" si="15"/>
        <v>0</v>
      </c>
      <c r="AM34" s="240">
        <f t="shared" si="15"/>
        <v>0</v>
      </c>
      <c r="AN34" s="70">
        <f>SUM(AG34:AM34)</f>
        <v>0</v>
      </c>
    </row>
    <row r="35" spans="1:46" x14ac:dyDescent="0.25">
      <c r="A35" t="s">
        <v>41</v>
      </c>
      <c r="B35" s="16"/>
      <c r="C35" s="4"/>
      <c r="D35" s="4"/>
      <c r="E35" s="4"/>
      <c r="F35" s="121">
        <f t="shared" si="16"/>
        <v>0</v>
      </c>
      <c r="G35" s="121">
        <f t="shared" si="12"/>
        <v>2</v>
      </c>
      <c r="H35" s="121">
        <f t="shared" si="12"/>
        <v>2</v>
      </c>
      <c r="I35" s="121">
        <f t="shared" si="12"/>
        <v>2</v>
      </c>
      <c r="J35" s="121">
        <f t="shared" si="12"/>
        <v>2</v>
      </c>
      <c r="K35" s="121">
        <f t="shared" si="12"/>
        <v>2</v>
      </c>
      <c r="L35" s="121">
        <f t="shared" si="12"/>
        <v>2</v>
      </c>
      <c r="M35" s="51"/>
      <c r="N35" s="240">
        <f t="shared" si="17"/>
        <v>0</v>
      </c>
      <c r="O35" s="240">
        <f t="shared" si="13"/>
        <v>0</v>
      </c>
      <c r="P35" s="240">
        <f t="shared" si="13"/>
        <v>0</v>
      </c>
      <c r="Q35" s="240">
        <f t="shared" si="13"/>
        <v>0</v>
      </c>
      <c r="R35" s="240">
        <f t="shared" si="13"/>
        <v>0</v>
      </c>
      <c r="S35" s="240">
        <f t="shared" si="13"/>
        <v>0</v>
      </c>
      <c r="T35" s="240">
        <f t="shared" si="13"/>
        <v>0</v>
      </c>
      <c r="U35" s="70">
        <f t="shared" ref="U35:U42" si="22">SUM(N35:T35)</f>
        <v>0</v>
      </c>
      <c r="Y35" s="121">
        <f t="shared" si="19"/>
        <v>0</v>
      </c>
      <c r="Z35" s="121">
        <f t="shared" si="14"/>
        <v>2</v>
      </c>
      <c r="AA35" s="121">
        <f t="shared" si="14"/>
        <v>2</v>
      </c>
      <c r="AB35" s="121">
        <f t="shared" si="14"/>
        <v>2</v>
      </c>
      <c r="AC35" s="121">
        <f t="shared" si="14"/>
        <v>2</v>
      </c>
      <c r="AD35" s="121">
        <f t="shared" si="14"/>
        <v>2</v>
      </c>
      <c r="AE35" s="121">
        <f t="shared" si="14"/>
        <v>2</v>
      </c>
      <c r="AF35" s="51"/>
      <c r="AG35" s="240">
        <f t="shared" si="20"/>
        <v>0</v>
      </c>
      <c r="AH35" s="240">
        <f t="shared" si="15"/>
        <v>0</v>
      </c>
      <c r="AI35" s="240">
        <f t="shared" si="15"/>
        <v>0</v>
      </c>
      <c r="AJ35" s="240">
        <f t="shared" si="15"/>
        <v>0</v>
      </c>
      <c r="AK35" s="240">
        <f t="shared" si="15"/>
        <v>0</v>
      </c>
      <c r="AL35" s="240">
        <f t="shared" si="15"/>
        <v>0</v>
      </c>
      <c r="AM35" s="240">
        <f t="shared" si="15"/>
        <v>0</v>
      </c>
      <c r="AN35" s="70">
        <f t="shared" ref="AN35:AN42" si="23">SUM(AG35:AM35)</f>
        <v>0</v>
      </c>
    </row>
    <row r="36" spans="1:46" x14ac:dyDescent="0.25">
      <c r="A36" t="s">
        <v>38</v>
      </c>
      <c r="B36" s="16"/>
      <c r="C36" s="4"/>
      <c r="D36" s="4"/>
      <c r="E36" s="4"/>
      <c r="F36" s="121">
        <f t="shared" si="16"/>
        <v>0</v>
      </c>
      <c r="G36" s="121">
        <f t="shared" si="12"/>
        <v>2</v>
      </c>
      <c r="H36" s="121">
        <f t="shared" si="12"/>
        <v>2</v>
      </c>
      <c r="I36" s="121">
        <f t="shared" si="12"/>
        <v>2</v>
      </c>
      <c r="J36" s="121">
        <f t="shared" si="12"/>
        <v>2</v>
      </c>
      <c r="K36" s="121">
        <f t="shared" si="12"/>
        <v>2</v>
      </c>
      <c r="L36" s="121">
        <f t="shared" si="12"/>
        <v>2</v>
      </c>
      <c r="M36" s="51"/>
      <c r="N36" s="240">
        <f t="shared" si="17"/>
        <v>0</v>
      </c>
      <c r="O36" s="240">
        <f t="shared" si="13"/>
        <v>0</v>
      </c>
      <c r="P36" s="240">
        <f t="shared" si="13"/>
        <v>0</v>
      </c>
      <c r="Q36" s="240">
        <f t="shared" si="13"/>
        <v>0</v>
      </c>
      <c r="R36" s="240">
        <f t="shared" si="13"/>
        <v>0</v>
      </c>
      <c r="S36" s="240">
        <f t="shared" si="13"/>
        <v>0</v>
      </c>
      <c r="T36" s="240">
        <f t="shared" si="13"/>
        <v>0</v>
      </c>
      <c r="U36" s="70">
        <f t="shared" si="22"/>
        <v>0</v>
      </c>
      <c r="Y36" s="121">
        <f t="shared" si="19"/>
        <v>0</v>
      </c>
      <c r="Z36" s="121">
        <f t="shared" si="14"/>
        <v>2</v>
      </c>
      <c r="AA36" s="121">
        <f t="shared" si="14"/>
        <v>2</v>
      </c>
      <c r="AB36" s="121">
        <f t="shared" si="14"/>
        <v>2</v>
      </c>
      <c r="AC36" s="121">
        <f t="shared" si="14"/>
        <v>2</v>
      </c>
      <c r="AD36" s="121">
        <f t="shared" si="14"/>
        <v>2</v>
      </c>
      <c r="AE36" s="121">
        <f t="shared" si="14"/>
        <v>2</v>
      </c>
      <c r="AF36" s="51"/>
      <c r="AG36" s="240">
        <f t="shared" si="20"/>
        <v>0</v>
      </c>
      <c r="AH36" s="240">
        <f t="shared" si="15"/>
        <v>0</v>
      </c>
      <c r="AI36" s="240">
        <f t="shared" si="15"/>
        <v>0</v>
      </c>
      <c r="AJ36" s="240">
        <f t="shared" si="15"/>
        <v>0</v>
      </c>
      <c r="AK36" s="240">
        <f t="shared" si="15"/>
        <v>0</v>
      </c>
      <c r="AL36" s="240">
        <f t="shared" si="15"/>
        <v>0</v>
      </c>
      <c r="AM36" s="240">
        <f t="shared" si="15"/>
        <v>0</v>
      </c>
      <c r="AN36" s="70">
        <f t="shared" si="23"/>
        <v>0</v>
      </c>
    </row>
    <row r="37" spans="1:46" x14ac:dyDescent="0.25">
      <c r="A37" t="s">
        <v>35</v>
      </c>
      <c r="B37" s="16"/>
      <c r="C37" s="4"/>
      <c r="D37" s="4"/>
      <c r="E37" s="4"/>
      <c r="F37" s="121">
        <f t="shared" si="16"/>
        <v>0</v>
      </c>
      <c r="G37" s="121">
        <f t="shared" si="12"/>
        <v>2</v>
      </c>
      <c r="H37" s="121">
        <f t="shared" si="12"/>
        <v>2</v>
      </c>
      <c r="I37" s="121">
        <f t="shared" si="12"/>
        <v>2</v>
      </c>
      <c r="J37" s="121">
        <f t="shared" si="12"/>
        <v>2</v>
      </c>
      <c r="K37" s="121">
        <f t="shared" si="12"/>
        <v>2</v>
      </c>
      <c r="L37" s="121">
        <f t="shared" si="12"/>
        <v>2</v>
      </c>
      <c r="M37" s="51"/>
      <c r="N37" s="240">
        <f t="shared" si="17"/>
        <v>0</v>
      </c>
      <c r="O37" s="240">
        <f t="shared" si="13"/>
        <v>0</v>
      </c>
      <c r="P37" s="240">
        <f t="shared" si="13"/>
        <v>0</v>
      </c>
      <c r="Q37" s="240">
        <f t="shared" si="13"/>
        <v>0</v>
      </c>
      <c r="R37" s="240">
        <f t="shared" si="13"/>
        <v>0</v>
      </c>
      <c r="S37" s="240">
        <f t="shared" si="13"/>
        <v>0</v>
      </c>
      <c r="T37" s="240">
        <f t="shared" si="13"/>
        <v>0</v>
      </c>
      <c r="U37" s="70">
        <f t="shared" si="22"/>
        <v>0</v>
      </c>
      <c r="Y37" s="121">
        <f t="shared" si="19"/>
        <v>0</v>
      </c>
      <c r="Z37" s="121">
        <f t="shared" si="14"/>
        <v>2</v>
      </c>
      <c r="AA37" s="121">
        <f t="shared" si="14"/>
        <v>2</v>
      </c>
      <c r="AB37" s="121">
        <f t="shared" si="14"/>
        <v>2</v>
      </c>
      <c r="AC37" s="121">
        <f t="shared" si="14"/>
        <v>2</v>
      </c>
      <c r="AD37" s="121">
        <f t="shared" si="14"/>
        <v>2</v>
      </c>
      <c r="AE37" s="121">
        <f t="shared" si="14"/>
        <v>2</v>
      </c>
      <c r="AF37" s="51"/>
      <c r="AG37" s="240">
        <f t="shared" si="20"/>
        <v>0</v>
      </c>
      <c r="AH37" s="240">
        <f t="shared" si="15"/>
        <v>0</v>
      </c>
      <c r="AI37" s="240">
        <f t="shared" si="15"/>
        <v>0</v>
      </c>
      <c r="AJ37" s="240">
        <f t="shared" si="15"/>
        <v>0</v>
      </c>
      <c r="AK37" s="240">
        <f t="shared" si="15"/>
        <v>0</v>
      </c>
      <c r="AL37" s="240">
        <f t="shared" si="15"/>
        <v>0</v>
      </c>
      <c r="AM37" s="240">
        <f t="shared" si="15"/>
        <v>0</v>
      </c>
      <c r="AN37" s="70">
        <f t="shared" si="23"/>
        <v>0</v>
      </c>
      <c r="AP37" s="244" t="s">
        <v>92</v>
      </c>
      <c r="AQ37" s="244">
        <v>33</v>
      </c>
      <c r="AR37" s="244" t="s">
        <v>90</v>
      </c>
      <c r="AS37" s="244">
        <v>15</v>
      </c>
    </row>
    <row r="38" spans="1:46" x14ac:dyDescent="0.25">
      <c r="A38" t="s">
        <v>31</v>
      </c>
      <c r="B38" s="16"/>
      <c r="C38" s="4"/>
      <c r="D38" s="4"/>
      <c r="E38" s="4"/>
      <c r="F38" s="121">
        <f t="shared" si="16"/>
        <v>0</v>
      </c>
      <c r="G38" s="121">
        <f t="shared" si="12"/>
        <v>2</v>
      </c>
      <c r="H38" s="121">
        <f t="shared" si="12"/>
        <v>2</v>
      </c>
      <c r="I38" s="121">
        <f t="shared" si="12"/>
        <v>2</v>
      </c>
      <c r="J38" s="121">
        <f t="shared" si="12"/>
        <v>2</v>
      </c>
      <c r="K38" s="121">
        <f t="shared" si="12"/>
        <v>2</v>
      </c>
      <c r="L38" s="121">
        <f t="shared" si="12"/>
        <v>2</v>
      </c>
      <c r="M38" s="51"/>
      <c r="N38" s="240">
        <f t="shared" si="17"/>
        <v>0</v>
      </c>
      <c r="O38" s="240">
        <f t="shared" si="13"/>
        <v>0</v>
      </c>
      <c r="P38" s="240">
        <f t="shared" si="13"/>
        <v>0</v>
      </c>
      <c r="Q38" s="240">
        <f t="shared" si="13"/>
        <v>0</v>
      </c>
      <c r="R38" s="240">
        <f t="shared" si="13"/>
        <v>0</v>
      </c>
      <c r="S38" s="240">
        <f t="shared" si="13"/>
        <v>0</v>
      </c>
      <c r="T38" s="240">
        <f t="shared" si="13"/>
        <v>0</v>
      </c>
      <c r="U38" s="70">
        <f t="shared" si="22"/>
        <v>0</v>
      </c>
      <c r="Y38" s="121">
        <f t="shared" si="19"/>
        <v>0</v>
      </c>
      <c r="Z38" s="121">
        <f t="shared" si="14"/>
        <v>2</v>
      </c>
      <c r="AA38" s="121">
        <f t="shared" si="14"/>
        <v>2</v>
      </c>
      <c r="AB38" s="121">
        <f t="shared" si="14"/>
        <v>2</v>
      </c>
      <c r="AC38" s="121">
        <f t="shared" si="14"/>
        <v>2</v>
      </c>
      <c r="AD38" s="121">
        <f t="shared" si="14"/>
        <v>2</v>
      </c>
      <c r="AE38" s="121">
        <f t="shared" si="14"/>
        <v>2</v>
      </c>
      <c r="AF38" s="51"/>
      <c r="AG38" s="240">
        <f t="shared" si="20"/>
        <v>0</v>
      </c>
      <c r="AH38" s="240">
        <f t="shared" si="15"/>
        <v>0</v>
      </c>
      <c r="AI38" s="240">
        <f t="shared" si="15"/>
        <v>0</v>
      </c>
      <c r="AJ38" s="240">
        <f t="shared" si="15"/>
        <v>0</v>
      </c>
      <c r="AK38" s="240">
        <f t="shared" si="15"/>
        <v>0</v>
      </c>
      <c r="AL38" s="240">
        <f t="shared" si="15"/>
        <v>0</v>
      </c>
      <c r="AM38" s="240">
        <f t="shared" si="15"/>
        <v>0</v>
      </c>
      <c r="AN38" s="70">
        <f t="shared" si="23"/>
        <v>0</v>
      </c>
      <c r="AQ38">
        <f>AQ37*7</f>
        <v>231</v>
      </c>
      <c r="AS38">
        <f>AS37*7</f>
        <v>105</v>
      </c>
      <c r="AT38">
        <f>AQ38+AS38</f>
        <v>336</v>
      </c>
    </row>
    <row r="39" spans="1:46" x14ac:dyDescent="0.25">
      <c r="A39" t="s">
        <v>43</v>
      </c>
      <c r="B39" s="16" t="s">
        <v>384</v>
      </c>
      <c r="C39" s="4" t="s">
        <v>0</v>
      </c>
      <c r="D39" s="4">
        <v>18</v>
      </c>
      <c r="E39" s="4">
        <v>80</v>
      </c>
      <c r="F39" s="121">
        <f t="shared" si="16"/>
        <v>0</v>
      </c>
      <c r="G39" s="121">
        <v>7</v>
      </c>
      <c r="H39" s="121">
        <v>10</v>
      </c>
      <c r="I39" s="121">
        <f t="shared" si="12"/>
        <v>2</v>
      </c>
      <c r="J39" s="121">
        <f t="shared" si="12"/>
        <v>2</v>
      </c>
      <c r="K39" s="121">
        <f t="shared" si="12"/>
        <v>2</v>
      </c>
      <c r="L39" s="121">
        <f t="shared" si="12"/>
        <v>2</v>
      </c>
      <c r="M39" s="51">
        <f>(2910+225)*1.008</f>
        <v>3160.08</v>
      </c>
      <c r="N39" s="240">
        <f t="shared" si="17"/>
        <v>0</v>
      </c>
      <c r="O39" s="240">
        <v>18</v>
      </c>
      <c r="P39" s="240">
        <v>33</v>
      </c>
      <c r="Q39" s="240">
        <f t="shared" si="13"/>
        <v>0</v>
      </c>
      <c r="R39" s="240">
        <f t="shared" si="13"/>
        <v>0</v>
      </c>
      <c r="S39" s="240">
        <f t="shared" si="13"/>
        <v>0</v>
      </c>
      <c r="T39" s="240">
        <f t="shared" si="13"/>
        <v>0</v>
      </c>
      <c r="U39" s="70">
        <f t="shared" si="22"/>
        <v>51</v>
      </c>
      <c r="W39">
        <f>D39+3</f>
        <v>21</v>
      </c>
      <c r="X39">
        <f>E39+$AT$41</f>
        <v>80</v>
      </c>
      <c r="Y39" s="121">
        <f t="shared" si="19"/>
        <v>0</v>
      </c>
      <c r="Z39" s="121">
        <f t="shared" si="14"/>
        <v>7</v>
      </c>
      <c r="AA39" s="121">
        <v>12</v>
      </c>
      <c r="AB39" s="121">
        <f t="shared" si="14"/>
        <v>2</v>
      </c>
      <c r="AC39" s="121">
        <f t="shared" si="14"/>
        <v>2</v>
      </c>
      <c r="AD39" s="121">
        <v>10</v>
      </c>
      <c r="AE39" s="121">
        <f t="shared" si="14"/>
        <v>2</v>
      </c>
      <c r="AF39" s="51">
        <f>(8670+1315+225)*1.008</f>
        <v>10291.68</v>
      </c>
      <c r="AG39" s="240">
        <f t="shared" si="20"/>
        <v>0</v>
      </c>
      <c r="AH39" s="240">
        <f t="shared" si="15"/>
        <v>18</v>
      </c>
      <c r="AI39" s="240">
        <v>48</v>
      </c>
      <c r="AJ39" s="240">
        <f t="shared" si="15"/>
        <v>0</v>
      </c>
      <c r="AK39" s="240">
        <f t="shared" si="15"/>
        <v>0</v>
      </c>
      <c r="AL39" s="240">
        <v>33</v>
      </c>
      <c r="AM39" s="240">
        <f t="shared" si="15"/>
        <v>0</v>
      </c>
      <c r="AN39" s="70">
        <f t="shared" si="23"/>
        <v>99</v>
      </c>
      <c r="AQ39">
        <f>AQ38-112</f>
        <v>119</v>
      </c>
      <c r="AT39">
        <f>AT38-112</f>
        <v>224</v>
      </c>
    </row>
    <row r="40" spans="1:46" x14ac:dyDescent="0.25">
      <c r="A40" t="s">
        <v>37</v>
      </c>
      <c r="B40" s="16" t="s">
        <v>384</v>
      </c>
      <c r="C40" s="4" t="s">
        <v>0</v>
      </c>
      <c r="D40" s="4">
        <v>18</v>
      </c>
      <c r="E40" s="4">
        <v>80</v>
      </c>
      <c r="F40" s="121">
        <f t="shared" si="16"/>
        <v>0</v>
      </c>
      <c r="G40" s="121">
        <v>7</v>
      </c>
      <c r="H40" s="121">
        <v>10</v>
      </c>
      <c r="I40" s="121">
        <f t="shared" si="12"/>
        <v>2</v>
      </c>
      <c r="J40" s="121">
        <f t="shared" si="12"/>
        <v>2</v>
      </c>
      <c r="K40" s="121">
        <f t="shared" si="12"/>
        <v>2</v>
      </c>
      <c r="L40" s="121">
        <f t="shared" si="12"/>
        <v>2</v>
      </c>
      <c r="M40" s="51">
        <f>(2910+225)*1.008</f>
        <v>3160.08</v>
      </c>
      <c r="N40" s="240">
        <f t="shared" si="17"/>
        <v>0</v>
      </c>
      <c r="O40" s="240">
        <v>18</v>
      </c>
      <c r="P40" s="240">
        <v>33</v>
      </c>
      <c r="Q40" s="240">
        <f t="shared" si="13"/>
        <v>0</v>
      </c>
      <c r="R40" s="240">
        <f t="shared" si="13"/>
        <v>0</v>
      </c>
      <c r="S40" s="240">
        <f t="shared" si="13"/>
        <v>0</v>
      </c>
      <c r="T40" s="240">
        <f t="shared" si="13"/>
        <v>0</v>
      </c>
      <c r="U40" s="70">
        <f t="shared" si="22"/>
        <v>51</v>
      </c>
      <c r="W40">
        <f t="shared" ref="W40:W44" si="24">D40+3</f>
        <v>21</v>
      </c>
      <c r="X40">
        <f t="shared" ref="X40:X44" si="25">E40+$AT$41</f>
        <v>80</v>
      </c>
      <c r="Y40" s="121">
        <f t="shared" si="19"/>
        <v>0</v>
      </c>
      <c r="Z40" s="121">
        <f t="shared" si="14"/>
        <v>7</v>
      </c>
      <c r="AA40" s="121">
        <v>12</v>
      </c>
      <c r="AB40" s="121">
        <f t="shared" si="14"/>
        <v>2</v>
      </c>
      <c r="AC40" s="121">
        <f t="shared" si="14"/>
        <v>2</v>
      </c>
      <c r="AD40" s="121">
        <v>10</v>
      </c>
      <c r="AE40" s="121">
        <f t="shared" si="14"/>
        <v>2</v>
      </c>
      <c r="AF40" s="51">
        <f>AF39</f>
        <v>10291.68</v>
      </c>
      <c r="AG40" s="240">
        <f t="shared" si="20"/>
        <v>0</v>
      </c>
      <c r="AH40" s="240">
        <f t="shared" si="15"/>
        <v>18</v>
      </c>
      <c r="AI40" s="240">
        <v>48</v>
      </c>
      <c r="AJ40" s="240">
        <f t="shared" si="15"/>
        <v>0</v>
      </c>
      <c r="AK40" s="240">
        <f t="shared" si="15"/>
        <v>0</v>
      </c>
      <c r="AL40" s="240">
        <v>33</v>
      </c>
      <c r="AM40" s="240">
        <f t="shared" si="15"/>
        <v>0</v>
      </c>
      <c r="AN40" s="70">
        <f t="shared" si="23"/>
        <v>99</v>
      </c>
      <c r="AQ40">
        <f>AQ39-112</f>
        <v>7</v>
      </c>
      <c r="AT40">
        <f>AT39-112</f>
        <v>112</v>
      </c>
    </row>
    <row r="41" spans="1:46" x14ac:dyDescent="0.25">
      <c r="A41" t="s">
        <v>36</v>
      </c>
      <c r="B41" s="16" t="s">
        <v>384</v>
      </c>
      <c r="C41" s="4" t="s">
        <v>0</v>
      </c>
      <c r="D41" s="4">
        <v>18</v>
      </c>
      <c r="E41" s="4">
        <v>80</v>
      </c>
      <c r="F41" s="121">
        <f t="shared" si="16"/>
        <v>0</v>
      </c>
      <c r="G41" s="121">
        <v>7</v>
      </c>
      <c r="H41" s="121">
        <v>10</v>
      </c>
      <c r="I41" s="121">
        <f t="shared" si="12"/>
        <v>2</v>
      </c>
      <c r="J41" s="121">
        <f t="shared" si="12"/>
        <v>2</v>
      </c>
      <c r="K41" s="121">
        <f t="shared" si="12"/>
        <v>2</v>
      </c>
      <c r="L41" s="121">
        <f t="shared" si="12"/>
        <v>2</v>
      </c>
      <c r="M41" s="51">
        <f>(2910+225)*1.008</f>
        <v>3160.08</v>
      </c>
      <c r="N41" s="240">
        <f t="shared" si="17"/>
        <v>0</v>
      </c>
      <c r="O41" s="240">
        <v>18</v>
      </c>
      <c r="P41" s="240">
        <v>33</v>
      </c>
      <c r="Q41" s="240">
        <f t="shared" si="13"/>
        <v>0</v>
      </c>
      <c r="R41" s="240">
        <f t="shared" si="13"/>
        <v>0</v>
      </c>
      <c r="S41" s="240">
        <f t="shared" si="13"/>
        <v>0</v>
      </c>
      <c r="T41" s="240">
        <f t="shared" si="13"/>
        <v>0</v>
      </c>
      <c r="U41" s="70">
        <f t="shared" si="22"/>
        <v>51</v>
      </c>
      <c r="W41">
        <f t="shared" si="24"/>
        <v>21</v>
      </c>
      <c r="X41">
        <f t="shared" si="25"/>
        <v>80</v>
      </c>
      <c r="Y41" s="121">
        <f t="shared" si="19"/>
        <v>0</v>
      </c>
      <c r="Z41" s="121">
        <f t="shared" si="14"/>
        <v>7</v>
      </c>
      <c r="AA41" s="121">
        <v>12</v>
      </c>
      <c r="AB41" s="121">
        <f t="shared" si="14"/>
        <v>2</v>
      </c>
      <c r="AC41" s="121">
        <f t="shared" si="14"/>
        <v>2</v>
      </c>
      <c r="AD41" s="121">
        <v>10</v>
      </c>
      <c r="AE41" s="121">
        <f t="shared" si="14"/>
        <v>2</v>
      </c>
      <c r="AF41" s="51">
        <f>AF40</f>
        <v>10291.68</v>
      </c>
      <c r="AG41" s="240">
        <f t="shared" si="20"/>
        <v>0</v>
      </c>
      <c r="AH41" s="240">
        <f t="shared" si="15"/>
        <v>18</v>
      </c>
      <c r="AI41" s="240">
        <v>48</v>
      </c>
      <c r="AJ41" s="240">
        <f t="shared" si="15"/>
        <v>0</v>
      </c>
      <c r="AK41" s="240">
        <f t="shared" si="15"/>
        <v>0</v>
      </c>
      <c r="AL41" s="240">
        <v>33</v>
      </c>
      <c r="AM41" s="240">
        <f t="shared" si="15"/>
        <v>0</v>
      </c>
      <c r="AN41" s="70">
        <f t="shared" si="23"/>
        <v>99</v>
      </c>
      <c r="AT41">
        <f>AT40-112</f>
        <v>0</v>
      </c>
    </row>
    <row r="42" spans="1:46" x14ac:dyDescent="0.25">
      <c r="A42" t="s">
        <v>40</v>
      </c>
      <c r="B42" s="16" t="str">
        <f>B24</f>
        <v>E. Cubas</v>
      </c>
      <c r="C42" s="4" t="str">
        <f>C24</f>
        <v>RAP</v>
      </c>
      <c r="D42" s="4">
        <f>W24</f>
        <v>18</v>
      </c>
      <c r="E42" s="4">
        <f>X24</f>
        <v>95.5</v>
      </c>
      <c r="F42" s="121">
        <f t="shared" si="16"/>
        <v>0</v>
      </c>
      <c r="G42" s="121">
        <f t="shared" si="12"/>
        <v>2</v>
      </c>
      <c r="H42" s="121">
        <f t="shared" si="12"/>
        <v>5.7</v>
      </c>
      <c r="I42" s="121">
        <f t="shared" si="12"/>
        <v>9.5</v>
      </c>
      <c r="J42" s="121">
        <f t="shared" si="12"/>
        <v>8.6</v>
      </c>
      <c r="K42" s="121">
        <f t="shared" si="12"/>
        <v>3</v>
      </c>
      <c r="L42" s="121">
        <f t="shared" si="12"/>
        <v>2</v>
      </c>
      <c r="M42" s="51">
        <f>AF24</f>
        <v>2449.44</v>
      </c>
      <c r="N42" s="240">
        <f t="shared" si="17"/>
        <v>0</v>
      </c>
      <c r="O42" s="240">
        <f t="shared" si="13"/>
        <v>0</v>
      </c>
      <c r="P42" s="240">
        <f t="shared" si="13"/>
        <v>11</v>
      </c>
      <c r="Q42" s="240">
        <f t="shared" si="13"/>
        <v>20.5</v>
      </c>
      <c r="R42" s="240">
        <f t="shared" si="13"/>
        <v>21</v>
      </c>
      <c r="S42" s="240">
        <f t="shared" si="13"/>
        <v>2</v>
      </c>
      <c r="T42" s="240">
        <f t="shared" si="13"/>
        <v>0</v>
      </c>
      <c r="U42" s="70">
        <f t="shared" si="22"/>
        <v>54.5</v>
      </c>
      <c r="W42">
        <f t="shared" si="24"/>
        <v>21</v>
      </c>
      <c r="X42">
        <f t="shared" si="25"/>
        <v>95.5</v>
      </c>
      <c r="Y42" s="121">
        <f t="shared" si="19"/>
        <v>0</v>
      </c>
      <c r="Z42" s="121">
        <f t="shared" si="14"/>
        <v>2</v>
      </c>
      <c r="AA42" s="121">
        <v>9</v>
      </c>
      <c r="AB42" s="121">
        <f t="shared" si="14"/>
        <v>9.5</v>
      </c>
      <c r="AC42" s="121">
        <f t="shared" si="14"/>
        <v>8.6</v>
      </c>
      <c r="AD42" s="121">
        <f>10+2/7</f>
        <v>10.285714285714286</v>
      </c>
      <c r="AE42" s="121">
        <f t="shared" si="14"/>
        <v>2</v>
      </c>
      <c r="AF42" s="51">
        <f>(2850+620+170+785)*1.008</f>
        <v>4460.3999999999996</v>
      </c>
      <c r="AG42" s="240">
        <f t="shared" si="20"/>
        <v>0</v>
      </c>
      <c r="AH42" s="240">
        <f t="shared" si="15"/>
        <v>0</v>
      </c>
      <c r="AI42" s="240">
        <f>P42+15</f>
        <v>26</v>
      </c>
      <c r="AJ42" s="240">
        <f t="shared" si="15"/>
        <v>20.5</v>
      </c>
      <c r="AK42" s="240">
        <f t="shared" si="15"/>
        <v>21</v>
      </c>
      <c r="AL42" s="240">
        <f>2+33</f>
        <v>35</v>
      </c>
      <c r="AM42" s="240">
        <f t="shared" si="15"/>
        <v>0</v>
      </c>
      <c r="AN42" s="70">
        <f t="shared" si="23"/>
        <v>102.5</v>
      </c>
    </row>
    <row r="43" spans="1:46" x14ac:dyDescent="0.25">
      <c r="A43" t="s">
        <v>34</v>
      </c>
      <c r="B43" s="16" t="str">
        <f t="shared" ref="B43:C44" si="26">B25</f>
        <v>V. Gomis</v>
      </c>
      <c r="C43" s="4" t="str">
        <f t="shared" si="26"/>
        <v>IMP</v>
      </c>
      <c r="D43" s="4">
        <f t="shared" ref="D43:E44" si="27">W25</f>
        <v>18</v>
      </c>
      <c r="E43" s="4">
        <f t="shared" si="27"/>
        <v>99.5</v>
      </c>
      <c r="F43" s="121">
        <f t="shared" si="16"/>
        <v>0</v>
      </c>
      <c r="G43" s="121">
        <f t="shared" si="12"/>
        <v>6</v>
      </c>
      <c r="H43" s="121">
        <f t="shared" si="12"/>
        <v>3</v>
      </c>
      <c r="I43" s="121">
        <f t="shared" si="12"/>
        <v>8</v>
      </c>
      <c r="J43" s="121">
        <f t="shared" si="12"/>
        <v>8.6</v>
      </c>
      <c r="K43" s="121">
        <f t="shared" si="12"/>
        <v>2</v>
      </c>
      <c r="L43" s="121">
        <f t="shared" si="12"/>
        <v>0</v>
      </c>
      <c r="M43" s="51">
        <f t="shared" si="12"/>
        <v>1450</v>
      </c>
      <c r="N43" s="240">
        <f t="shared" si="17"/>
        <v>0</v>
      </c>
      <c r="O43" s="240">
        <f t="shared" si="13"/>
        <v>14</v>
      </c>
      <c r="P43" s="240">
        <f t="shared" si="13"/>
        <v>3</v>
      </c>
      <c r="Q43" s="240">
        <f t="shared" si="13"/>
        <v>15</v>
      </c>
      <c r="R43" s="240">
        <f t="shared" si="13"/>
        <v>21</v>
      </c>
      <c r="S43" s="240">
        <f t="shared" si="13"/>
        <v>0</v>
      </c>
      <c r="T43" s="240">
        <f t="shared" si="13"/>
        <v>-2</v>
      </c>
      <c r="U43" s="70">
        <f>SUM(N43:T43)</f>
        <v>51</v>
      </c>
      <c r="W43">
        <f t="shared" si="24"/>
        <v>21</v>
      </c>
      <c r="X43">
        <f t="shared" si="25"/>
        <v>99.5</v>
      </c>
      <c r="Y43" s="121">
        <f t="shared" si="19"/>
        <v>0</v>
      </c>
      <c r="Z43" s="121">
        <f t="shared" si="14"/>
        <v>6</v>
      </c>
      <c r="AA43" s="121">
        <v>7.5</v>
      </c>
      <c r="AB43" s="121">
        <f t="shared" si="14"/>
        <v>8</v>
      </c>
      <c r="AC43" s="121">
        <f t="shared" si="14"/>
        <v>8.6</v>
      </c>
      <c r="AD43" s="121">
        <v>10</v>
      </c>
      <c r="AE43" s="121">
        <f t="shared" si="14"/>
        <v>0</v>
      </c>
      <c r="AF43" s="51">
        <f>(2630+140+275+165+330)*1</f>
        <v>3540</v>
      </c>
      <c r="AG43" s="240">
        <f t="shared" si="20"/>
        <v>0</v>
      </c>
      <c r="AH43" s="240">
        <f t="shared" si="15"/>
        <v>14</v>
      </c>
      <c r="AI43" s="240">
        <f>P43+15</f>
        <v>18</v>
      </c>
      <c r="AJ43" s="240">
        <f t="shared" si="15"/>
        <v>15</v>
      </c>
      <c r="AK43" s="240">
        <f t="shared" si="15"/>
        <v>21</v>
      </c>
      <c r="AL43" s="240">
        <v>33</v>
      </c>
      <c r="AM43" s="240">
        <f t="shared" si="15"/>
        <v>-2</v>
      </c>
      <c r="AN43" s="70">
        <f>SUM(AG43:AM43)</f>
        <v>99</v>
      </c>
    </row>
    <row r="44" spans="1:46" x14ac:dyDescent="0.25">
      <c r="A44" t="s">
        <v>42</v>
      </c>
      <c r="B44" s="16" t="str">
        <f t="shared" si="26"/>
        <v>J.G. Peñuela</v>
      </c>
      <c r="C44" s="4" t="str">
        <f t="shared" si="26"/>
        <v>IMP</v>
      </c>
      <c r="D44" s="4">
        <f t="shared" si="27"/>
        <v>18</v>
      </c>
      <c r="E44" s="4">
        <f t="shared" si="27"/>
        <v>95.5</v>
      </c>
      <c r="F44" s="121">
        <f t="shared" si="16"/>
        <v>0</v>
      </c>
      <c r="G44" s="121">
        <f t="shared" si="12"/>
        <v>3</v>
      </c>
      <c r="H44" s="121">
        <f t="shared" si="12"/>
        <v>5</v>
      </c>
      <c r="I44" s="121">
        <f t="shared" si="12"/>
        <v>8.8333333333333339</v>
      </c>
      <c r="J44" s="121">
        <f t="shared" si="12"/>
        <v>8</v>
      </c>
      <c r="K44" s="121">
        <f t="shared" si="12"/>
        <v>3</v>
      </c>
      <c r="L44" s="121">
        <f t="shared" si="12"/>
        <v>0</v>
      </c>
      <c r="M44" s="51">
        <f t="shared" si="12"/>
        <v>1745</v>
      </c>
      <c r="N44" s="240">
        <f t="shared" si="17"/>
        <v>0</v>
      </c>
      <c r="O44" s="240">
        <f t="shared" si="13"/>
        <v>3</v>
      </c>
      <c r="P44" s="240">
        <f t="shared" si="13"/>
        <v>9</v>
      </c>
      <c r="Q44" s="240">
        <f t="shared" si="13"/>
        <v>17.5</v>
      </c>
      <c r="R44" s="240">
        <f t="shared" si="13"/>
        <v>18</v>
      </c>
      <c r="S44" s="240">
        <f t="shared" si="13"/>
        <v>2</v>
      </c>
      <c r="T44" s="240">
        <f t="shared" si="13"/>
        <v>-2</v>
      </c>
      <c r="U44" s="70">
        <f>SUM(N44:T44)</f>
        <v>47.5</v>
      </c>
      <c r="W44">
        <f t="shared" si="24"/>
        <v>21</v>
      </c>
      <c r="X44">
        <f t="shared" si="25"/>
        <v>95.5</v>
      </c>
      <c r="Y44" s="121">
        <f t="shared" si="19"/>
        <v>0</v>
      </c>
      <c r="Z44" s="121">
        <f t="shared" si="14"/>
        <v>3</v>
      </c>
      <c r="AA44" s="121">
        <f>8+3/5</f>
        <v>8.6</v>
      </c>
      <c r="AB44" s="121">
        <f t="shared" si="14"/>
        <v>8.8333333333333339</v>
      </c>
      <c r="AC44" s="121">
        <f t="shared" si="14"/>
        <v>8</v>
      </c>
      <c r="AD44" s="121">
        <f>AD42</f>
        <v>10.285714285714286</v>
      </c>
      <c r="AE44" s="121">
        <f t="shared" si="14"/>
        <v>0</v>
      </c>
      <c r="AF44" s="51">
        <f>(2630+135+420+615)*1</f>
        <v>3800</v>
      </c>
      <c r="AG44" s="240">
        <f t="shared" si="20"/>
        <v>0</v>
      </c>
      <c r="AH44" s="240">
        <f t="shared" si="15"/>
        <v>3</v>
      </c>
      <c r="AI44" s="240">
        <f>P44+15</f>
        <v>24</v>
      </c>
      <c r="AJ44" s="240">
        <f t="shared" si="15"/>
        <v>17.5</v>
      </c>
      <c r="AK44" s="240">
        <f t="shared" si="15"/>
        <v>18</v>
      </c>
      <c r="AL44" s="240">
        <f>2+33</f>
        <v>35</v>
      </c>
      <c r="AM44" s="240">
        <f t="shared" si="15"/>
        <v>-2</v>
      </c>
      <c r="AN44" s="70">
        <f>SUM(AG44:AM44)</f>
        <v>95.5</v>
      </c>
    </row>
    <row r="45" spans="1:46" x14ac:dyDescent="0.25">
      <c r="A45" t="s">
        <v>46</v>
      </c>
      <c r="B45" s="16"/>
      <c r="C45" s="4"/>
      <c r="D45" s="4"/>
      <c r="E45" s="4"/>
      <c r="F45" s="121">
        <f t="shared" si="16"/>
        <v>0</v>
      </c>
      <c r="G45" s="121">
        <f t="shared" si="12"/>
        <v>2</v>
      </c>
      <c r="H45" s="121">
        <f t="shared" si="12"/>
        <v>2</v>
      </c>
      <c r="I45" s="121">
        <f t="shared" si="12"/>
        <v>2</v>
      </c>
      <c r="J45" s="121">
        <f t="shared" si="12"/>
        <v>2</v>
      </c>
      <c r="K45" s="121">
        <f t="shared" si="12"/>
        <v>2</v>
      </c>
      <c r="L45" s="121">
        <f t="shared" si="12"/>
        <v>2</v>
      </c>
      <c r="M45" s="51"/>
      <c r="N45" s="240">
        <f t="shared" si="17"/>
        <v>0</v>
      </c>
      <c r="O45" s="240">
        <f t="shared" si="13"/>
        <v>0</v>
      </c>
      <c r="P45" s="240">
        <f t="shared" si="13"/>
        <v>0</v>
      </c>
      <c r="Q45" s="240">
        <f t="shared" si="13"/>
        <v>0</v>
      </c>
      <c r="R45" s="240">
        <f t="shared" si="13"/>
        <v>0</v>
      </c>
      <c r="S45" s="240">
        <f t="shared" si="13"/>
        <v>0</v>
      </c>
      <c r="T45" s="240">
        <f t="shared" si="13"/>
        <v>0</v>
      </c>
      <c r="U45" s="70">
        <f t="shared" ref="U45:U46" si="28">SUM(N45:T45)</f>
        <v>0</v>
      </c>
      <c r="Y45" s="121">
        <f t="shared" si="19"/>
        <v>0</v>
      </c>
      <c r="Z45" s="121">
        <f t="shared" si="14"/>
        <v>2</v>
      </c>
      <c r="AA45" s="121">
        <f t="shared" si="14"/>
        <v>2</v>
      </c>
      <c r="AB45" s="121">
        <f t="shared" si="14"/>
        <v>2</v>
      </c>
      <c r="AC45" s="121">
        <f t="shared" si="14"/>
        <v>2</v>
      </c>
      <c r="AD45" s="121">
        <f t="shared" si="14"/>
        <v>2</v>
      </c>
      <c r="AE45" s="121">
        <f t="shared" si="14"/>
        <v>2</v>
      </c>
      <c r="AF45" s="51"/>
      <c r="AG45" s="240">
        <f t="shared" si="20"/>
        <v>0</v>
      </c>
      <c r="AH45" s="240">
        <f t="shared" si="15"/>
        <v>0</v>
      </c>
      <c r="AI45" s="240">
        <f t="shared" si="15"/>
        <v>0</v>
      </c>
      <c r="AJ45" s="240">
        <f t="shared" si="15"/>
        <v>0</v>
      </c>
      <c r="AK45" s="240">
        <f t="shared" si="15"/>
        <v>0</v>
      </c>
      <c r="AL45" s="240">
        <f t="shared" si="15"/>
        <v>0</v>
      </c>
      <c r="AM45" s="240">
        <f t="shared" si="15"/>
        <v>0</v>
      </c>
      <c r="AN45" s="70">
        <f t="shared" ref="AN45:AN46" si="29">SUM(AG45:AM45)</f>
        <v>0</v>
      </c>
    </row>
    <row r="46" spans="1:46" x14ac:dyDescent="0.25">
      <c r="A46" t="s">
        <v>383</v>
      </c>
      <c r="B46" s="16"/>
      <c r="C46" s="4"/>
      <c r="D46" s="4"/>
      <c r="E46" s="4"/>
      <c r="F46" s="121">
        <f t="shared" si="16"/>
        <v>0</v>
      </c>
      <c r="G46" s="121">
        <f t="shared" si="12"/>
        <v>2</v>
      </c>
      <c r="H46" s="121">
        <f t="shared" si="12"/>
        <v>2</v>
      </c>
      <c r="I46" s="121">
        <f t="shared" si="12"/>
        <v>2</v>
      </c>
      <c r="J46" s="121">
        <f t="shared" si="12"/>
        <v>2</v>
      </c>
      <c r="K46" s="121">
        <f t="shared" si="12"/>
        <v>2</v>
      </c>
      <c r="L46" s="121">
        <f t="shared" si="12"/>
        <v>2</v>
      </c>
      <c r="M46" s="51"/>
      <c r="N46" s="240">
        <f t="shared" si="17"/>
        <v>0</v>
      </c>
      <c r="O46" s="240">
        <f t="shared" si="13"/>
        <v>0</v>
      </c>
      <c r="P46" s="240">
        <f t="shared" si="13"/>
        <v>0</v>
      </c>
      <c r="Q46" s="240">
        <f t="shared" si="13"/>
        <v>0</v>
      </c>
      <c r="R46" s="240">
        <f t="shared" si="13"/>
        <v>0</v>
      </c>
      <c r="S46" s="240">
        <f t="shared" si="13"/>
        <v>0</v>
      </c>
      <c r="T46" s="240">
        <f t="shared" si="13"/>
        <v>0</v>
      </c>
      <c r="U46" s="70">
        <f t="shared" si="28"/>
        <v>0</v>
      </c>
      <c r="Y46" s="121">
        <f t="shared" si="19"/>
        <v>0</v>
      </c>
      <c r="Z46" s="121">
        <f t="shared" si="14"/>
        <v>2</v>
      </c>
      <c r="AA46" s="121">
        <f t="shared" si="14"/>
        <v>2</v>
      </c>
      <c r="AB46" s="121">
        <f t="shared" si="14"/>
        <v>2</v>
      </c>
      <c r="AC46" s="121">
        <f t="shared" si="14"/>
        <v>2</v>
      </c>
      <c r="AD46" s="121">
        <f t="shared" si="14"/>
        <v>2</v>
      </c>
      <c r="AE46" s="121">
        <f t="shared" si="14"/>
        <v>2</v>
      </c>
      <c r="AF46" s="51"/>
      <c r="AG46" s="240">
        <f t="shared" si="20"/>
        <v>0</v>
      </c>
      <c r="AH46" s="240">
        <f t="shared" si="15"/>
        <v>0</v>
      </c>
      <c r="AI46" s="240">
        <f t="shared" si="15"/>
        <v>0</v>
      </c>
      <c r="AJ46" s="240">
        <f t="shared" si="15"/>
        <v>0</v>
      </c>
      <c r="AK46" s="240">
        <f t="shared" si="15"/>
        <v>0</v>
      </c>
      <c r="AL46" s="240">
        <f t="shared" si="15"/>
        <v>0</v>
      </c>
      <c r="AM46" s="240">
        <f t="shared" si="15"/>
        <v>0</v>
      </c>
      <c r="AN46" s="70">
        <f t="shared" si="29"/>
        <v>0</v>
      </c>
    </row>
    <row r="47" spans="1:46" x14ac:dyDescent="0.25">
      <c r="A47"/>
      <c r="B47"/>
      <c r="F47" s="240"/>
      <c r="G47" s="240"/>
      <c r="H47" s="240"/>
      <c r="I47" s="240"/>
      <c r="J47" s="240"/>
      <c r="K47" s="240"/>
      <c r="L47" s="240"/>
      <c r="M47" s="241">
        <f>SUM(M49:M63)</f>
        <v>64407.92</v>
      </c>
      <c r="N47" s="240"/>
      <c r="O47" s="240"/>
      <c r="P47" s="240"/>
      <c r="Q47" s="240"/>
      <c r="R47" s="240"/>
      <c r="S47" s="240"/>
      <c r="T47" s="240"/>
      <c r="U47" s="240"/>
      <c r="Y47" s="240"/>
      <c r="Z47" s="240"/>
      <c r="AA47" s="240"/>
      <c r="AB47" s="240"/>
      <c r="AC47" s="240"/>
      <c r="AD47" s="240"/>
      <c r="AE47" s="240"/>
      <c r="AF47" s="241">
        <f>SUM(AF49:AF63)</f>
        <v>89732.88</v>
      </c>
      <c r="AG47" s="240"/>
      <c r="AH47" s="240"/>
      <c r="AI47" s="240"/>
      <c r="AJ47" s="240"/>
      <c r="AK47" s="240"/>
      <c r="AL47" s="240"/>
      <c r="AM47" s="240"/>
      <c r="AN47" s="240"/>
    </row>
    <row r="48" spans="1:46" x14ac:dyDescent="0.25">
      <c r="A48" s="11" t="s">
        <v>179</v>
      </c>
      <c r="B48" s="11" t="s">
        <v>2</v>
      </c>
      <c r="C48" s="11" t="s">
        <v>86</v>
      </c>
      <c r="D48" s="11" t="s">
        <v>370</v>
      </c>
      <c r="E48" s="11" t="s">
        <v>371</v>
      </c>
      <c r="F48" s="11" t="s">
        <v>15</v>
      </c>
      <c r="G48" s="11" t="s">
        <v>16</v>
      </c>
      <c r="H48" s="11" t="s">
        <v>17</v>
      </c>
      <c r="I48" s="11" t="s">
        <v>18</v>
      </c>
      <c r="J48" s="11" t="s">
        <v>19</v>
      </c>
      <c r="K48" s="11" t="s">
        <v>20</v>
      </c>
      <c r="L48" s="11" t="s">
        <v>6</v>
      </c>
      <c r="M48" s="11" t="s">
        <v>69</v>
      </c>
      <c r="N48" s="11" t="s">
        <v>372</v>
      </c>
      <c r="O48" s="11" t="s">
        <v>373</v>
      </c>
      <c r="P48" s="11" t="s">
        <v>374</v>
      </c>
      <c r="Q48" s="11" t="s">
        <v>375</v>
      </c>
      <c r="R48" s="11" t="s">
        <v>376</v>
      </c>
      <c r="S48" s="11" t="s">
        <v>377</v>
      </c>
      <c r="T48" s="11" t="s">
        <v>378</v>
      </c>
      <c r="U48" s="11" t="s">
        <v>379</v>
      </c>
      <c r="W48" s="11" t="s">
        <v>370</v>
      </c>
      <c r="X48" s="11" t="s">
        <v>371</v>
      </c>
      <c r="Y48" s="11" t="s">
        <v>15</v>
      </c>
      <c r="Z48" s="11" t="s">
        <v>16</v>
      </c>
      <c r="AA48" s="11" t="s">
        <v>17</v>
      </c>
      <c r="AB48" s="11" t="s">
        <v>18</v>
      </c>
      <c r="AC48" s="11" t="s">
        <v>19</v>
      </c>
      <c r="AD48" s="11" t="s">
        <v>20</v>
      </c>
      <c r="AE48" s="11" t="s">
        <v>6</v>
      </c>
      <c r="AF48" s="11" t="s">
        <v>69</v>
      </c>
      <c r="AG48" s="11" t="s">
        <v>372</v>
      </c>
      <c r="AH48" s="11" t="s">
        <v>373</v>
      </c>
      <c r="AI48" s="11" t="s">
        <v>374</v>
      </c>
      <c r="AJ48" s="11" t="s">
        <v>375</v>
      </c>
      <c r="AK48" s="11" t="s">
        <v>376</v>
      </c>
      <c r="AL48" s="11" t="s">
        <v>377</v>
      </c>
      <c r="AM48" s="11" t="s">
        <v>378</v>
      </c>
      <c r="AN48" s="11" t="s">
        <v>379</v>
      </c>
    </row>
    <row r="49" spans="1:43" x14ac:dyDescent="0.25">
      <c r="A49" t="s">
        <v>29</v>
      </c>
      <c r="B49" s="16"/>
      <c r="C49" s="20"/>
      <c r="D49" s="20"/>
      <c r="E49" s="20"/>
      <c r="F49" s="121">
        <f>Y31</f>
        <v>2</v>
      </c>
      <c r="G49" s="121">
        <f t="shared" ref="G49:N64" si="30">Z31</f>
        <v>2</v>
      </c>
      <c r="H49" s="121">
        <f t="shared" si="30"/>
        <v>0</v>
      </c>
      <c r="I49" s="121">
        <f t="shared" si="30"/>
        <v>0</v>
      </c>
      <c r="J49" s="121">
        <f t="shared" si="30"/>
        <v>0</v>
      </c>
      <c r="K49" s="121">
        <f t="shared" si="30"/>
        <v>0</v>
      </c>
      <c r="L49" s="121">
        <f t="shared" si="30"/>
        <v>2</v>
      </c>
      <c r="M49" s="51"/>
      <c r="N49" s="240">
        <f>AG31</f>
        <v>0</v>
      </c>
      <c r="O49" s="240">
        <f t="shared" ref="O49:T64" si="31">AH31</f>
        <v>0</v>
      </c>
      <c r="P49" s="240">
        <f t="shared" si="31"/>
        <v>0</v>
      </c>
      <c r="Q49" s="240">
        <f t="shared" si="31"/>
        <v>0</v>
      </c>
      <c r="R49" s="240">
        <f t="shared" si="31"/>
        <v>0</v>
      </c>
      <c r="S49" s="240">
        <f t="shared" si="31"/>
        <v>0</v>
      </c>
      <c r="T49" s="240">
        <f t="shared" si="31"/>
        <v>0</v>
      </c>
      <c r="U49" s="70">
        <f>SUM(N49:T49)</f>
        <v>0</v>
      </c>
      <c r="Y49" s="121">
        <f>F49</f>
        <v>2</v>
      </c>
      <c r="Z49" s="121">
        <f t="shared" ref="Z49:AE64" si="32">G49</f>
        <v>2</v>
      </c>
      <c r="AA49" s="121">
        <f t="shared" si="32"/>
        <v>0</v>
      </c>
      <c r="AB49" s="121">
        <f t="shared" si="32"/>
        <v>0</v>
      </c>
      <c r="AC49" s="121">
        <f t="shared" si="32"/>
        <v>0</v>
      </c>
      <c r="AD49" s="121">
        <f t="shared" si="32"/>
        <v>0</v>
      </c>
      <c r="AE49" s="121">
        <f t="shared" si="32"/>
        <v>2</v>
      </c>
      <c r="AF49" s="51"/>
      <c r="AG49" s="240">
        <f>N49</f>
        <v>0</v>
      </c>
      <c r="AH49" s="240">
        <f t="shared" ref="AH49:AM64" si="33">O49</f>
        <v>0</v>
      </c>
      <c r="AI49" s="240">
        <f t="shared" si="33"/>
        <v>0</v>
      </c>
      <c r="AJ49" s="240">
        <f t="shared" si="33"/>
        <v>0</v>
      </c>
      <c r="AK49" s="240">
        <f t="shared" si="33"/>
        <v>0</v>
      </c>
      <c r="AL49" s="240">
        <f t="shared" si="33"/>
        <v>0</v>
      </c>
      <c r="AM49" s="240">
        <f t="shared" si="33"/>
        <v>0</v>
      </c>
      <c r="AN49" s="70">
        <f>SUM(AG49:AM49)</f>
        <v>0</v>
      </c>
    </row>
    <row r="50" spans="1:43" x14ac:dyDescent="0.25">
      <c r="A50" t="s">
        <v>32</v>
      </c>
      <c r="B50" s="16"/>
      <c r="C50" s="4"/>
      <c r="D50" s="4"/>
      <c r="E50" s="4"/>
      <c r="F50" s="121">
        <f t="shared" ref="F50:F64" si="34">Y32</f>
        <v>0</v>
      </c>
      <c r="G50" s="121">
        <f t="shared" si="30"/>
        <v>2</v>
      </c>
      <c r="H50" s="121">
        <f t="shared" si="30"/>
        <v>2</v>
      </c>
      <c r="I50" s="121">
        <f t="shared" si="30"/>
        <v>2</v>
      </c>
      <c r="J50" s="121">
        <f t="shared" si="30"/>
        <v>2</v>
      </c>
      <c r="K50" s="121">
        <f t="shared" si="30"/>
        <v>2</v>
      </c>
      <c r="L50" s="121">
        <f t="shared" si="30"/>
        <v>2</v>
      </c>
      <c r="M50" s="51"/>
      <c r="N50" s="240">
        <f t="shared" si="30"/>
        <v>0</v>
      </c>
      <c r="O50" s="240">
        <f t="shared" si="31"/>
        <v>0</v>
      </c>
      <c r="P50" s="240">
        <f t="shared" si="31"/>
        <v>0</v>
      </c>
      <c r="Q50" s="240">
        <f t="shared" si="31"/>
        <v>0</v>
      </c>
      <c r="R50" s="240">
        <f t="shared" si="31"/>
        <v>0</v>
      </c>
      <c r="S50" s="240">
        <f t="shared" si="31"/>
        <v>0</v>
      </c>
      <c r="T50" s="240">
        <f t="shared" si="31"/>
        <v>0</v>
      </c>
      <c r="U50" s="70">
        <f t="shared" ref="U50" si="35">SUM(N50:T50)</f>
        <v>0</v>
      </c>
      <c r="Y50" s="121">
        <f t="shared" ref="Y50:Y64" si="36">F50</f>
        <v>0</v>
      </c>
      <c r="Z50" s="121">
        <f t="shared" si="32"/>
        <v>2</v>
      </c>
      <c r="AA50" s="121">
        <f t="shared" si="32"/>
        <v>2</v>
      </c>
      <c r="AB50" s="121">
        <f t="shared" si="32"/>
        <v>2</v>
      </c>
      <c r="AC50" s="121">
        <f t="shared" si="32"/>
        <v>2</v>
      </c>
      <c r="AD50" s="121">
        <f t="shared" si="32"/>
        <v>2</v>
      </c>
      <c r="AE50" s="121">
        <f t="shared" si="32"/>
        <v>2</v>
      </c>
      <c r="AF50" s="51"/>
      <c r="AG50" s="240">
        <f t="shared" ref="AG50:AG64" si="37">N50</f>
        <v>0</v>
      </c>
      <c r="AH50" s="240">
        <f t="shared" si="33"/>
        <v>0</v>
      </c>
      <c r="AI50" s="240">
        <f t="shared" si="33"/>
        <v>0</v>
      </c>
      <c r="AJ50" s="240">
        <f t="shared" si="33"/>
        <v>0</v>
      </c>
      <c r="AK50" s="240">
        <f t="shared" si="33"/>
        <v>0</v>
      </c>
      <c r="AL50" s="240">
        <f t="shared" si="33"/>
        <v>0</v>
      </c>
      <c r="AM50" s="240">
        <f t="shared" si="33"/>
        <v>0</v>
      </c>
      <c r="AN50" s="70">
        <f t="shared" ref="AN50" si="38">SUM(AG50:AM50)</f>
        <v>0</v>
      </c>
    </row>
    <row r="51" spans="1:43" x14ac:dyDescent="0.25">
      <c r="A51" t="s">
        <v>33</v>
      </c>
      <c r="B51" s="16"/>
      <c r="C51" s="4"/>
      <c r="D51" s="4"/>
      <c r="E51" s="4"/>
      <c r="F51" s="121">
        <f t="shared" si="34"/>
        <v>0</v>
      </c>
      <c r="G51" s="121">
        <f t="shared" si="30"/>
        <v>2</v>
      </c>
      <c r="H51" s="121">
        <f t="shared" si="30"/>
        <v>2</v>
      </c>
      <c r="I51" s="121">
        <f t="shared" si="30"/>
        <v>2</v>
      </c>
      <c r="J51" s="121">
        <f t="shared" si="30"/>
        <v>2</v>
      </c>
      <c r="K51" s="121">
        <f t="shared" si="30"/>
        <v>2</v>
      </c>
      <c r="L51" s="121">
        <f t="shared" si="30"/>
        <v>2</v>
      </c>
      <c r="M51" s="51"/>
      <c r="N51" s="240">
        <f t="shared" si="30"/>
        <v>0</v>
      </c>
      <c r="O51" s="240">
        <f t="shared" si="31"/>
        <v>0</v>
      </c>
      <c r="P51" s="240">
        <f t="shared" si="31"/>
        <v>0</v>
      </c>
      <c r="Q51" s="240">
        <f t="shared" si="31"/>
        <v>0</v>
      </c>
      <c r="R51" s="240">
        <f t="shared" si="31"/>
        <v>0</v>
      </c>
      <c r="S51" s="240">
        <f t="shared" si="31"/>
        <v>0</v>
      </c>
      <c r="T51" s="240">
        <f t="shared" si="31"/>
        <v>0</v>
      </c>
      <c r="U51" s="70">
        <f>SUM(N51:T51)</f>
        <v>0</v>
      </c>
      <c r="Y51" s="121">
        <f t="shared" si="36"/>
        <v>0</v>
      </c>
      <c r="Z51" s="121">
        <f t="shared" si="32"/>
        <v>2</v>
      </c>
      <c r="AA51" s="121">
        <f t="shared" si="32"/>
        <v>2</v>
      </c>
      <c r="AB51" s="121">
        <f t="shared" si="32"/>
        <v>2</v>
      </c>
      <c r="AC51" s="121">
        <f t="shared" si="32"/>
        <v>2</v>
      </c>
      <c r="AD51" s="121">
        <f t="shared" si="32"/>
        <v>2</v>
      </c>
      <c r="AE51" s="121">
        <f t="shared" si="32"/>
        <v>2</v>
      </c>
      <c r="AF51" s="51"/>
      <c r="AG51" s="240">
        <f t="shared" si="37"/>
        <v>0</v>
      </c>
      <c r="AH51" s="240">
        <f t="shared" si="33"/>
        <v>0</v>
      </c>
      <c r="AI51" s="240">
        <f t="shared" si="33"/>
        <v>0</v>
      </c>
      <c r="AJ51" s="240">
        <f t="shared" si="33"/>
        <v>0</v>
      </c>
      <c r="AK51" s="240">
        <f t="shared" si="33"/>
        <v>0</v>
      </c>
      <c r="AL51" s="240">
        <f t="shared" si="33"/>
        <v>0</v>
      </c>
      <c r="AM51" s="240">
        <f t="shared" si="33"/>
        <v>0</v>
      </c>
      <c r="AN51" s="70">
        <f>SUM(AG51:AM51)</f>
        <v>0</v>
      </c>
    </row>
    <row r="52" spans="1:43" x14ac:dyDescent="0.25">
      <c r="A52" t="s">
        <v>39</v>
      </c>
      <c r="B52" s="16"/>
      <c r="C52" s="4"/>
      <c r="D52" s="4"/>
      <c r="E52" s="4"/>
      <c r="F52" s="121">
        <f t="shared" si="34"/>
        <v>0</v>
      </c>
      <c r="G52" s="121">
        <f t="shared" si="30"/>
        <v>2</v>
      </c>
      <c r="H52" s="121">
        <f t="shared" si="30"/>
        <v>2</v>
      </c>
      <c r="I52" s="121">
        <f t="shared" si="30"/>
        <v>2</v>
      </c>
      <c r="J52" s="121">
        <f t="shared" si="30"/>
        <v>2</v>
      </c>
      <c r="K52" s="121">
        <f t="shared" si="30"/>
        <v>2</v>
      </c>
      <c r="L52" s="121">
        <f t="shared" si="30"/>
        <v>2</v>
      </c>
      <c r="M52" s="51"/>
      <c r="N52" s="240">
        <f t="shared" si="30"/>
        <v>0</v>
      </c>
      <c r="O52" s="240">
        <f t="shared" si="31"/>
        <v>0</v>
      </c>
      <c r="P52" s="240">
        <f t="shared" si="31"/>
        <v>0</v>
      </c>
      <c r="Q52" s="240">
        <f t="shared" si="31"/>
        <v>0</v>
      </c>
      <c r="R52" s="240">
        <f t="shared" si="31"/>
        <v>0</v>
      </c>
      <c r="S52" s="240">
        <f t="shared" si="31"/>
        <v>0</v>
      </c>
      <c r="T52" s="240">
        <f t="shared" si="31"/>
        <v>0</v>
      </c>
      <c r="U52" s="70">
        <f>SUM(N52:T52)</f>
        <v>0</v>
      </c>
      <c r="Y52" s="121">
        <f t="shared" si="36"/>
        <v>0</v>
      </c>
      <c r="Z52" s="121">
        <f t="shared" si="32"/>
        <v>2</v>
      </c>
      <c r="AA52" s="121">
        <f t="shared" si="32"/>
        <v>2</v>
      </c>
      <c r="AB52" s="121">
        <f t="shared" si="32"/>
        <v>2</v>
      </c>
      <c r="AC52" s="121">
        <f t="shared" si="32"/>
        <v>2</v>
      </c>
      <c r="AD52" s="121">
        <f t="shared" si="32"/>
        <v>2</v>
      </c>
      <c r="AE52" s="121">
        <f t="shared" si="32"/>
        <v>2</v>
      </c>
      <c r="AF52" s="51"/>
      <c r="AG52" s="240">
        <f t="shared" si="37"/>
        <v>0</v>
      </c>
      <c r="AH52" s="240">
        <f t="shared" si="33"/>
        <v>0</v>
      </c>
      <c r="AI52" s="240">
        <f t="shared" si="33"/>
        <v>0</v>
      </c>
      <c r="AJ52" s="240">
        <f t="shared" si="33"/>
        <v>0</v>
      </c>
      <c r="AK52" s="240">
        <f t="shared" si="33"/>
        <v>0</v>
      </c>
      <c r="AL52" s="240">
        <f t="shared" si="33"/>
        <v>0</v>
      </c>
      <c r="AM52" s="240">
        <f t="shared" si="33"/>
        <v>0</v>
      </c>
      <c r="AN52" s="70">
        <f>SUM(AG52:AM52)</f>
        <v>0</v>
      </c>
    </row>
    <row r="53" spans="1:43" x14ac:dyDescent="0.25">
      <c r="A53" t="s">
        <v>41</v>
      </c>
      <c r="B53" s="16" t="s">
        <v>385</v>
      </c>
      <c r="C53" s="4" t="s">
        <v>187</v>
      </c>
      <c r="D53" s="4">
        <v>21</v>
      </c>
      <c r="E53" s="4">
        <v>70</v>
      </c>
      <c r="F53" s="121">
        <f t="shared" si="34"/>
        <v>0</v>
      </c>
      <c r="G53" s="121">
        <v>9</v>
      </c>
      <c r="H53" s="121">
        <v>10</v>
      </c>
      <c r="I53" s="121">
        <f t="shared" si="30"/>
        <v>2</v>
      </c>
      <c r="J53" s="121">
        <f t="shared" si="30"/>
        <v>2</v>
      </c>
      <c r="K53" s="121">
        <v>10</v>
      </c>
      <c r="L53" s="121">
        <f t="shared" si="30"/>
        <v>2</v>
      </c>
      <c r="M53" s="51">
        <f>(2910+1315+1165)*1.008</f>
        <v>5433.12</v>
      </c>
      <c r="N53" s="240">
        <f t="shared" si="30"/>
        <v>0</v>
      </c>
      <c r="O53" s="240">
        <v>30</v>
      </c>
      <c r="P53" s="240">
        <v>33</v>
      </c>
      <c r="Q53" s="240">
        <f t="shared" si="31"/>
        <v>0</v>
      </c>
      <c r="R53" s="240">
        <f t="shared" si="31"/>
        <v>0</v>
      </c>
      <c r="S53" s="240">
        <v>33</v>
      </c>
      <c r="T53" s="240">
        <f t="shared" si="31"/>
        <v>0</v>
      </c>
      <c r="U53" s="70">
        <f t="shared" ref="U53:U60" si="39">SUM(N53:T53)</f>
        <v>96</v>
      </c>
      <c r="W53">
        <f>D53+2</f>
        <v>23</v>
      </c>
      <c r="X53">
        <f>E53+$AQ$56-112</f>
        <v>28</v>
      </c>
      <c r="Y53" s="121">
        <f t="shared" si="36"/>
        <v>0</v>
      </c>
      <c r="Z53" s="121">
        <v>12</v>
      </c>
      <c r="AA53" s="121">
        <f t="shared" si="32"/>
        <v>10</v>
      </c>
      <c r="AB53" s="121">
        <f t="shared" si="32"/>
        <v>2</v>
      </c>
      <c r="AC53" s="121">
        <f t="shared" si="32"/>
        <v>2</v>
      </c>
      <c r="AD53" s="121">
        <f t="shared" si="32"/>
        <v>10</v>
      </c>
      <c r="AE53" s="121">
        <f t="shared" si="32"/>
        <v>2</v>
      </c>
      <c r="AF53" s="51">
        <f>(7010+1455+1315)*1.008</f>
        <v>9858.24</v>
      </c>
      <c r="AG53" s="240">
        <f t="shared" si="37"/>
        <v>0</v>
      </c>
      <c r="AH53" s="240">
        <f>O53+$AQ$54</f>
        <v>56</v>
      </c>
      <c r="AI53" s="240">
        <f t="shared" si="33"/>
        <v>33</v>
      </c>
      <c r="AJ53" s="240">
        <f t="shared" si="33"/>
        <v>0</v>
      </c>
      <c r="AK53" s="240">
        <f t="shared" si="33"/>
        <v>0</v>
      </c>
      <c r="AL53" s="240">
        <f t="shared" si="33"/>
        <v>33</v>
      </c>
      <c r="AM53" s="240">
        <f t="shared" si="33"/>
        <v>0</v>
      </c>
      <c r="AN53" s="70">
        <f t="shared" ref="AN53:AN60" si="40">SUM(AG53:AM53)</f>
        <v>122</v>
      </c>
    </row>
    <row r="54" spans="1:43" x14ac:dyDescent="0.25">
      <c r="A54" t="s">
        <v>38</v>
      </c>
      <c r="B54" s="16" t="s">
        <v>385</v>
      </c>
      <c r="C54" s="4" t="s">
        <v>187</v>
      </c>
      <c r="D54" s="4">
        <v>21</v>
      </c>
      <c r="E54" s="4">
        <v>70</v>
      </c>
      <c r="F54" s="121">
        <f t="shared" si="34"/>
        <v>0</v>
      </c>
      <c r="G54" s="121">
        <v>9</v>
      </c>
      <c r="H54" s="121">
        <v>10</v>
      </c>
      <c r="I54" s="121">
        <f t="shared" si="30"/>
        <v>2</v>
      </c>
      <c r="J54" s="121">
        <f t="shared" si="30"/>
        <v>2</v>
      </c>
      <c r="K54" s="121">
        <v>10</v>
      </c>
      <c r="L54" s="121">
        <f t="shared" si="30"/>
        <v>2</v>
      </c>
      <c r="M54" s="51">
        <f t="shared" ref="M54:M56" si="41">(2910+1315+1165)*1.008</f>
        <v>5433.12</v>
      </c>
      <c r="N54" s="240">
        <f t="shared" si="30"/>
        <v>0</v>
      </c>
      <c r="O54" s="240">
        <v>30</v>
      </c>
      <c r="P54" s="240">
        <v>33</v>
      </c>
      <c r="Q54" s="240">
        <f t="shared" si="31"/>
        <v>0</v>
      </c>
      <c r="R54" s="240">
        <f t="shared" si="31"/>
        <v>0</v>
      </c>
      <c r="S54" s="240">
        <v>33</v>
      </c>
      <c r="T54" s="240">
        <f t="shared" si="31"/>
        <v>0</v>
      </c>
      <c r="U54" s="70">
        <f t="shared" si="39"/>
        <v>96</v>
      </c>
      <c r="W54">
        <f t="shared" ref="W54:W59" si="42">D54+2</f>
        <v>23</v>
      </c>
      <c r="X54">
        <f t="shared" ref="X54:X59" si="43">E54+$AQ$56-112</f>
        <v>28</v>
      </c>
      <c r="Y54" s="121">
        <f t="shared" si="36"/>
        <v>0</v>
      </c>
      <c r="Z54" s="121">
        <v>12</v>
      </c>
      <c r="AA54" s="121">
        <f t="shared" si="32"/>
        <v>10</v>
      </c>
      <c r="AB54" s="121">
        <f t="shared" si="32"/>
        <v>2</v>
      </c>
      <c r="AC54" s="121">
        <f t="shared" si="32"/>
        <v>2</v>
      </c>
      <c r="AD54" s="121">
        <f t="shared" si="32"/>
        <v>10</v>
      </c>
      <c r="AE54" s="121">
        <f t="shared" si="32"/>
        <v>2</v>
      </c>
      <c r="AF54" s="51">
        <f t="shared" ref="AF54:AF56" si="44">(7010+1455+1315)*1.008</f>
        <v>9858.24</v>
      </c>
      <c r="AG54" s="240">
        <f t="shared" si="37"/>
        <v>0</v>
      </c>
      <c r="AH54" s="240">
        <f t="shared" ref="AH54:AH62" si="45">O54+$AQ$54</f>
        <v>56</v>
      </c>
      <c r="AI54" s="240">
        <f t="shared" si="33"/>
        <v>33</v>
      </c>
      <c r="AJ54" s="240">
        <f t="shared" si="33"/>
        <v>0</v>
      </c>
      <c r="AK54" s="240">
        <f t="shared" si="33"/>
        <v>0</v>
      </c>
      <c r="AL54" s="240">
        <f t="shared" si="33"/>
        <v>33</v>
      </c>
      <c r="AM54" s="240">
        <f t="shared" si="33"/>
        <v>0</v>
      </c>
      <c r="AN54" s="70">
        <f t="shared" si="40"/>
        <v>122</v>
      </c>
      <c r="AP54" s="244" t="s">
        <v>30</v>
      </c>
      <c r="AQ54" s="244">
        <v>26</v>
      </c>
    </row>
    <row r="55" spans="1:43" x14ac:dyDescent="0.25">
      <c r="A55" t="s">
        <v>35</v>
      </c>
      <c r="B55" s="16" t="s">
        <v>385</v>
      </c>
      <c r="C55" s="4" t="s">
        <v>344</v>
      </c>
      <c r="D55" s="4">
        <v>21</v>
      </c>
      <c r="E55" s="4">
        <v>70</v>
      </c>
      <c r="F55" s="121">
        <f t="shared" si="34"/>
        <v>0</v>
      </c>
      <c r="G55" s="121">
        <v>9</v>
      </c>
      <c r="H55" s="121">
        <v>10</v>
      </c>
      <c r="I55" s="121">
        <f t="shared" si="30"/>
        <v>2</v>
      </c>
      <c r="J55" s="121">
        <f t="shared" si="30"/>
        <v>2</v>
      </c>
      <c r="K55" s="121">
        <v>10</v>
      </c>
      <c r="L55" s="121">
        <f t="shared" si="30"/>
        <v>2</v>
      </c>
      <c r="M55" s="51">
        <f t="shared" si="41"/>
        <v>5433.12</v>
      </c>
      <c r="N55" s="240">
        <f t="shared" si="30"/>
        <v>0</v>
      </c>
      <c r="O55" s="240">
        <v>30</v>
      </c>
      <c r="P55" s="240">
        <v>33</v>
      </c>
      <c r="Q55" s="240">
        <f t="shared" si="31"/>
        <v>0</v>
      </c>
      <c r="R55" s="240">
        <f t="shared" si="31"/>
        <v>0</v>
      </c>
      <c r="S55" s="240">
        <v>33</v>
      </c>
      <c r="T55" s="240">
        <f t="shared" si="31"/>
        <v>0</v>
      </c>
      <c r="U55" s="70">
        <f t="shared" si="39"/>
        <v>96</v>
      </c>
      <c r="W55">
        <f t="shared" si="42"/>
        <v>23</v>
      </c>
      <c r="X55">
        <f t="shared" si="43"/>
        <v>28</v>
      </c>
      <c r="Y55" s="121">
        <f t="shared" si="36"/>
        <v>0</v>
      </c>
      <c r="Z55" s="121">
        <v>12</v>
      </c>
      <c r="AA55" s="121">
        <f t="shared" si="32"/>
        <v>10</v>
      </c>
      <c r="AB55" s="121">
        <f t="shared" si="32"/>
        <v>2</v>
      </c>
      <c r="AC55" s="121">
        <f t="shared" si="32"/>
        <v>2</v>
      </c>
      <c r="AD55" s="121">
        <f t="shared" si="32"/>
        <v>10</v>
      </c>
      <c r="AE55" s="121">
        <f t="shared" si="32"/>
        <v>2</v>
      </c>
      <c r="AF55" s="51">
        <f t="shared" si="44"/>
        <v>9858.24</v>
      </c>
      <c r="AG55" s="240">
        <f t="shared" si="37"/>
        <v>0</v>
      </c>
      <c r="AH55" s="240">
        <f t="shared" si="45"/>
        <v>56</v>
      </c>
      <c r="AI55" s="240">
        <f t="shared" si="33"/>
        <v>33</v>
      </c>
      <c r="AJ55" s="240">
        <f t="shared" si="33"/>
        <v>0</v>
      </c>
      <c r="AK55" s="240">
        <f t="shared" si="33"/>
        <v>0</v>
      </c>
      <c r="AL55" s="240">
        <f t="shared" si="33"/>
        <v>33</v>
      </c>
      <c r="AM55" s="240">
        <f t="shared" si="33"/>
        <v>0</v>
      </c>
      <c r="AN55" s="70">
        <f t="shared" si="40"/>
        <v>122</v>
      </c>
      <c r="AQ55">
        <f>AQ54*7</f>
        <v>182</v>
      </c>
    </row>
    <row r="56" spans="1:43" x14ac:dyDescent="0.25">
      <c r="A56" t="s">
        <v>31</v>
      </c>
      <c r="B56" s="16" t="s">
        <v>385</v>
      </c>
      <c r="C56" s="4" t="s">
        <v>344</v>
      </c>
      <c r="D56" s="4">
        <v>21</v>
      </c>
      <c r="E56" s="4">
        <v>70</v>
      </c>
      <c r="F56" s="121">
        <f t="shared" si="34"/>
        <v>0</v>
      </c>
      <c r="G56" s="121">
        <v>9</v>
      </c>
      <c r="H56" s="121">
        <v>10</v>
      </c>
      <c r="I56" s="121">
        <f t="shared" si="30"/>
        <v>2</v>
      </c>
      <c r="J56" s="121">
        <f t="shared" si="30"/>
        <v>2</v>
      </c>
      <c r="K56" s="121">
        <v>10</v>
      </c>
      <c r="L56" s="121">
        <f t="shared" si="30"/>
        <v>2</v>
      </c>
      <c r="M56" s="51">
        <f t="shared" si="41"/>
        <v>5433.12</v>
      </c>
      <c r="N56" s="240">
        <f t="shared" si="30"/>
        <v>0</v>
      </c>
      <c r="O56" s="240">
        <v>30</v>
      </c>
      <c r="P56" s="240">
        <v>33</v>
      </c>
      <c r="Q56" s="240">
        <f t="shared" si="31"/>
        <v>0</v>
      </c>
      <c r="R56" s="240">
        <f t="shared" si="31"/>
        <v>0</v>
      </c>
      <c r="S56" s="240">
        <v>33</v>
      </c>
      <c r="T56" s="240">
        <f t="shared" si="31"/>
        <v>0</v>
      </c>
      <c r="U56" s="70">
        <f t="shared" si="39"/>
        <v>96</v>
      </c>
      <c r="W56">
        <f t="shared" si="42"/>
        <v>23</v>
      </c>
      <c r="X56">
        <f t="shared" si="43"/>
        <v>28</v>
      </c>
      <c r="Y56" s="121">
        <f t="shared" si="36"/>
        <v>0</v>
      </c>
      <c r="Z56" s="121">
        <v>12</v>
      </c>
      <c r="AA56" s="121">
        <f t="shared" si="32"/>
        <v>10</v>
      </c>
      <c r="AB56" s="121">
        <f t="shared" si="32"/>
        <v>2</v>
      </c>
      <c r="AC56" s="121">
        <f t="shared" si="32"/>
        <v>2</v>
      </c>
      <c r="AD56" s="121">
        <f t="shared" si="32"/>
        <v>10</v>
      </c>
      <c r="AE56" s="121">
        <f t="shared" si="32"/>
        <v>2</v>
      </c>
      <c r="AF56" s="51">
        <f t="shared" si="44"/>
        <v>9858.24</v>
      </c>
      <c r="AG56" s="240">
        <f t="shared" si="37"/>
        <v>0</v>
      </c>
      <c r="AH56" s="240">
        <f t="shared" si="45"/>
        <v>56</v>
      </c>
      <c r="AI56" s="240">
        <f t="shared" si="33"/>
        <v>33</v>
      </c>
      <c r="AJ56" s="240">
        <f t="shared" si="33"/>
        <v>0</v>
      </c>
      <c r="AK56" s="240">
        <f t="shared" si="33"/>
        <v>0</v>
      </c>
      <c r="AL56" s="240">
        <f t="shared" si="33"/>
        <v>33</v>
      </c>
      <c r="AM56" s="240">
        <f t="shared" si="33"/>
        <v>0</v>
      </c>
      <c r="AN56" s="70">
        <f t="shared" si="40"/>
        <v>122</v>
      </c>
      <c r="AQ56">
        <f>AQ55-112</f>
        <v>70</v>
      </c>
    </row>
    <row r="57" spans="1:43" x14ac:dyDescent="0.25">
      <c r="A57" t="s">
        <v>43</v>
      </c>
      <c r="B57" s="16" t="str">
        <f>B39</f>
        <v>Inner</v>
      </c>
      <c r="C57" s="4" t="str">
        <f>C39</f>
        <v>CAB</v>
      </c>
      <c r="D57" s="4">
        <f>W39</f>
        <v>21</v>
      </c>
      <c r="E57" s="4">
        <f>X39</f>
        <v>80</v>
      </c>
      <c r="F57" s="121">
        <f t="shared" si="34"/>
        <v>0</v>
      </c>
      <c r="G57" s="121">
        <f t="shared" si="30"/>
        <v>7</v>
      </c>
      <c r="H57" s="121">
        <f t="shared" si="30"/>
        <v>12</v>
      </c>
      <c r="I57" s="121">
        <f t="shared" si="30"/>
        <v>2</v>
      </c>
      <c r="J57" s="121">
        <f t="shared" si="30"/>
        <v>2</v>
      </c>
      <c r="K57" s="121">
        <f t="shared" si="30"/>
        <v>10</v>
      </c>
      <c r="L57" s="121">
        <f t="shared" si="30"/>
        <v>2</v>
      </c>
      <c r="M57" s="51">
        <f t="shared" si="30"/>
        <v>10291.68</v>
      </c>
      <c r="N57" s="240">
        <f t="shared" si="30"/>
        <v>0</v>
      </c>
      <c r="O57" s="240">
        <f t="shared" si="31"/>
        <v>18</v>
      </c>
      <c r="P57" s="240">
        <f t="shared" si="31"/>
        <v>48</v>
      </c>
      <c r="Q57" s="240">
        <f t="shared" si="31"/>
        <v>0</v>
      </c>
      <c r="R57" s="240">
        <f t="shared" si="31"/>
        <v>0</v>
      </c>
      <c r="S57" s="240">
        <f t="shared" si="31"/>
        <v>33</v>
      </c>
      <c r="T57" s="240">
        <f t="shared" si="31"/>
        <v>0</v>
      </c>
      <c r="U57" s="70">
        <f t="shared" si="39"/>
        <v>99</v>
      </c>
      <c r="W57">
        <f t="shared" si="42"/>
        <v>23</v>
      </c>
      <c r="X57">
        <f t="shared" si="43"/>
        <v>38</v>
      </c>
      <c r="Y57" s="121">
        <f t="shared" si="36"/>
        <v>0</v>
      </c>
      <c r="Z57" s="121">
        <f>10+7/9</f>
        <v>10.777777777777779</v>
      </c>
      <c r="AA57" s="121">
        <f t="shared" si="32"/>
        <v>12</v>
      </c>
      <c r="AB57" s="121">
        <f t="shared" si="32"/>
        <v>2</v>
      </c>
      <c r="AC57" s="121">
        <f t="shared" si="32"/>
        <v>2</v>
      </c>
      <c r="AD57" s="121">
        <f t="shared" si="32"/>
        <v>10</v>
      </c>
      <c r="AE57" s="121">
        <f t="shared" si="32"/>
        <v>2</v>
      </c>
      <c r="AF57" s="51">
        <f>(8670+1900+1315)*1.008</f>
        <v>11980.08</v>
      </c>
      <c r="AG57" s="240">
        <f t="shared" si="37"/>
        <v>0</v>
      </c>
      <c r="AH57" s="240">
        <f t="shared" si="45"/>
        <v>44</v>
      </c>
      <c r="AI57" s="240">
        <f t="shared" si="33"/>
        <v>48</v>
      </c>
      <c r="AJ57" s="240">
        <f t="shared" si="33"/>
        <v>0</v>
      </c>
      <c r="AK57" s="240">
        <f t="shared" si="33"/>
        <v>0</v>
      </c>
      <c r="AL57" s="240">
        <f t="shared" si="33"/>
        <v>33</v>
      </c>
      <c r="AM57" s="240">
        <f t="shared" si="33"/>
        <v>0</v>
      </c>
      <c r="AN57" s="70">
        <f t="shared" si="40"/>
        <v>125</v>
      </c>
    </row>
    <row r="58" spans="1:43" x14ac:dyDescent="0.25">
      <c r="A58" t="s">
        <v>37</v>
      </c>
      <c r="B58" s="16" t="str">
        <f t="shared" ref="B58:C62" si="46">B40</f>
        <v>Inner</v>
      </c>
      <c r="C58" s="4" t="str">
        <f t="shared" si="46"/>
        <v>CAB</v>
      </c>
      <c r="D58" s="4">
        <f t="shared" ref="D58:E62" si="47">W40</f>
        <v>21</v>
      </c>
      <c r="E58" s="4">
        <f t="shared" si="47"/>
        <v>80</v>
      </c>
      <c r="F58" s="121">
        <f t="shared" si="34"/>
        <v>0</v>
      </c>
      <c r="G58" s="121">
        <f t="shared" si="30"/>
        <v>7</v>
      </c>
      <c r="H58" s="121">
        <f t="shared" si="30"/>
        <v>12</v>
      </c>
      <c r="I58" s="121">
        <f t="shared" si="30"/>
        <v>2</v>
      </c>
      <c r="J58" s="121">
        <f t="shared" si="30"/>
        <v>2</v>
      </c>
      <c r="K58" s="121">
        <f t="shared" si="30"/>
        <v>10</v>
      </c>
      <c r="L58" s="121">
        <f t="shared" si="30"/>
        <v>2</v>
      </c>
      <c r="M58" s="51">
        <f t="shared" si="30"/>
        <v>10291.68</v>
      </c>
      <c r="N58" s="240">
        <f t="shared" si="30"/>
        <v>0</v>
      </c>
      <c r="O58" s="240">
        <f t="shared" si="31"/>
        <v>18</v>
      </c>
      <c r="P58" s="240">
        <f t="shared" si="31"/>
        <v>48</v>
      </c>
      <c r="Q58" s="240">
        <f t="shared" si="31"/>
        <v>0</v>
      </c>
      <c r="R58" s="240">
        <f t="shared" si="31"/>
        <v>0</v>
      </c>
      <c r="S58" s="240">
        <f t="shared" si="31"/>
        <v>33</v>
      </c>
      <c r="T58" s="240">
        <f t="shared" si="31"/>
        <v>0</v>
      </c>
      <c r="U58" s="70">
        <f t="shared" si="39"/>
        <v>99</v>
      </c>
      <c r="W58">
        <f t="shared" si="42"/>
        <v>23</v>
      </c>
      <c r="X58">
        <f t="shared" si="43"/>
        <v>38</v>
      </c>
      <c r="Y58" s="121">
        <f t="shared" si="36"/>
        <v>0</v>
      </c>
      <c r="Z58" s="121">
        <f t="shared" ref="Z58:Z59" si="48">10+7/9</f>
        <v>10.777777777777779</v>
      </c>
      <c r="AA58" s="121">
        <f t="shared" si="32"/>
        <v>12</v>
      </c>
      <c r="AB58" s="121">
        <f t="shared" si="32"/>
        <v>2</v>
      </c>
      <c r="AC58" s="121">
        <f t="shared" si="32"/>
        <v>2</v>
      </c>
      <c r="AD58" s="121">
        <f t="shared" si="32"/>
        <v>10</v>
      </c>
      <c r="AE58" s="121">
        <f t="shared" si="32"/>
        <v>2</v>
      </c>
      <c r="AF58" s="51">
        <f t="shared" ref="AF58:AF59" si="49">(8670+1900+1315)*1.008</f>
        <v>11980.08</v>
      </c>
      <c r="AG58" s="240">
        <f t="shared" si="37"/>
        <v>0</v>
      </c>
      <c r="AH58" s="240">
        <f t="shared" si="45"/>
        <v>44</v>
      </c>
      <c r="AI58" s="240">
        <f t="shared" si="33"/>
        <v>48</v>
      </c>
      <c r="AJ58" s="240">
        <f t="shared" si="33"/>
        <v>0</v>
      </c>
      <c r="AK58" s="240">
        <f t="shared" si="33"/>
        <v>0</v>
      </c>
      <c r="AL58" s="240">
        <f t="shared" si="33"/>
        <v>33</v>
      </c>
      <c r="AM58" s="240">
        <f t="shared" si="33"/>
        <v>0</v>
      </c>
      <c r="AN58" s="70">
        <f t="shared" si="40"/>
        <v>125</v>
      </c>
    </row>
    <row r="59" spans="1:43" x14ac:dyDescent="0.25">
      <c r="A59" t="s">
        <v>36</v>
      </c>
      <c r="B59" s="16" t="str">
        <f t="shared" si="46"/>
        <v>Inner</v>
      </c>
      <c r="C59" s="4" t="str">
        <f t="shared" si="46"/>
        <v>CAB</v>
      </c>
      <c r="D59" s="4">
        <f t="shared" si="47"/>
        <v>21</v>
      </c>
      <c r="E59" s="4">
        <f t="shared" si="47"/>
        <v>80</v>
      </c>
      <c r="F59" s="121">
        <f t="shared" si="34"/>
        <v>0</v>
      </c>
      <c r="G59" s="121">
        <f t="shared" si="30"/>
        <v>7</v>
      </c>
      <c r="H59" s="121">
        <f t="shared" si="30"/>
        <v>12</v>
      </c>
      <c r="I59" s="121">
        <f t="shared" si="30"/>
        <v>2</v>
      </c>
      <c r="J59" s="121">
        <f t="shared" si="30"/>
        <v>2</v>
      </c>
      <c r="K59" s="121">
        <f t="shared" si="30"/>
        <v>10</v>
      </c>
      <c r="L59" s="121">
        <f t="shared" si="30"/>
        <v>2</v>
      </c>
      <c r="M59" s="51">
        <f t="shared" si="30"/>
        <v>10291.68</v>
      </c>
      <c r="N59" s="240">
        <f t="shared" si="30"/>
        <v>0</v>
      </c>
      <c r="O59" s="240">
        <f t="shared" si="31"/>
        <v>18</v>
      </c>
      <c r="P59" s="240">
        <f t="shared" si="31"/>
        <v>48</v>
      </c>
      <c r="Q59" s="240">
        <f t="shared" si="31"/>
        <v>0</v>
      </c>
      <c r="R59" s="240">
        <f t="shared" si="31"/>
        <v>0</v>
      </c>
      <c r="S59" s="240">
        <f t="shared" si="31"/>
        <v>33</v>
      </c>
      <c r="T59" s="240">
        <f t="shared" si="31"/>
        <v>0</v>
      </c>
      <c r="U59" s="70">
        <f t="shared" si="39"/>
        <v>99</v>
      </c>
      <c r="W59">
        <f t="shared" si="42"/>
        <v>23</v>
      </c>
      <c r="X59">
        <f t="shared" si="43"/>
        <v>38</v>
      </c>
      <c r="Y59" s="121">
        <f t="shared" si="36"/>
        <v>0</v>
      </c>
      <c r="Z59" s="121">
        <f t="shared" si="48"/>
        <v>10.777777777777779</v>
      </c>
      <c r="AA59" s="121">
        <f t="shared" si="32"/>
        <v>12</v>
      </c>
      <c r="AB59" s="121">
        <f t="shared" si="32"/>
        <v>2</v>
      </c>
      <c r="AC59" s="121">
        <f t="shared" si="32"/>
        <v>2</v>
      </c>
      <c r="AD59" s="121">
        <f t="shared" si="32"/>
        <v>10</v>
      </c>
      <c r="AE59" s="121">
        <f t="shared" si="32"/>
        <v>2</v>
      </c>
      <c r="AF59" s="51">
        <f t="shared" si="49"/>
        <v>11980.08</v>
      </c>
      <c r="AG59" s="240">
        <f t="shared" si="37"/>
        <v>0</v>
      </c>
      <c r="AH59" s="240">
        <f t="shared" si="45"/>
        <v>44</v>
      </c>
      <c r="AI59" s="240">
        <f t="shared" si="33"/>
        <v>48</v>
      </c>
      <c r="AJ59" s="240">
        <f t="shared" si="33"/>
        <v>0</v>
      </c>
      <c r="AK59" s="240">
        <f t="shared" si="33"/>
        <v>0</v>
      </c>
      <c r="AL59" s="240">
        <f t="shared" si="33"/>
        <v>33</v>
      </c>
      <c r="AM59" s="240">
        <f t="shared" si="33"/>
        <v>0</v>
      </c>
      <c r="AN59" s="70">
        <f t="shared" si="40"/>
        <v>125</v>
      </c>
    </row>
    <row r="60" spans="1:43" x14ac:dyDescent="0.25">
      <c r="A60" t="s">
        <v>40</v>
      </c>
      <c r="B60" s="16" t="str">
        <f t="shared" si="46"/>
        <v>E. Cubas</v>
      </c>
      <c r="C60" s="4" t="str">
        <f t="shared" si="46"/>
        <v>RAP</v>
      </c>
      <c r="D60" s="4">
        <f t="shared" si="47"/>
        <v>21</v>
      </c>
      <c r="E60" s="4">
        <f t="shared" si="47"/>
        <v>95.5</v>
      </c>
      <c r="F60" s="121">
        <f t="shared" si="34"/>
        <v>0</v>
      </c>
      <c r="G60" s="121">
        <f t="shared" si="30"/>
        <v>2</v>
      </c>
      <c r="H60" s="121">
        <f t="shared" si="30"/>
        <v>9</v>
      </c>
      <c r="I60" s="121">
        <f t="shared" si="30"/>
        <v>9.5</v>
      </c>
      <c r="J60" s="121">
        <f t="shared" si="30"/>
        <v>8.6</v>
      </c>
      <c r="K60" s="121">
        <f t="shared" si="30"/>
        <v>10.285714285714286</v>
      </c>
      <c r="L60" s="121">
        <f t="shared" si="30"/>
        <v>2</v>
      </c>
      <c r="M60" s="51">
        <f t="shared" si="30"/>
        <v>4460.3999999999996</v>
      </c>
      <c r="N60" s="240">
        <f t="shared" si="30"/>
        <v>0</v>
      </c>
      <c r="O60" s="240">
        <f t="shared" si="31"/>
        <v>0</v>
      </c>
      <c r="P60" s="240">
        <f t="shared" si="31"/>
        <v>26</v>
      </c>
      <c r="Q60" s="240">
        <f t="shared" si="31"/>
        <v>20.5</v>
      </c>
      <c r="R60" s="240">
        <f t="shared" si="31"/>
        <v>21</v>
      </c>
      <c r="S60" s="240">
        <f t="shared" si="31"/>
        <v>35</v>
      </c>
      <c r="T60" s="240">
        <f t="shared" si="31"/>
        <v>0</v>
      </c>
      <c r="U60" s="70">
        <f t="shared" si="39"/>
        <v>102.5</v>
      </c>
      <c r="W60">
        <f>D60+1+1</f>
        <v>23</v>
      </c>
      <c r="X60">
        <f>E60+$AQ$56-112</f>
        <v>53.5</v>
      </c>
      <c r="Y60" s="121">
        <f t="shared" si="36"/>
        <v>0</v>
      </c>
      <c r="Z60" s="121">
        <f>8+2/6</f>
        <v>8.3333333333333339</v>
      </c>
      <c r="AA60" s="121">
        <f t="shared" si="32"/>
        <v>9</v>
      </c>
      <c r="AB60" s="121">
        <f t="shared" si="32"/>
        <v>9.5</v>
      </c>
      <c r="AC60" s="121">
        <f t="shared" si="32"/>
        <v>8.6</v>
      </c>
      <c r="AD60" s="121">
        <f t="shared" si="32"/>
        <v>10.285714285714286</v>
      </c>
      <c r="AE60" s="121">
        <f t="shared" si="32"/>
        <v>2</v>
      </c>
      <c r="AF60" s="51">
        <f>(2900+140+620+785+515)*1.008</f>
        <v>4999.68</v>
      </c>
      <c r="AG60" s="240">
        <f t="shared" si="37"/>
        <v>0</v>
      </c>
      <c r="AH60" s="240">
        <f t="shared" si="45"/>
        <v>26</v>
      </c>
      <c r="AI60" s="240">
        <f t="shared" si="33"/>
        <v>26</v>
      </c>
      <c r="AJ60" s="240">
        <f t="shared" si="33"/>
        <v>20.5</v>
      </c>
      <c r="AK60" s="240">
        <f t="shared" si="33"/>
        <v>21</v>
      </c>
      <c r="AL60" s="240">
        <f t="shared" si="33"/>
        <v>35</v>
      </c>
      <c r="AM60" s="240">
        <f t="shared" si="33"/>
        <v>0</v>
      </c>
      <c r="AN60" s="70">
        <f t="shared" si="40"/>
        <v>128.5</v>
      </c>
    </row>
    <row r="61" spans="1:43" x14ac:dyDescent="0.25">
      <c r="A61" t="s">
        <v>34</v>
      </c>
      <c r="B61" s="16" t="str">
        <f t="shared" si="46"/>
        <v>V. Gomis</v>
      </c>
      <c r="C61" s="4" t="str">
        <f t="shared" si="46"/>
        <v>IMP</v>
      </c>
      <c r="D61" s="4">
        <f t="shared" si="47"/>
        <v>21</v>
      </c>
      <c r="E61" s="4">
        <f t="shared" si="47"/>
        <v>99.5</v>
      </c>
      <c r="F61" s="121">
        <f t="shared" si="34"/>
        <v>0</v>
      </c>
      <c r="G61" s="121">
        <f t="shared" si="30"/>
        <v>6</v>
      </c>
      <c r="H61" s="121">
        <f t="shared" si="30"/>
        <v>7.5</v>
      </c>
      <c r="I61" s="121">
        <f t="shared" si="30"/>
        <v>8</v>
      </c>
      <c r="J61" s="121">
        <f t="shared" si="30"/>
        <v>8.6</v>
      </c>
      <c r="K61" s="121">
        <f t="shared" si="30"/>
        <v>10</v>
      </c>
      <c r="L61" s="121">
        <f t="shared" si="30"/>
        <v>0</v>
      </c>
      <c r="M61" s="51">
        <f t="shared" si="30"/>
        <v>3540</v>
      </c>
      <c r="N61" s="240">
        <f t="shared" si="30"/>
        <v>0</v>
      </c>
      <c r="O61" s="240">
        <f t="shared" si="31"/>
        <v>14</v>
      </c>
      <c r="P61" s="240">
        <f t="shared" si="31"/>
        <v>18</v>
      </c>
      <c r="Q61" s="240">
        <f t="shared" si="31"/>
        <v>15</v>
      </c>
      <c r="R61" s="240">
        <f t="shared" si="31"/>
        <v>21</v>
      </c>
      <c r="S61" s="240">
        <f t="shared" si="31"/>
        <v>33</v>
      </c>
      <c r="T61" s="240">
        <f t="shared" si="31"/>
        <v>-2</v>
      </c>
      <c r="U61" s="70">
        <f>SUM(N61:T61)</f>
        <v>99</v>
      </c>
      <c r="W61">
        <f t="shared" ref="W61:W62" si="50">D61+1+1</f>
        <v>23</v>
      </c>
      <c r="X61">
        <f t="shared" ref="X61:X62" si="51">E61+$AQ$56-112</f>
        <v>57.5</v>
      </c>
      <c r="Y61" s="121">
        <f t="shared" si="36"/>
        <v>0</v>
      </c>
      <c r="Z61" s="121">
        <f>10+3/9</f>
        <v>10.333333333333334</v>
      </c>
      <c r="AA61" s="121">
        <f t="shared" si="32"/>
        <v>7.5</v>
      </c>
      <c r="AB61" s="121">
        <f t="shared" si="32"/>
        <v>8</v>
      </c>
      <c r="AC61" s="121">
        <f t="shared" si="32"/>
        <v>8.6</v>
      </c>
      <c r="AD61" s="121">
        <f t="shared" si="32"/>
        <v>10</v>
      </c>
      <c r="AE61" s="121">
        <f t="shared" si="32"/>
        <v>0</v>
      </c>
      <c r="AF61" s="51">
        <f>(2600+1315+140+275+330)*1</f>
        <v>4660</v>
      </c>
      <c r="AG61" s="240">
        <f t="shared" si="37"/>
        <v>0</v>
      </c>
      <c r="AH61" s="240">
        <f t="shared" si="45"/>
        <v>40</v>
      </c>
      <c r="AI61" s="240">
        <f t="shared" si="33"/>
        <v>18</v>
      </c>
      <c r="AJ61" s="240">
        <f t="shared" si="33"/>
        <v>15</v>
      </c>
      <c r="AK61" s="240">
        <f t="shared" si="33"/>
        <v>21</v>
      </c>
      <c r="AL61" s="240">
        <f t="shared" si="33"/>
        <v>33</v>
      </c>
      <c r="AM61" s="240">
        <f t="shared" si="33"/>
        <v>-2</v>
      </c>
      <c r="AN61" s="70">
        <f>SUM(AG61:AM61)</f>
        <v>125</v>
      </c>
    </row>
    <row r="62" spans="1:43" x14ac:dyDescent="0.25">
      <c r="A62" t="s">
        <v>42</v>
      </c>
      <c r="B62" s="16" t="str">
        <f t="shared" si="46"/>
        <v>J.G. Peñuela</v>
      </c>
      <c r="C62" s="4" t="str">
        <f t="shared" si="46"/>
        <v>IMP</v>
      </c>
      <c r="D62" s="4">
        <f t="shared" si="47"/>
        <v>21</v>
      </c>
      <c r="E62" s="4">
        <f t="shared" si="47"/>
        <v>95.5</v>
      </c>
      <c r="F62" s="121">
        <f t="shared" si="34"/>
        <v>0</v>
      </c>
      <c r="G62" s="121">
        <f t="shared" si="30"/>
        <v>3</v>
      </c>
      <c r="H62" s="121">
        <f t="shared" si="30"/>
        <v>8.6</v>
      </c>
      <c r="I62" s="121">
        <f t="shared" si="30"/>
        <v>8.8333333333333339</v>
      </c>
      <c r="J62" s="121">
        <f t="shared" si="30"/>
        <v>8</v>
      </c>
      <c r="K62" s="121">
        <f t="shared" si="30"/>
        <v>10.285714285714286</v>
      </c>
      <c r="L62" s="121">
        <f t="shared" si="30"/>
        <v>0</v>
      </c>
      <c r="M62" s="51">
        <f t="shared" si="30"/>
        <v>3800</v>
      </c>
      <c r="N62" s="240">
        <f t="shared" si="30"/>
        <v>0</v>
      </c>
      <c r="O62" s="240">
        <f t="shared" si="31"/>
        <v>3</v>
      </c>
      <c r="P62" s="240">
        <f t="shared" si="31"/>
        <v>24</v>
      </c>
      <c r="Q62" s="240">
        <f t="shared" si="31"/>
        <v>17.5</v>
      </c>
      <c r="R62" s="240">
        <f t="shared" si="31"/>
        <v>18</v>
      </c>
      <c r="S62" s="240">
        <f t="shared" si="31"/>
        <v>35</v>
      </c>
      <c r="T62" s="240">
        <f t="shared" si="31"/>
        <v>-2</v>
      </c>
      <c r="U62" s="70">
        <f>SUM(N62:T62)</f>
        <v>95.5</v>
      </c>
      <c r="W62">
        <f t="shared" si="50"/>
        <v>23</v>
      </c>
      <c r="X62">
        <f t="shared" si="51"/>
        <v>53.5</v>
      </c>
      <c r="Y62" s="121">
        <f t="shared" si="36"/>
        <v>0</v>
      </c>
      <c r="Z62" s="121">
        <f>8+5/6</f>
        <v>8.8333333333333339</v>
      </c>
      <c r="AA62" s="121">
        <f t="shared" si="32"/>
        <v>8.6</v>
      </c>
      <c r="AB62" s="121">
        <f t="shared" si="32"/>
        <v>8.8333333333333339</v>
      </c>
      <c r="AC62" s="121">
        <f t="shared" si="32"/>
        <v>8</v>
      </c>
      <c r="AD62" s="121">
        <f t="shared" si="32"/>
        <v>10.285714285714286</v>
      </c>
      <c r="AE62" s="121">
        <f t="shared" si="32"/>
        <v>0</v>
      </c>
      <c r="AF62" s="51">
        <f>(2900+135+430+615+620)*1</f>
        <v>4700</v>
      </c>
      <c r="AG62" s="240">
        <f t="shared" si="37"/>
        <v>0</v>
      </c>
      <c r="AH62" s="240">
        <f t="shared" si="45"/>
        <v>29</v>
      </c>
      <c r="AI62" s="240">
        <f t="shared" si="33"/>
        <v>24</v>
      </c>
      <c r="AJ62" s="240">
        <f t="shared" si="33"/>
        <v>17.5</v>
      </c>
      <c r="AK62" s="240">
        <f t="shared" si="33"/>
        <v>18</v>
      </c>
      <c r="AL62" s="240">
        <f t="shared" si="33"/>
        <v>35</v>
      </c>
      <c r="AM62" s="240">
        <f t="shared" si="33"/>
        <v>-2</v>
      </c>
      <c r="AN62" s="70">
        <f>SUM(AG62:AM62)</f>
        <v>121.5</v>
      </c>
    </row>
    <row r="63" spans="1:43" x14ac:dyDescent="0.25">
      <c r="A63" t="s">
        <v>46</v>
      </c>
      <c r="B63" s="16"/>
      <c r="C63" s="4"/>
      <c r="D63" s="4"/>
      <c r="E63" s="4"/>
      <c r="F63" s="121">
        <f t="shared" si="34"/>
        <v>0</v>
      </c>
      <c r="G63" s="121">
        <f t="shared" si="30"/>
        <v>2</v>
      </c>
      <c r="H63" s="121">
        <f t="shared" si="30"/>
        <v>2</v>
      </c>
      <c r="I63" s="121">
        <f t="shared" si="30"/>
        <v>2</v>
      </c>
      <c r="J63" s="121">
        <f t="shared" si="30"/>
        <v>2</v>
      </c>
      <c r="K63" s="121">
        <f t="shared" si="30"/>
        <v>2</v>
      </c>
      <c r="L63" s="121">
        <f t="shared" si="30"/>
        <v>2</v>
      </c>
      <c r="M63" s="51"/>
      <c r="N63" s="240">
        <f t="shared" si="30"/>
        <v>0</v>
      </c>
      <c r="O63" s="240">
        <f t="shared" si="31"/>
        <v>0</v>
      </c>
      <c r="P63" s="240">
        <f t="shared" si="31"/>
        <v>0</v>
      </c>
      <c r="Q63" s="240">
        <f t="shared" si="31"/>
        <v>0</v>
      </c>
      <c r="R63" s="240">
        <f t="shared" si="31"/>
        <v>0</v>
      </c>
      <c r="S63" s="240">
        <f t="shared" si="31"/>
        <v>0</v>
      </c>
      <c r="T63" s="240">
        <f t="shared" si="31"/>
        <v>0</v>
      </c>
      <c r="U63" s="70">
        <f t="shared" ref="U63:U64" si="52">SUM(N63:T63)</f>
        <v>0</v>
      </c>
      <c r="Y63" s="121">
        <f t="shared" si="36"/>
        <v>0</v>
      </c>
      <c r="Z63" s="121">
        <f t="shared" si="32"/>
        <v>2</v>
      </c>
      <c r="AA63" s="121">
        <f t="shared" si="32"/>
        <v>2</v>
      </c>
      <c r="AB63" s="121">
        <f t="shared" si="32"/>
        <v>2</v>
      </c>
      <c r="AC63" s="121">
        <f t="shared" si="32"/>
        <v>2</v>
      </c>
      <c r="AD63" s="121">
        <f t="shared" si="32"/>
        <v>2</v>
      </c>
      <c r="AE63" s="121">
        <f t="shared" si="32"/>
        <v>2</v>
      </c>
      <c r="AF63" s="51"/>
      <c r="AG63" s="240">
        <f t="shared" si="37"/>
        <v>0</v>
      </c>
      <c r="AH63" s="240">
        <f t="shared" si="33"/>
        <v>0</v>
      </c>
      <c r="AI63" s="240">
        <f t="shared" si="33"/>
        <v>0</v>
      </c>
      <c r="AJ63" s="240">
        <f t="shared" si="33"/>
        <v>0</v>
      </c>
      <c r="AK63" s="240">
        <f t="shared" si="33"/>
        <v>0</v>
      </c>
      <c r="AL63" s="240">
        <f t="shared" si="33"/>
        <v>0</v>
      </c>
      <c r="AM63" s="240">
        <f t="shared" si="33"/>
        <v>0</v>
      </c>
      <c r="AN63" s="70">
        <f t="shared" ref="AN63:AN64" si="53">SUM(AG63:AM63)</f>
        <v>0</v>
      </c>
    </row>
    <row r="64" spans="1:43" x14ac:dyDescent="0.25">
      <c r="A64" t="s">
        <v>383</v>
      </c>
      <c r="B64" s="16"/>
      <c r="C64" s="4"/>
      <c r="D64" s="4"/>
      <c r="E64" s="4"/>
      <c r="F64" s="121">
        <f t="shared" si="34"/>
        <v>0</v>
      </c>
      <c r="G64" s="121">
        <f t="shared" si="30"/>
        <v>2</v>
      </c>
      <c r="H64" s="121">
        <f t="shared" si="30"/>
        <v>2</v>
      </c>
      <c r="I64" s="121">
        <f t="shared" si="30"/>
        <v>2</v>
      </c>
      <c r="J64" s="121">
        <f t="shared" si="30"/>
        <v>2</v>
      </c>
      <c r="K64" s="121">
        <f t="shared" si="30"/>
        <v>2</v>
      </c>
      <c r="L64" s="121">
        <f t="shared" si="30"/>
        <v>2</v>
      </c>
      <c r="M64" s="51"/>
      <c r="N64" s="240">
        <f t="shared" si="30"/>
        <v>0</v>
      </c>
      <c r="O64" s="240">
        <f t="shared" si="31"/>
        <v>0</v>
      </c>
      <c r="P64" s="240">
        <f t="shared" si="31"/>
        <v>0</v>
      </c>
      <c r="Q64" s="240">
        <f t="shared" si="31"/>
        <v>0</v>
      </c>
      <c r="R64" s="240">
        <f t="shared" si="31"/>
        <v>0</v>
      </c>
      <c r="S64" s="240">
        <f t="shared" si="31"/>
        <v>0</v>
      </c>
      <c r="T64" s="240">
        <f t="shared" si="31"/>
        <v>0</v>
      </c>
      <c r="U64" s="70">
        <f t="shared" si="52"/>
        <v>0</v>
      </c>
      <c r="Y64" s="121">
        <f t="shared" si="36"/>
        <v>0</v>
      </c>
      <c r="Z64" s="121">
        <f t="shared" si="32"/>
        <v>2</v>
      </c>
      <c r="AA64" s="121">
        <f t="shared" si="32"/>
        <v>2</v>
      </c>
      <c r="AB64" s="121">
        <f t="shared" si="32"/>
        <v>2</v>
      </c>
      <c r="AC64" s="121">
        <f t="shared" si="32"/>
        <v>2</v>
      </c>
      <c r="AD64" s="121">
        <f t="shared" si="32"/>
        <v>2</v>
      </c>
      <c r="AE64" s="121">
        <f t="shared" si="32"/>
        <v>2</v>
      </c>
      <c r="AF64" s="51"/>
      <c r="AG64" s="240">
        <f t="shared" si="37"/>
        <v>0</v>
      </c>
      <c r="AH64" s="240">
        <f t="shared" si="33"/>
        <v>0</v>
      </c>
      <c r="AI64" s="240">
        <f t="shared" si="33"/>
        <v>0</v>
      </c>
      <c r="AJ64" s="240">
        <f t="shared" si="33"/>
        <v>0</v>
      </c>
      <c r="AK64" s="240">
        <f t="shared" si="33"/>
        <v>0</v>
      </c>
      <c r="AL64" s="240">
        <f t="shared" si="33"/>
        <v>0</v>
      </c>
      <c r="AM64" s="240">
        <f t="shared" si="33"/>
        <v>0</v>
      </c>
      <c r="AN64" s="70">
        <f t="shared" si="53"/>
        <v>0</v>
      </c>
    </row>
    <row r="65" spans="1:43" x14ac:dyDescent="0.25">
      <c r="A65"/>
      <c r="B65"/>
      <c r="F65" s="240"/>
      <c r="G65" s="240"/>
      <c r="H65" s="240"/>
      <c r="I65" s="240"/>
      <c r="J65" s="240"/>
      <c r="K65" s="240"/>
      <c r="L65" s="240"/>
      <c r="M65" s="241">
        <f>SUM(M67:M81)</f>
        <v>151807.20000000001</v>
      </c>
      <c r="N65" s="240"/>
      <c r="O65" s="240"/>
      <c r="P65" s="240"/>
      <c r="Q65" s="240"/>
      <c r="R65" s="240"/>
      <c r="S65" s="240"/>
      <c r="T65" s="240"/>
      <c r="U65" s="240"/>
      <c r="Y65" s="240"/>
      <c r="Z65" s="240"/>
      <c r="AA65" s="240"/>
      <c r="AB65" s="240"/>
      <c r="AC65" s="240"/>
      <c r="AD65" s="240"/>
      <c r="AE65" s="240"/>
      <c r="AF65" s="241">
        <f>SUM(AF67:AF81)</f>
        <v>157600.34499999997</v>
      </c>
      <c r="AG65" s="240"/>
      <c r="AH65" s="240"/>
      <c r="AI65" s="240"/>
      <c r="AJ65" s="240"/>
      <c r="AK65" s="240"/>
      <c r="AL65" s="240"/>
      <c r="AM65" s="240"/>
      <c r="AN65" s="240"/>
    </row>
    <row r="66" spans="1:43" x14ac:dyDescent="0.25">
      <c r="A66" s="11" t="s">
        <v>179</v>
      </c>
      <c r="B66" s="11" t="s">
        <v>2</v>
      </c>
      <c r="C66" s="11" t="s">
        <v>86</v>
      </c>
      <c r="D66" s="11" t="s">
        <v>370</v>
      </c>
      <c r="E66" s="11" t="s">
        <v>371</v>
      </c>
      <c r="F66" s="11" t="s">
        <v>15</v>
      </c>
      <c r="G66" s="11" t="s">
        <v>16</v>
      </c>
      <c r="H66" s="11" t="s">
        <v>17</v>
      </c>
      <c r="I66" s="11" t="s">
        <v>18</v>
      </c>
      <c r="J66" s="11" t="s">
        <v>19</v>
      </c>
      <c r="K66" s="11" t="s">
        <v>20</v>
      </c>
      <c r="L66" s="11" t="s">
        <v>6</v>
      </c>
      <c r="M66" s="11" t="s">
        <v>69</v>
      </c>
      <c r="N66" s="11" t="s">
        <v>372</v>
      </c>
      <c r="O66" s="11" t="s">
        <v>373</v>
      </c>
      <c r="P66" s="11" t="s">
        <v>374</v>
      </c>
      <c r="Q66" s="11" t="s">
        <v>375</v>
      </c>
      <c r="R66" s="11" t="s">
        <v>376</v>
      </c>
      <c r="S66" s="11" t="s">
        <v>377</v>
      </c>
      <c r="T66" s="11" t="s">
        <v>378</v>
      </c>
      <c r="U66" s="11" t="s">
        <v>379</v>
      </c>
      <c r="W66" s="11" t="s">
        <v>370</v>
      </c>
      <c r="X66" s="11" t="s">
        <v>371</v>
      </c>
      <c r="Y66" s="11" t="s">
        <v>15</v>
      </c>
      <c r="Z66" s="11" t="s">
        <v>16</v>
      </c>
      <c r="AA66" s="11" t="s">
        <v>17</v>
      </c>
      <c r="AB66" s="11" t="s">
        <v>18</v>
      </c>
      <c r="AC66" s="11" t="s">
        <v>19</v>
      </c>
      <c r="AD66" s="11" t="s">
        <v>20</v>
      </c>
      <c r="AE66" s="11" t="s">
        <v>6</v>
      </c>
      <c r="AF66" s="11" t="s">
        <v>69</v>
      </c>
      <c r="AG66" s="11" t="s">
        <v>372</v>
      </c>
      <c r="AH66" s="11" t="s">
        <v>373</v>
      </c>
      <c r="AI66" s="11" t="s">
        <v>374</v>
      </c>
      <c r="AJ66" s="11" t="s">
        <v>375</v>
      </c>
      <c r="AK66" s="11" t="s">
        <v>376</v>
      </c>
      <c r="AL66" s="11" t="s">
        <v>377</v>
      </c>
      <c r="AM66" s="11" t="s">
        <v>378</v>
      </c>
      <c r="AN66" s="11" t="s">
        <v>379</v>
      </c>
    </row>
    <row r="67" spans="1:43" x14ac:dyDescent="0.25">
      <c r="A67" t="s">
        <v>29</v>
      </c>
      <c r="B67" s="16" t="s">
        <v>74</v>
      </c>
      <c r="C67" s="20"/>
      <c r="D67" s="20">
        <v>22</v>
      </c>
      <c r="E67" s="20">
        <v>0</v>
      </c>
      <c r="F67" s="121">
        <v>16</v>
      </c>
      <c r="G67" s="121">
        <v>10</v>
      </c>
      <c r="H67" s="121">
        <f t="shared" ref="H67:K82" si="54">AA49</f>
        <v>0</v>
      </c>
      <c r="I67" s="121">
        <f t="shared" si="54"/>
        <v>0</v>
      </c>
      <c r="J67" s="121">
        <f t="shared" si="54"/>
        <v>0</v>
      </c>
      <c r="K67" s="121">
        <f t="shared" si="54"/>
        <v>0</v>
      </c>
      <c r="L67" s="121">
        <v>7</v>
      </c>
      <c r="M67" s="51">
        <f>(24270+1165)*1.02</f>
        <v>25943.7</v>
      </c>
      <c r="N67" s="240">
        <v>52</v>
      </c>
      <c r="O67" s="240">
        <v>37</v>
      </c>
      <c r="P67" s="240">
        <f t="shared" ref="P67:S82" si="55">AI49</f>
        <v>0</v>
      </c>
      <c r="Q67" s="240">
        <f t="shared" si="55"/>
        <v>0</v>
      </c>
      <c r="R67" s="240">
        <f t="shared" si="55"/>
        <v>0</v>
      </c>
      <c r="S67" s="240">
        <f t="shared" si="55"/>
        <v>0</v>
      </c>
      <c r="T67" s="240">
        <v>5</v>
      </c>
      <c r="U67" s="70">
        <f>SUM(N67:T67)</f>
        <v>94</v>
      </c>
      <c r="W67">
        <f>D67+1</f>
        <v>23</v>
      </c>
      <c r="X67">
        <f>E67+$AQ$76</f>
        <v>63</v>
      </c>
      <c r="Y67" s="121">
        <f>F67</f>
        <v>16</v>
      </c>
      <c r="Z67" s="121">
        <f t="shared" ref="Z67:AD82" si="56">G67</f>
        <v>10</v>
      </c>
      <c r="AA67" s="121">
        <f t="shared" si="56"/>
        <v>0</v>
      </c>
      <c r="AB67" s="121">
        <f t="shared" si="56"/>
        <v>0</v>
      </c>
      <c r="AC67" s="121">
        <f t="shared" si="56"/>
        <v>0</v>
      </c>
      <c r="AD67" s="121">
        <f t="shared" si="56"/>
        <v>0</v>
      </c>
      <c r="AE67" s="121">
        <f>18+1/4</f>
        <v>18.25</v>
      </c>
      <c r="AF67" s="51">
        <f>(24270+1165)*1.055</f>
        <v>26833.924999999999</v>
      </c>
      <c r="AG67" s="240">
        <f>N67</f>
        <v>52</v>
      </c>
      <c r="AH67" s="240">
        <f t="shared" ref="AH67:AL82" si="57">O67</f>
        <v>37</v>
      </c>
      <c r="AI67" s="240">
        <f t="shared" si="57"/>
        <v>0</v>
      </c>
      <c r="AJ67" s="240">
        <f t="shared" si="57"/>
        <v>0</v>
      </c>
      <c r="AK67" s="240">
        <f t="shared" si="57"/>
        <v>0</v>
      </c>
      <c r="AL67" s="240">
        <f t="shared" si="57"/>
        <v>0</v>
      </c>
      <c r="AM67" s="240">
        <f>T67+$AQ$74</f>
        <v>30</v>
      </c>
      <c r="AN67" s="70">
        <f>SUM(AG67:AM67)</f>
        <v>119</v>
      </c>
    </row>
    <row r="68" spans="1:43" x14ac:dyDescent="0.25">
      <c r="A68" t="s">
        <v>32</v>
      </c>
      <c r="B68" s="16" t="s">
        <v>385</v>
      </c>
      <c r="C68" s="20" t="s">
        <v>0</v>
      </c>
      <c r="D68" s="20">
        <v>22</v>
      </c>
      <c r="E68" s="20">
        <v>50</v>
      </c>
      <c r="F68" s="121">
        <f t="shared" ref="F68:F70" si="58">Y50</f>
        <v>0</v>
      </c>
      <c r="G68" s="121">
        <v>12</v>
      </c>
      <c r="H68" s="121">
        <v>7</v>
      </c>
      <c r="I68" s="121">
        <f t="shared" si="54"/>
        <v>2</v>
      </c>
      <c r="J68" s="121">
        <f t="shared" si="54"/>
        <v>2</v>
      </c>
      <c r="K68" s="121">
        <v>10</v>
      </c>
      <c r="L68" s="121">
        <f t="shared" ref="L68:P82" si="59">AE50</f>
        <v>2</v>
      </c>
      <c r="M68" s="51">
        <f>(7010+255+1315)*1.008</f>
        <v>8648.64</v>
      </c>
      <c r="N68" s="240">
        <f t="shared" si="59"/>
        <v>0</v>
      </c>
      <c r="O68" s="240">
        <v>56</v>
      </c>
      <c r="P68" s="240">
        <v>16</v>
      </c>
      <c r="Q68" s="240">
        <f t="shared" si="55"/>
        <v>0</v>
      </c>
      <c r="R68" s="240">
        <f t="shared" si="55"/>
        <v>0</v>
      </c>
      <c r="S68" s="240">
        <v>33</v>
      </c>
      <c r="T68" s="240">
        <f t="shared" ref="T68:T80" si="60">AM50</f>
        <v>0</v>
      </c>
      <c r="U68" s="70">
        <f t="shared" ref="U68" si="61">SUM(N68:T68)</f>
        <v>105</v>
      </c>
      <c r="W68">
        <f>D68+1+1</f>
        <v>24</v>
      </c>
      <c r="X68">
        <f>E68+$AQ$76-112</f>
        <v>1</v>
      </c>
      <c r="Y68" s="121">
        <f t="shared" ref="Y68:Y82" si="62">F68</f>
        <v>0</v>
      </c>
      <c r="Z68" s="121">
        <f t="shared" si="56"/>
        <v>12</v>
      </c>
      <c r="AA68" s="121">
        <f t="shared" si="56"/>
        <v>7</v>
      </c>
      <c r="AB68" s="121">
        <f t="shared" si="56"/>
        <v>2</v>
      </c>
      <c r="AC68" s="121">
        <f t="shared" si="56"/>
        <v>2</v>
      </c>
      <c r="AD68" s="121">
        <f t="shared" si="56"/>
        <v>10</v>
      </c>
      <c r="AE68" s="121">
        <v>17</v>
      </c>
      <c r="AF68" s="51">
        <f>(7010+255+1315)*1.047</f>
        <v>8983.26</v>
      </c>
      <c r="AG68" s="240">
        <f t="shared" ref="AG68:AG82" si="63">N68</f>
        <v>0</v>
      </c>
      <c r="AH68" s="240">
        <f t="shared" si="57"/>
        <v>56</v>
      </c>
      <c r="AI68" s="240">
        <f t="shared" si="57"/>
        <v>16</v>
      </c>
      <c r="AJ68" s="240">
        <f t="shared" si="57"/>
        <v>0</v>
      </c>
      <c r="AK68" s="240">
        <f t="shared" si="57"/>
        <v>0</v>
      </c>
      <c r="AL68" s="240">
        <f t="shared" si="57"/>
        <v>33</v>
      </c>
      <c r="AM68" s="240">
        <f t="shared" ref="AM68:AM82" si="64">T68+$AQ$74</f>
        <v>25</v>
      </c>
      <c r="AN68" s="70">
        <f t="shared" ref="AN68" si="65">SUM(AG68:AM68)</f>
        <v>130</v>
      </c>
    </row>
    <row r="69" spans="1:43" x14ac:dyDescent="0.25">
      <c r="A69" t="s">
        <v>33</v>
      </c>
      <c r="B69" s="16" t="s">
        <v>385</v>
      </c>
      <c r="C69" s="20" t="s">
        <v>0</v>
      </c>
      <c r="D69" s="20">
        <v>22</v>
      </c>
      <c r="E69" s="20">
        <v>50</v>
      </c>
      <c r="F69" s="121">
        <f t="shared" si="58"/>
        <v>0</v>
      </c>
      <c r="G69" s="121">
        <v>12</v>
      </c>
      <c r="H69" s="121">
        <v>7</v>
      </c>
      <c r="I69" s="121">
        <f t="shared" si="54"/>
        <v>2</v>
      </c>
      <c r="J69" s="121">
        <f t="shared" si="54"/>
        <v>2</v>
      </c>
      <c r="K69" s="121">
        <v>10</v>
      </c>
      <c r="L69" s="121">
        <f t="shared" si="59"/>
        <v>2</v>
      </c>
      <c r="M69" s="51">
        <f>(7010+255+1315)*1.008</f>
        <v>8648.64</v>
      </c>
      <c r="N69" s="240">
        <f t="shared" si="59"/>
        <v>0</v>
      </c>
      <c r="O69" s="240">
        <v>56</v>
      </c>
      <c r="P69" s="240">
        <v>16</v>
      </c>
      <c r="Q69" s="240">
        <f t="shared" si="55"/>
        <v>0</v>
      </c>
      <c r="R69" s="240">
        <f t="shared" si="55"/>
        <v>0</v>
      </c>
      <c r="S69" s="240">
        <v>33</v>
      </c>
      <c r="T69" s="240">
        <f t="shared" si="60"/>
        <v>0</v>
      </c>
      <c r="U69" s="70">
        <f>SUM(N69:T69)</f>
        <v>105</v>
      </c>
      <c r="W69">
        <f t="shared" ref="W69:W70" si="66">D69+1+1</f>
        <v>24</v>
      </c>
      <c r="X69">
        <f t="shared" ref="X69:X70" si="67">E69+$AQ$76-112</f>
        <v>1</v>
      </c>
      <c r="Y69" s="121">
        <f t="shared" si="62"/>
        <v>0</v>
      </c>
      <c r="Z69" s="121">
        <f t="shared" si="56"/>
        <v>12</v>
      </c>
      <c r="AA69" s="121">
        <f t="shared" si="56"/>
        <v>7</v>
      </c>
      <c r="AB69" s="121">
        <f t="shared" si="56"/>
        <v>2</v>
      </c>
      <c r="AC69" s="121">
        <f t="shared" si="56"/>
        <v>2</v>
      </c>
      <c r="AD69" s="121">
        <f t="shared" si="56"/>
        <v>10</v>
      </c>
      <c r="AE69" s="121">
        <v>17</v>
      </c>
      <c r="AF69" s="51">
        <f t="shared" ref="AF69:AF70" si="68">(7010+255+1315)*1.047</f>
        <v>8983.26</v>
      </c>
      <c r="AG69" s="240">
        <f t="shared" si="63"/>
        <v>0</v>
      </c>
      <c r="AH69" s="240">
        <f t="shared" si="57"/>
        <v>56</v>
      </c>
      <c r="AI69" s="240">
        <f t="shared" si="57"/>
        <v>16</v>
      </c>
      <c r="AJ69" s="240">
        <f t="shared" si="57"/>
        <v>0</v>
      </c>
      <c r="AK69" s="240">
        <f t="shared" si="57"/>
        <v>0</v>
      </c>
      <c r="AL69" s="240">
        <f t="shared" si="57"/>
        <v>33</v>
      </c>
      <c r="AM69" s="240">
        <f t="shared" si="64"/>
        <v>25</v>
      </c>
      <c r="AN69" s="70">
        <f>SUM(AG69:AM69)</f>
        <v>130</v>
      </c>
    </row>
    <row r="70" spans="1:43" x14ac:dyDescent="0.25">
      <c r="A70" t="s">
        <v>39</v>
      </c>
      <c r="B70" s="16" t="s">
        <v>385</v>
      </c>
      <c r="C70" s="20" t="s">
        <v>0</v>
      </c>
      <c r="D70" s="20">
        <v>22</v>
      </c>
      <c r="E70" s="20">
        <v>50</v>
      </c>
      <c r="F70" s="121">
        <f t="shared" si="58"/>
        <v>0</v>
      </c>
      <c r="G70" s="121">
        <v>12</v>
      </c>
      <c r="H70" s="121">
        <v>7</v>
      </c>
      <c r="I70" s="121">
        <f t="shared" si="54"/>
        <v>2</v>
      </c>
      <c r="J70" s="121">
        <f t="shared" si="54"/>
        <v>2</v>
      </c>
      <c r="K70" s="121">
        <v>10</v>
      </c>
      <c r="L70" s="121">
        <f t="shared" si="59"/>
        <v>2</v>
      </c>
      <c r="M70" s="51">
        <f>(7010+255+1315)*1.008</f>
        <v>8648.64</v>
      </c>
      <c r="N70" s="240">
        <f t="shared" si="59"/>
        <v>0</v>
      </c>
      <c r="O70" s="240">
        <v>56</v>
      </c>
      <c r="P70" s="240">
        <v>16</v>
      </c>
      <c r="Q70" s="240">
        <f t="shared" si="55"/>
        <v>0</v>
      </c>
      <c r="R70" s="240">
        <f t="shared" si="55"/>
        <v>0</v>
      </c>
      <c r="S70" s="240">
        <v>33</v>
      </c>
      <c r="T70" s="240">
        <f t="shared" si="60"/>
        <v>0</v>
      </c>
      <c r="U70" s="70">
        <f>SUM(N70:T70)</f>
        <v>105</v>
      </c>
      <c r="W70">
        <f t="shared" si="66"/>
        <v>24</v>
      </c>
      <c r="X70">
        <f t="shared" si="67"/>
        <v>1</v>
      </c>
      <c r="Y70" s="121">
        <f t="shared" si="62"/>
        <v>0</v>
      </c>
      <c r="Z70" s="121">
        <f t="shared" si="56"/>
        <v>12</v>
      </c>
      <c r="AA70" s="121">
        <f t="shared" si="56"/>
        <v>7</v>
      </c>
      <c r="AB70" s="121">
        <f t="shared" si="56"/>
        <v>2</v>
      </c>
      <c r="AC70" s="121">
        <f t="shared" si="56"/>
        <v>2</v>
      </c>
      <c r="AD70" s="121">
        <f t="shared" si="56"/>
        <v>10</v>
      </c>
      <c r="AE70" s="121">
        <v>17</v>
      </c>
      <c r="AF70" s="51">
        <f t="shared" si="68"/>
        <v>8983.26</v>
      </c>
      <c r="AG70" s="240">
        <f t="shared" si="63"/>
        <v>0</v>
      </c>
      <c r="AH70" s="240">
        <f t="shared" si="57"/>
        <v>56</v>
      </c>
      <c r="AI70" s="240">
        <f t="shared" si="57"/>
        <v>16</v>
      </c>
      <c r="AJ70" s="240">
        <f t="shared" si="57"/>
        <v>0</v>
      </c>
      <c r="AK70" s="240">
        <f t="shared" si="57"/>
        <v>0</v>
      </c>
      <c r="AL70" s="240">
        <f t="shared" si="57"/>
        <v>33</v>
      </c>
      <c r="AM70" s="240">
        <f t="shared" si="64"/>
        <v>25</v>
      </c>
      <c r="AN70" s="70">
        <f>SUM(AG70:AM70)</f>
        <v>130</v>
      </c>
    </row>
    <row r="71" spans="1:43" x14ac:dyDescent="0.25">
      <c r="A71" t="s">
        <v>41</v>
      </c>
      <c r="B71" s="16" t="str">
        <f t="shared" ref="B71:C80" si="69">B53</f>
        <v>Defensa</v>
      </c>
      <c r="C71" s="20" t="str">
        <f t="shared" si="69"/>
        <v>POT</v>
      </c>
      <c r="D71" s="20">
        <f t="shared" ref="D71:H82" si="70">W53</f>
        <v>23</v>
      </c>
      <c r="E71" s="20">
        <f t="shared" si="70"/>
        <v>28</v>
      </c>
      <c r="F71" s="121">
        <f t="shared" si="70"/>
        <v>0</v>
      </c>
      <c r="G71" s="121">
        <f t="shared" si="70"/>
        <v>12</v>
      </c>
      <c r="H71" s="121">
        <f t="shared" si="70"/>
        <v>10</v>
      </c>
      <c r="I71" s="121">
        <f t="shared" si="54"/>
        <v>2</v>
      </c>
      <c r="J71" s="121">
        <f t="shared" si="54"/>
        <v>2</v>
      </c>
      <c r="K71" s="121">
        <f t="shared" si="54"/>
        <v>10</v>
      </c>
      <c r="L71" s="121">
        <f t="shared" si="59"/>
        <v>2</v>
      </c>
      <c r="M71" s="51">
        <f t="shared" si="59"/>
        <v>9858.24</v>
      </c>
      <c r="N71" s="240">
        <f t="shared" si="59"/>
        <v>0</v>
      </c>
      <c r="O71" s="240">
        <f t="shared" si="59"/>
        <v>56</v>
      </c>
      <c r="P71" s="240">
        <f t="shared" si="59"/>
        <v>33</v>
      </c>
      <c r="Q71" s="240">
        <f t="shared" si="55"/>
        <v>0</v>
      </c>
      <c r="R71" s="240">
        <f t="shared" si="55"/>
        <v>0</v>
      </c>
      <c r="S71" s="240">
        <f t="shared" si="55"/>
        <v>33</v>
      </c>
      <c r="T71" s="240">
        <f t="shared" si="60"/>
        <v>0</v>
      </c>
      <c r="U71" s="70">
        <f t="shared" ref="U71:U78" si="71">SUM(N71:T71)</f>
        <v>122</v>
      </c>
      <c r="W71">
        <f t="shared" ref="W71:W77" si="72">D71+1</f>
        <v>24</v>
      </c>
      <c r="X71">
        <f t="shared" ref="X71:X77" si="73">E71+$AQ$76</f>
        <v>91</v>
      </c>
      <c r="Y71" s="121">
        <f t="shared" si="62"/>
        <v>0</v>
      </c>
      <c r="Z71" s="121">
        <f t="shared" si="56"/>
        <v>12</v>
      </c>
      <c r="AA71" s="121">
        <f t="shared" si="56"/>
        <v>10</v>
      </c>
      <c r="AB71" s="121">
        <f t="shared" si="56"/>
        <v>2</v>
      </c>
      <c r="AC71" s="121">
        <f t="shared" si="56"/>
        <v>2</v>
      </c>
      <c r="AD71" s="121">
        <f t="shared" si="56"/>
        <v>10</v>
      </c>
      <c r="AE71" s="121">
        <v>17</v>
      </c>
      <c r="AF71" s="51">
        <f>(7010+1455+1315)*1.047</f>
        <v>10239.66</v>
      </c>
      <c r="AG71" s="240">
        <f t="shared" si="63"/>
        <v>0</v>
      </c>
      <c r="AH71" s="240">
        <f t="shared" si="57"/>
        <v>56</v>
      </c>
      <c r="AI71" s="240">
        <f t="shared" si="57"/>
        <v>33</v>
      </c>
      <c r="AJ71" s="240">
        <f t="shared" si="57"/>
        <v>0</v>
      </c>
      <c r="AK71" s="240">
        <f t="shared" si="57"/>
        <v>0</v>
      </c>
      <c r="AL71" s="240">
        <f t="shared" si="57"/>
        <v>33</v>
      </c>
      <c r="AM71" s="240">
        <f t="shared" si="64"/>
        <v>25</v>
      </c>
      <c r="AN71" s="70">
        <f t="shared" ref="AN71:AN78" si="74">SUM(AG71:AM71)</f>
        <v>147</v>
      </c>
    </row>
    <row r="72" spans="1:43" x14ac:dyDescent="0.25">
      <c r="A72" t="s">
        <v>38</v>
      </c>
      <c r="B72" s="16" t="str">
        <f t="shared" si="69"/>
        <v>Defensa</v>
      </c>
      <c r="C72" s="20" t="str">
        <f t="shared" si="69"/>
        <v>POT</v>
      </c>
      <c r="D72" s="20">
        <f t="shared" si="70"/>
        <v>23</v>
      </c>
      <c r="E72" s="20">
        <f t="shared" si="70"/>
        <v>28</v>
      </c>
      <c r="F72" s="121">
        <f t="shared" si="70"/>
        <v>0</v>
      </c>
      <c r="G72" s="121">
        <f t="shared" si="70"/>
        <v>12</v>
      </c>
      <c r="H72" s="121">
        <f t="shared" si="70"/>
        <v>10</v>
      </c>
      <c r="I72" s="121">
        <f t="shared" si="54"/>
        <v>2</v>
      </c>
      <c r="J72" s="121">
        <f t="shared" si="54"/>
        <v>2</v>
      </c>
      <c r="K72" s="121">
        <f t="shared" si="54"/>
        <v>10</v>
      </c>
      <c r="L72" s="121">
        <f t="shared" si="59"/>
        <v>2</v>
      </c>
      <c r="M72" s="51">
        <f t="shared" si="59"/>
        <v>9858.24</v>
      </c>
      <c r="N72" s="240">
        <f t="shared" si="59"/>
        <v>0</v>
      </c>
      <c r="O72" s="240">
        <f t="shared" si="59"/>
        <v>56</v>
      </c>
      <c r="P72" s="240">
        <f t="shared" si="59"/>
        <v>33</v>
      </c>
      <c r="Q72" s="240">
        <f t="shared" si="55"/>
        <v>0</v>
      </c>
      <c r="R72" s="240">
        <f t="shared" si="55"/>
        <v>0</v>
      </c>
      <c r="S72" s="240">
        <f t="shared" si="55"/>
        <v>33</v>
      </c>
      <c r="T72" s="240">
        <f t="shared" si="60"/>
        <v>0</v>
      </c>
      <c r="U72" s="70">
        <f t="shared" si="71"/>
        <v>122</v>
      </c>
      <c r="W72">
        <f t="shared" si="72"/>
        <v>24</v>
      </c>
      <c r="X72">
        <f t="shared" si="73"/>
        <v>91</v>
      </c>
      <c r="Y72" s="121">
        <f t="shared" si="62"/>
        <v>0</v>
      </c>
      <c r="Z72" s="121">
        <f t="shared" si="56"/>
        <v>12</v>
      </c>
      <c r="AA72" s="121">
        <f t="shared" si="56"/>
        <v>10</v>
      </c>
      <c r="AB72" s="121">
        <f t="shared" si="56"/>
        <v>2</v>
      </c>
      <c r="AC72" s="121">
        <f t="shared" si="56"/>
        <v>2</v>
      </c>
      <c r="AD72" s="121">
        <f t="shared" si="56"/>
        <v>10</v>
      </c>
      <c r="AE72" s="121">
        <v>17</v>
      </c>
      <c r="AF72" s="51">
        <f t="shared" ref="AF72:AF74" si="75">(7010+1455+1315)*1.047</f>
        <v>10239.66</v>
      </c>
      <c r="AG72" s="240">
        <f t="shared" si="63"/>
        <v>0</v>
      </c>
      <c r="AH72" s="240">
        <f t="shared" si="57"/>
        <v>56</v>
      </c>
      <c r="AI72" s="240">
        <f t="shared" si="57"/>
        <v>33</v>
      </c>
      <c r="AJ72" s="240">
        <f t="shared" si="57"/>
        <v>0</v>
      </c>
      <c r="AK72" s="240">
        <f t="shared" si="57"/>
        <v>0</v>
      </c>
      <c r="AL72" s="240">
        <f t="shared" si="57"/>
        <v>33</v>
      </c>
      <c r="AM72" s="240">
        <f t="shared" si="64"/>
        <v>25</v>
      </c>
      <c r="AN72" s="70">
        <f t="shared" si="74"/>
        <v>147</v>
      </c>
    </row>
    <row r="73" spans="1:43" x14ac:dyDescent="0.25">
      <c r="A73" t="s">
        <v>35</v>
      </c>
      <c r="B73" s="16" t="str">
        <f t="shared" si="69"/>
        <v>Defensa</v>
      </c>
      <c r="C73" s="20" t="str">
        <f t="shared" si="69"/>
        <v>IMP</v>
      </c>
      <c r="D73" s="20">
        <f t="shared" si="70"/>
        <v>23</v>
      </c>
      <c r="E73" s="20">
        <f t="shared" si="70"/>
        <v>28</v>
      </c>
      <c r="F73" s="121">
        <f t="shared" si="70"/>
        <v>0</v>
      </c>
      <c r="G73" s="121">
        <f t="shared" si="70"/>
        <v>12</v>
      </c>
      <c r="H73" s="121">
        <f t="shared" si="70"/>
        <v>10</v>
      </c>
      <c r="I73" s="121">
        <f t="shared" si="54"/>
        <v>2</v>
      </c>
      <c r="J73" s="121">
        <f t="shared" si="54"/>
        <v>2</v>
      </c>
      <c r="K73" s="121">
        <f t="shared" si="54"/>
        <v>10</v>
      </c>
      <c r="L73" s="121">
        <f t="shared" si="59"/>
        <v>2</v>
      </c>
      <c r="M73" s="51">
        <f t="shared" si="59"/>
        <v>9858.24</v>
      </c>
      <c r="N73" s="240">
        <f t="shared" si="59"/>
        <v>0</v>
      </c>
      <c r="O73" s="240">
        <f t="shared" si="59"/>
        <v>56</v>
      </c>
      <c r="P73" s="240">
        <f t="shared" si="59"/>
        <v>33</v>
      </c>
      <c r="Q73" s="240">
        <f t="shared" si="55"/>
        <v>0</v>
      </c>
      <c r="R73" s="240">
        <f t="shared" si="55"/>
        <v>0</v>
      </c>
      <c r="S73" s="240">
        <f t="shared" si="55"/>
        <v>33</v>
      </c>
      <c r="T73" s="240">
        <f t="shared" si="60"/>
        <v>0</v>
      </c>
      <c r="U73" s="70">
        <f t="shared" si="71"/>
        <v>122</v>
      </c>
      <c r="W73">
        <f t="shared" si="72"/>
        <v>24</v>
      </c>
      <c r="X73">
        <f t="shared" si="73"/>
        <v>91</v>
      </c>
      <c r="Y73" s="121">
        <f t="shared" si="62"/>
        <v>0</v>
      </c>
      <c r="Z73" s="121">
        <f t="shared" si="56"/>
        <v>12</v>
      </c>
      <c r="AA73" s="121">
        <f t="shared" si="56"/>
        <v>10</v>
      </c>
      <c r="AB73" s="121">
        <f t="shared" si="56"/>
        <v>2</v>
      </c>
      <c r="AC73" s="121">
        <f t="shared" si="56"/>
        <v>2</v>
      </c>
      <c r="AD73" s="121">
        <f t="shared" si="56"/>
        <v>10</v>
      </c>
      <c r="AE73" s="121">
        <v>17</v>
      </c>
      <c r="AF73" s="51">
        <f t="shared" si="75"/>
        <v>10239.66</v>
      </c>
      <c r="AG73" s="240">
        <f t="shared" si="63"/>
        <v>0</v>
      </c>
      <c r="AH73" s="240">
        <f t="shared" si="57"/>
        <v>56</v>
      </c>
      <c r="AI73" s="240">
        <f t="shared" si="57"/>
        <v>33</v>
      </c>
      <c r="AJ73" s="240">
        <f t="shared" si="57"/>
        <v>0</v>
      </c>
      <c r="AK73" s="240">
        <f t="shared" si="57"/>
        <v>0</v>
      </c>
      <c r="AL73" s="240">
        <f t="shared" si="57"/>
        <v>33</v>
      </c>
      <c r="AM73" s="240">
        <f t="shared" si="64"/>
        <v>25</v>
      </c>
      <c r="AN73" s="70">
        <f t="shared" si="74"/>
        <v>147</v>
      </c>
    </row>
    <row r="74" spans="1:43" x14ac:dyDescent="0.25">
      <c r="A74" t="s">
        <v>31</v>
      </c>
      <c r="B74" s="16" t="str">
        <f t="shared" si="69"/>
        <v>Defensa</v>
      </c>
      <c r="C74" s="20" t="str">
        <f t="shared" si="69"/>
        <v>IMP</v>
      </c>
      <c r="D74" s="20">
        <f t="shared" si="70"/>
        <v>23</v>
      </c>
      <c r="E74" s="20">
        <f t="shared" si="70"/>
        <v>28</v>
      </c>
      <c r="F74" s="121">
        <f t="shared" si="70"/>
        <v>0</v>
      </c>
      <c r="G74" s="121">
        <f t="shared" si="70"/>
        <v>12</v>
      </c>
      <c r="H74" s="121">
        <f t="shared" si="70"/>
        <v>10</v>
      </c>
      <c r="I74" s="121">
        <f t="shared" si="54"/>
        <v>2</v>
      </c>
      <c r="J74" s="121">
        <f t="shared" si="54"/>
        <v>2</v>
      </c>
      <c r="K74" s="121">
        <f t="shared" si="54"/>
        <v>10</v>
      </c>
      <c r="L74" s="121">
        <f t="shared" si="59"/>
        <v>2</v>
      </c>
      <c r="M74" s="51">
        <f t="shared" si="59"/>
        <v>9858.24</v>
      </c>
      <c r="N74" s="240">
        <f t="shared" si="59"/>
        <v>0</v>
      </c>
      <c r="O74" s="240">
        <f t="shared" si="59"/>
        <v>56</v>
      </c>
      <c r="P74" s="240">
        <f t="shared" si="59"/>
        <v>33</v>
      </c>
      <c r="Q74" s="240">
        <f t="shared" si="55"/>
        <v>0</v>
      </c>
      <c r="R74" s="240">
        <f t="shared" si="55"/>
        <v>0</v>
      </c>
      <c r="S74" s="240">
        <f t="shared" si="55"/>
        <v>33</v>
      </c>
      <c r="T74" s="240">
        <f t="shared" si="60"/>
        <v>0</v>
      </c>
      <c r="U74" s="70">
        <f t="shared" si="71"/>
        <v>122</v>
      </c>
      <c r="W74">
        <f t="shared" si="72"/>
        <v>24</v>
      </c>
      <c r="X74">
        <f t="shared" si="73"/>
        <v>91</v>
      </c>
      <c r="Y74" s="121">
        <f t="shared" si="62"/>
        <v>0</v>
      </c>
      <c r="Z74" s="121">
        <f t="shared" si="56"/>
        <v>12</v>
      </c>
      <c r="AA74" s="121">
        <f t="shared" si="56"/>
        <v>10</v>
      </c>
      <c r="AB74" s="121">
        <f t="shared" si="56"/>
        <v>2</v>
      </c>
      <c r="AC74" s="121">
        <f t="shared" si="56"/>
        <v>2</v>
      </c>
      <c r="AD74" s="121">
        <f t="shared" si="56"/>
        <v>10</v>
      </c>
      <c r="AE74" s="121">
        <v>17</v>
      </c>
      <c r="AF74" s="51">
        <f t="shared" si="75"/>
        <v>10239.66</v>
      </c>
      <c r="AG74" s="240">
        <f t="shared" si="63"/>
        <v>0</v>
      </c>
      <c r="AH74" s="240">
        <f t="shared" si="57"/>
        <v>56</v>
      </c>
      <c r="AI74" s="240">
        <f t="shared" si="57"/>
        <v>33</v>
      </c>
      <c r="AJ74" s="240">
        <f t="shared" si="57"/>
        <v>0</v>
      </c>
      <c r="AK74" s="240">
        <f t="shared" si="57"/>
        <v>0</v>
      </c>
      <c r="AL74" s="240">
        <f t="shared" si="57"/>
        <v>33</v>
      </c>
      <c r="AM74" s="240">
        <f t="shared" si="64"/>
        <v>25</v>
      </c>
      <c r="AN74" s="70">
        <f t="shared" si="74"/>
        <v>147</v>
      </c>
      <c r="AP74" s="244" t="s">
        <v>47</v>
      </c>
      <c r="AQ74" s="244">
        <v>25</v>
      </c>
    </row>
    <row r="75" spans="1:43" x14ac:dyDescent="0.25">
      <c r="A75" t="s">
        <v>43</v>
      </c>
      <c r="B75" s="16" t="str">
        <f t="shared" si="69"/>
        <v>Inner</v>
      </c>
      <c r="C75" s="20" t="str">
        <f t="shared" si="69"/>
        <v>CAB</v>
      </c>
      <c r="D75" s="20">
        <f t="shared" si="70"/>
        <v>23</v>
      </c>
      <c r="E75" s="20">
        <f t="shared" si="70"/>
        <v>38</v>
      </c>
      <c r="F75" s="121">
        <f t="shared" si="70"/>
        <v>0</v>
      </c>
      <c r="G75" s="121">
        <f t="shared" si="70"/>
        <v>10.777777777777779</v>
      </c>
      <c r="H75" s="121">
        <f t="shared" si="70"/>
        <v>12</v>
      </c>
      <c r="I75" s="121">
        <f t="shared" si="54"/>
        <v>2</v>
      </c>
      <c r="J75" s="121">
        <f t="shared" si="54"/>
        <v>2</v>
      </c>
      <c r="K75" s="121">
        <f t="shared" si="54"/>
        <v>10</v>
      </c>
      <c r="L75" s="121">
        <f t="shared" si="59"/>
        <v>2</v>
      </c>
      <c r="M75" s="51">
        <f t="shared" si="59"/>
        <v>11980.08</v>
      </c>
      <c r="N75" s="240">
        <f t="shared" si="59"/>
        <v>0</v>
      </c>
      <c r="O75" s="240">
        <f t="shared" si="59"/>
        <v>44</v>
      </c>
      <c r="P75" s="240">
        <f t="shared" si="59"/>
        <v>48</v>
      </c>
      <c r="Q75" s="240">
        <f t="shared" si="55"/>
        <v>0</v>
      </c>
      <c r="R75" s="240">
        <f t="shared" si="55"/>
        <v>0</v>
      </c>
      <c r="S75" s="240">
        <f t="shared" si="55"/>
        <v>33</v>
      </c>
      <c r="T75" s="240">
        <f t="shared" si="60"/>
        <v>0</v>
      </c>
      <c r="U75" s="70">
        <f t="shared" si="71"/>
        <v>125</v>
      </c>
      <c r="W75">
        <f t="shared" si="72"/>
        <v>24</v>
      </c>
      <c r="X75">
        <f t="shared" si="73"/>
        <v>101</v>
      </c>
      <c r="Y75" s="121">
        <f t="shared" si="62"/>
        <v>0</v>
      </c>
      <c r="Z75" s="121">
        <f t="shared" si="56"/>
        <v>10.777777777777779</v>
      </c>
      <c r="AA75" s="121">
        <f t="shared" si="56"/>
        <v>12</v>
      </c>
      <c r="AB75" s="121">
        <f t="shared" si="56"/>
        <v>2</v>
      </c>
      <c r="AC75" s="121">
        <f t="shared" si="56"/>
        <v>2</v>
      </c>
      <c r="AD75" s="121">
        <f t="shared" si="56"/>
        <v>10</v>
      </c>
      <c r="AE75" s="121">
        <v>17</v>
      </c>
      <c r="AF75" s="51">
        <f>(8670+1900+1315)*1.047</f>
        <v>12443.594999999999</v>
      </c>
      <c r="AG75" s="240">
        <f t="shared" si="63"/>
        <v>0</v>
      </c>
      <c r="AH75" s="240">
        <f t="shared" si="57"/>
        <v>44</v>
      </c>
      <c r="AI75" s="240">
        <f t="shared" si="57"/>
        <v>48</v>
      </c>
      <c r="AJ75" s="240">
        <f t="shared" si="57"/>
        <v>0</v>
      </c>
      <c r="AK75" s="240">
        <f t="shared" si="57"/>
        <v>0</v>
      </c>
      <c r="AL75" s="240">
        <f t="shared" si="57"/>
        <v>33</v>
      </c>
      <c r="AM75" s="240">
        <f t="shared" si="64"/>
        <v>25</v>
      </c>
      <c r="AN75" s="70">
        <f t="shared" si="74"/>
        <v>150</v>
      </c>
      <c r="AQ75">
        <f>AQ74*7</f>
        <v>175</v>
      </c>
    </row>
    <row r="76" spans="1:43" x14ac:dyDescent="0.25">
      <c r="A76" t="s">
        <v>37</v>
      </c>
      <c r="B76" s="16" t="str">
        <f t="shared" si="69"/>
        <v>Inner</v>
      </c>
      <c r="C76" s="20" t="str">
        <f t="shared" si="69"/>
        <v>CAB</v>
      </c>
      <c r="D76" s="20">
        <f t="shared" si="70"/>
        <v>23</v>
      </c>
      <c r="E76" s="20">
        <f t="shared" si="70"/>
        <v>38</v>
      </c>
      <c r="F76" s="121">
        <f t="shared" si="70"/>
        <v>0</v>
      </c>
      <c r="G76" s="121">
        <f t="shared" si="70"/>
        <v>10.777777777777779</v>
      </c>
      <c r="H76" s="121">
        <f t="shared" si="70"/>
        <v>12</v>
      </c>
      <c r="I76" s="121">
        <f t="shared" si="54"/>
        <v>2</v>
      </c>
      <c r="J76" s="121">
        <f t="shared" si="54"/>
        <v>2</v>
      </c>
      <c r="K76" s="121">
        <f t="shared" si="54"/>
        <v>10</v>
      </c>
      <c r="L76" s="121">
        <f t="shared" si="59"/>
        <v>2</v>
      </c>
      <c r="M76" s="51">
        <f t="shared" si="59"/>
        <v>11980.08</v>
      </c>
      <c r="N76" s="240">
        <f t="shared" si="59"/>
        <v>0</v>
      </c>
      <c r="O76" s="240">
        <f t="shared" si="59"/>
        <v>44</v>
      </c>
      <c r="P76" s="240">
        <f t="shared" si="59"/>
        <v>48</v>
      </c>
      <c r="Q76" s="240">
        <f t="shared" si="55"/>
        <v>0</v>
      </c>
      <c r="R76" s="240">
        <f t="shared" si="55"/>
        <v>0</v>
      </c>
      <c r="S76" s="240">
        <f t="shared" si="55"/>
        <v>33</v>
      </c>
      <c r="T76" s="240">
        <f t="shared" si="60"/>
        <v>0</v>
      </c>
      <c r="U76" s="70">
        <f t="shared" si="71"/>
        <v>125</v>
      </c>
      <c r="W76">
        <f t="shared" si="72"/>
        <v>24</v>
      </c>
      <c r="X76">
        <f t="shared" si="73"/>
        <v>101</v>
      </c>
      <c r="Y76" s="121">
        <f t="shared" si="62"/>
        <v>0</v>
      </c>
      <c r="Z76" s="121">
        <f t="shared" si="56"/>
        <v>10.777777777777779</v>
      </c>
      <c r="AA76" s="121">
        <f t="shared" si="56"/>
        <v>12</v>
      </c>
      <c r="AB76" s="121">
        <f t="shared" si="56"/>
        <v>2</v>
      </c>
      <c r="AC76" s="121">
        <f t="shared" si="56"/>
        <v>2</v>
      </c>
      <c r="AD76" s="121">
        <f t="shared" si="56"/>
        <v>10</v>
      </c>
      <c r="AE76" s="121">
        <v>17</v>
      </c>
      <c r="AF76" s="51">
        <f t="shared" ref="AF76:AF77" si="76">(8670+1900+1315)*1.047</f>
        <v>12443.594999999999</v>
      </c>
      <c r="AG76" s="240">
        <f t="shared" si="63"/>
        <v>0</v>
      </c>
      <c r="AH76" s="240">
        <f t="shared" si="57"/>
        <v>44</v>
      </c>
      <c r="AI76" s="240">
        <f t="shared" si="57"/>
        <v>48</v>
      </c>
      <c r="AJ76" s="240">
        <f t="shared" si="57"/>
        <v>0</v>
      </c>
      <c r="AK76" s="240">
        <f t="shared" si="57"/>
        <v>0</v>
      </c>
      <c r="AL76" s="240">
        <f t="shared" si="57"/>
        <v>33</v>
      </c>
      <c r="AM76" s="240">
        <f t="shared" si="64"/>
        <v>25</v>
      </c>
      <c r="AN76" s="70">
        <f t="shared" si="74"/>
        <v>150</v>
      </c>
      <c r="AQ76">
        <f>AQ75-112</f>
        <v>63</v>
      </c>
    </row>
    <row r="77" spans="1:43" x14ac:dyDescent="0.25">
      <c r="A77" t="s">
        <v>36</v>
      </c>
      <c r="B77" s="16" t="str">
        <f t="shared" si="69"/>
        <v>Inner</v>
      </c>
      <c r="C77" s="20" t="str">
        <f t="shared" si="69"/>
        <v>CAB</v>
      </c>
      <c r="D77" s="20">
        <f t="shared" si="70"/>
        <v>23</v>
      </c>
      <c r="E77" s="20">
        <f t="shared" si="70"/>
        <v>38</v>
      </c>
      <c r="F77" s="121">
        <f t="shared" si="70"/>
        <v>0</v>
      </c>
      <c r="G77" s="121">
        <f t="shared" si="70"/>
        <v>10.777777777777779</v>
      </c>
      <c r="H77" s="121">
        <f t="shared" si="70"/>
        <v>12</v>
      </c>
      <c r="I77" s="121">
        <f t="shared" si="54"/>
        <v>2</v>
      </c>
      <c r="J77" s="121">
        <f t="shared" si="54"/>
        <v>2</v>
      </c>
      <c r="K77" s="121">
        <f t="shared" si="54"/>
        <v>10</v>
      </c>
      <c r="L77" s="121">
        <f t="shared" si="59"/>
        <v>2</v>
      </c>
      <c r="M77" s="51">
        <f t="shared" si="59"/>
        <v>11980.08</v>
      </c>
      <c r="N77" s="240">
        <f t="shared" si="59"/>
        <v>0</v>
      </c>
      <c r="O77" s="240">
        <f t="shared" si="59"/>
        <v>44</v>
      </c>
      <c r="P77" s="240">
        <f t="shared" si="59"/>
        <v>48</v>
      </c>
      <c r="Q77" s="240">
        <f t="shared" si="55"/>
        <v>0</v>
      </c>
      <c r="R77" s="240">
        <f t="shared" si="55"/>
        <v>0</v>
      </c>
      <c r="S77" s="240">
        <f t="shared" si="55"/>
        <v>33</v>
      </c>
      <c r="T77" s="240">
        <f t="shared" si="60"/>
        <v>0</v>
      </c>
      <c r="U77" s="70">
        <f t="shared" si="71"/>
        <v>125</v>
      </c>
      <c r="W77">
        <f t="shared" si="72"/>
        <v>24</v>
      </c>
      <c r="X77">
        <f t="shared" si="73"/>
        <v>101</v>
      </c>
      <c r="Y77" s="121">
        <f t="shared" si="62"/>
        <v>0</v>
      </c>
      <c r="Z77" s="121">
        <f t="shared" si="56"/>
        <v>10.777777777777779</v>
      </c>
      <c r="AA77" s="121">
        <f t="shared" si="56"/>
        <v>12</v>
      </c>
      <c r="AB77" s="121">
        <f t="shared" si="56"/>
        <v>2</v>
      </c>
      <c r="AC77" s="121">
        <f t="shared" si="56"/>
        <v>2</v>
      </c>
      <c r="AD77" s="121">
        <f t="shared" si="56"/>
        <v>10</v>
      </c>
      <c r="AE77" s="121">
        <v>17</v>
      </c>
      <c r="AF77" s="51">
        <f t="shared" si="76"/>
        <v>12443.594999999999</v>
      </c>
      <c r="AG77" s="240">
        <f t="shared" si="63"/>
        <v>0</v>
      </c>
      <c r="AH77" s="240">
        <f t="shared" si="57"/>
        <v>44</v>
      </c>
      <c r="AI77" s="240">
        <f t="shared" si="57"/>
        <v>48</v>
      </c>
      <c r="AJ77" s="240">
        <f t="shared" si="57"/>
        <v>0</v>
      </c>
      <c r="AK77" s="240">
        <f t="shared" si="57"/>
        <v>0</v>
      </c>
      <c r="AL77" s="240">
        <f t="shared" si="57"/>
        <v>33</v>
      </c>
      <c r="AM77" s="240">
        <f t="shared" si="64"/>
        <v>25</v>
      </c>
      <c r="AN77" s="70">
        <f t="shared" si="74"/>
        <v>150</v>
      </c>
    </row>
    <row r="78" spans="1:43" x14ac:dyDescent="0.25">
      <c r="A78" t="s">
        <v>40</v>
      </c>
      <c r="B78" s="16" t="str">
        <f t="shared" si="69"/>
        <v>E. Cubas</v>
      </c>
      <c r="C78" s="20" t="str">
        <f t="shared" si="69"/>
        <v>RAP</v>
      </c>
      <c r="D78" s="20">
        <f t="shared" si="70"/>
        <v>23</v>
      </c>
      <c r="E78" s="20">
        <f t="shared" si="70"/>
        <v>53.5</v>
      </c>
      <c r="F78" s="121">
        <f t="shared" si="70"/>
        <v>0</v>
      </c>
      <c r="G78" s="121">
        <f t="shared" si="70"/>
        <v>8.3333333333333339</v>
      </c>
      <c r="H78" s="121">
        <f t="shared" si="70"/>
        <v>9</v>
      </c>
      <c r="I78" s="121">
        <f t="shared" si="54"/>
        <v>9.5</v>
      </c>
      <c r="J78" s="121">
        <f t="shared" si="54"/>
        <v>8.6</v>
      </c>
      <c r="K78" s="121">
        <f t="shared" si="54"/>
        <v>10.285714285714286</v>
      </c>
      <c r="L78" s="121">
        <f t="shared" si="59"/>
        <v>2</v>
      </c>
      <c r="M78" s="51">
        <f t="shared" si="59"/>
        <v>4999.68</v>
      </c>
      <c r="N78" s="240">
        <f t="shared" si="59"/>
        <v>0</v>
      </c>
      <c r="O78" s="240">
        <f t="shared" si="59"/>
        <v>26</v>
      </c>
      <c r="P78" s="240">
        <f t="shared" si="59"/>
        <v>26</v>
      </c>
      <c r="Q78" s="240">
        <f t="shared" si="55"/>
        <v>20.5</v>
      </c>
      <c r="R78" s="240">
        <f t="shared" si="55"/>
        <v>21</v>
      </c>
      <c r="S78" s="240">
        <f t="shared" si="55"/>
        <v>35</v>
      </c>
      <c r="T78" s="240">
        <f t="shared" si="60"/>
        <v>0</v>
      </c>
      <c r="U78" s="70">
        <f t="shared" si="71"/>
        <v>128.5</v>
      </c>
      <c r="W78">
        <v>25</v>
      </c>
      <c r="X78">
        <v>5</v>
      </c>
      <c r="Y78" s="121">
        <f t="shared" si="62"/>
        <v>0</v>
      </c>
      <c r="Z78" s="121">
        <f t="shared" si="56"/>
        <v>8.3333333333333339</v>
      </c>
      <c r="AA78" s="121">
        <f t="shared" si="56"/>
        <v>9</v>
      </c>
      <c r="AB78" s="121">
        <f t="shared" si="56"/>
        <v>9.5</v>
      </c>
      <c r="AC78" s="121">
        <f t="shared" si="56"/>
        <v>8.6</v>
      </c>
      <c r="AD78" s="121">
        <f t="shared" si="56"/>
        <v>10.285714285714286</v>
      </c>
      <c r="AE78" s="121">
        <v>17</v>
      </c>
      <c r="AF78" s="51">
        <f>(2900+140+620+785+515)*1.047</f>
        <v>5193.12</v>
      </c>
      <c r="AG78" s="240">
        <f t="shared" si="63"/>
        <v>0</v>
      </c>
      <c r="AH78" s="240">
        <f t="shared" si="57"/>
        <v>26</v>
      </c>
      <c r="AI78" s="240">
        <f t="shared" si="57"/>
        <v>26</v>
      </c>
      <c r="AJ78" s="240">
        <f t="shared" si="57"/>
        <v>20.5</v>
      </c>
      <c r="AK78" s="240">
        <f t="shared" si="57"/>
        <v>21</v>
      </c>
      <c r="AL78" s="240">
        <f t="shared" si="57"/>
        <v>35</v>
      </c>
      <c r="AM78" s="240">
        <f t="shared" si="64"/>
        <v>25</v>
      </c>
      <c r="AN78" s="70">
        <f t="shared" si="74"/>
        <v>153.5</v>
      </c>
    </row>
    <row r="79" spans="1:43" x14ac:dyDescent="0.25">
      <c r="A79" t="s">
        <v>34</v>
      </c>
      <c r="B79" s="16" t="str">
        <f t="shared" si="69"/>
        <v>V. Gomis</v>
      </c>
      <c r="C79" s="20" t="str">
        <f t="shared" si="69"/>
        <v>IMP</v>
      </c>
      <c r="D79" s="20">
        <f t="shared" si="70"/>
        <v>23</v>
      </c>
      <c r="E79" s="20">
        <f t="shared" si="70"/>
        <v>57.5</v>
      </c>
      <c r="F79" s="121">
        <f t="shared" si="70"/>
        <v>0</v>
      </c>
      <c r="G79" s="121">
        <f t="shared" si="70"/>
        <v>10.333333333333334</v>
      </c>
      <c r="H79" s="121">
        <f t="shared" si="70"/>
        <v>7.5</v>
      </c>
      <c r="I79" s="121">
        <f t="shared" si="54"/>
        <v>8</v>
      </c>
      <c r="J79" s="121">
        <f t="shared" si="54"/>
        <v>8.6</v>
      </c>
      <c r="K79" s="121">
        <f t="shared" si="54"/>
        <v>10</v>
      </c>
      <c r="L79" s="121">
        <f t="shared" si="59"/>
        <v>0</v>
      </c>
      <c r="M79" s="51">
        <f t="shared" si="59"/>
        <v>4660</v>
      </c>
      <c r="N79" s="240">
        <f t="shared" si="59"/>
        <v>0</v>
      </c>
      <c r="O79" s="240">
        <f t="shared" si="59"/>
        <v>40</v>
      </c>
      <c r="P79" s="240">
        <f t="shared" si="59"/>
        <v>18</v>
      </c>
      <c r="Q79" s="240">
        <f t="shared" si="55"/>
        <v>15</v>
      </c>
      <c r="R79" s="240">
        <f t="shared" si="55"/>
        <v>21</v>
      </c>
      <c r="S79" s="240">
        <f t="shared" si="55"/>
        <v>33</v>
      </c>
      <c r="T79" s="240">
        <f t="shared" si="60"/>
        <v>-2</v>
      </c>
      <c r="U79" s="70">
        <f>SUM(N79:T79)</f>
        <v>125</v>
      </c>
      <c r="W79">
        <v>25</v>
      </c>
      <c r="X79">
        <v>9</v>
      </c>
      <c r="Y79" s="121">
        <f t="shared" si="62"/>
        <v>0</v>
      </c>
      <c r="Z79" s="121">
        <f t="shared" si="56"/>
        <v>10.333333333333334</v>
      </c>
      <c r="AA79" s="121">
        <f t="shared" si="56"/>
        <v>7.5</v>
      </c>
      <c r="AB79" s="121">
        <f t="shared" si="56"/>
        <v>8</v>
      </c>
      <c r="AC79" s="121">
        <f t="shared" si="56"/>
        <v>8.6</v>
      </c>
      <c r="AD79" s="121">
        <f t="shared" si="56"/>
        <v>10</v>
      </c>
      <c r="AE79" s="121">
        <f>16+2/4</f>
        <v>16.5</v>
      </c>
      <c r="AF79" s="51">
        <f>(2600+1315+140+275+330)*1.047</f>
        <v>4879.0199999999995</v>
      </c>
      <c r="AG79" s="240">
        <f t="shared" si="63"/>
        <v>0</v>
      </c>
      <c r="AH79" s="240">
        <f t="shared" si="57"/>
        <v>40</v>
      </c>
      <c r="AI79" s="240">
        <f t="shared" si="57"/>
        <v>18</v>
      </c>
      <c r="AJ79" s="240">
        <f t="shared" si="57"/>
        <v>15</v>
      </c>
      <c r="AK79" s="240">
        <f t="shared" si="57"/>
        <v>21</v>
      </c>
      <c r="AL79" s="240">
        <f t="shared" si="57"/>
        <v>33</v>
      </c>
      <c r="AM79" s="240">
        <f t="shared" si="64"/>
        <v>23</v>
      </c>
      <c r="AN79" s="70">
        <f>SUM(AG79:AM79)</f>
        <v>150</v>
      </c>
    </row>
    <row r="80" spans="1:43" x14ac:dyDescent="0.25">
      <c r="A80" t="s">
        <v>42</v>
      </c>
      <c r="B80" s="16" t="str">
        <f t="shared" si="69"/>
        <v>J.G. Peñuela</v>
      </c>
      <c r="C80" s="20" t="str">
        <f t="shared" si="69"/>
        <v>IMP</v>
      </c>
      <c r="D80" s="20">
        <f t="shared" si="70"/>
        <v>23</v>
      </c>
      <c r="E80" s="20">
        <f t="shared" si="70"/>
        <v>53.5</v>
      </c>
      <c r="F80" s="121">
        <f t="shared" si="70"/>
        <v>0</v>
      </c>
      <c r="G80" s="121">
        <f t="shared" si="70"/>
        <v>8.8333333333333339</v>
      </c>
      <c r="H80" s="121">
        <f t="shared" si="70"/>
        <v>8.6</v>
      </c>
      <c r="I80" s="121">
        <f t="shared" si="54"/>
        <v>8.8333333333333339</v>
      </c>
      <c r="J80" s="121">
        <f t="shared" si="54"/>
        <v>8</v>
      </c>
      <c r="K80" s="121">
        <f t="shared" si="54"/>
        <v>10.285714285714286</v>
      </c>
      <c r="L80" s="121">
        <f t="shared" si="59"/>
        <v>0</v>
      </c>
      <c r="M80" s="51">
        <f t="shared" si="59"/>
        <v>4700</v>
      </c>
      <c r="N80" s="240">
        <f t="shared" si="59"/>
        <v>0</v>
      </c>
      <c r="O80" s="240">
        <f t="shared" si="59"/>
        <v>29</v>
      </c>
      <c r="P80" s="240">
        <f t="shared" si="59"/>
        <v>24</v>
      </c>
      <c r="Q80" s="240">
        <f t="shared" si="55"/>
        <v>17.5</v>
      </c>
      <c r="R80" s="240">
        <f t="shared" si="55"/>
        <v>18</v>
      </c>
      <c r="S80" s="240">
        <f t="shared" si="55"/>
        <v>35</v>
      </c>
      <c r="T80" s="240">
        <f t="shared" si="60"/>
        <v>-2</v>
      </c>
      <c r="U80" s="70">
        <f>SUM(N80:T80)</f>
        <v>121.5</v>
      </c>
      <c r="W80">
        <v>25</v>
      </c>
      <c r="X80">
        <v>5</v>
      </c>
      <c r="Y80" s="121">
        <f t="shared" si="62"/>
        <v>0</v>
      </c>
      <c r="Z80" s="121">
        <f t="shared" si="56"/>
        <v>8.8333333333333339</v>
      </c>
      <c r="AA80" s="121">
        <f t="shared" si="56"/>
        <v>8.6</v>
      </c>
      <c r="AB80" s="121">
        <f t="shared" si="56"/>
        <v>8.8333333333333339</v>
      </c>
      <c r="AC80" s="121">
        <f t="shared" si="56"/>
        <v>8</v>
      </c>
      <c r="AD80" s="121">
        <f t="shared" si="56"/>
        <v>10.285714285714286</v>
      </c>
      <c r="AE80" s="121">
        <f>AE79</f>
        <v>16.5</v>
      </c>
      <c r="AF80" s="51">
        <f>(2900+135+430+615+620)*1.047</f>
        <v>4920.8999999999996</v>
      </c>
      <c r="AG80" s="240">
        <f t="shared" si="63"/>
        <v>0</v>
      </c>
      <c r="AH80" s="240">
        <f t="shared" si="57"/>
        <v>29</v>
      </c>
      <c r="AI80" s="240">
        <f t="shared" si="57"/>
        <v>24</v>
      </c>
      <c r="AJ80" s="240">
        <f t="shared" si="57"/>
        <v>17.5</v>
      </c>
      <c r="AK80" s="240">
        <f t="shared" si="57"/>
        <v>18</v>
      </c>
      <c r="AL80" s="240">
        <f t="shared" si="57"/>
        <v>35</v>
      </c>
      <c r="AM80" s="240">
        <f t="shared" si="64"/>
        <v>23</v>
      </c>
      <c r="AN80" s="70">
        <f>SUM(AG80:AM80)</f>
        <v>146.5</v>
      </c>
    </row>
    <row r="81" spans="1:40" x14ac:dyDescent="0.25">
      <c r="A81" t="s">
        <v>46</v>
      </c>
      <c r="B81" s="16" t="s">
        <v>386</v>
      </c>
      <c r="C81" s="20" t="s">
        <v>0</v>
      </c>
      <c r="D81" s="20">
        <v>22</v>
      </c>
      <c r="E81" s="20">
        <v>50</v>
      </c>
      <c r="F81" s="121">
        <f t="shared" si="70"/>
        <v>0</v>
      </c>
      <c r="G81" s="121">
        <f t="shared" si="70"/>
        <v>2</v>
      </c>
      <c r="H81" s="121">
        <v>12</v>
      </c>
      <c r="I81" s="121">
        <f t="shared" si="54"/>
        <v>2</v>
      </c>
      <c r="J81" s="121">
        <f t="shared" si="54"/>
        <v>2</v>
      </c>
      <c r="K81" s="121">
        <v>10</v>
      </c>
      <c r="L81" s="121">
        <v>7</v>
      </c>
      <c r="M81" s="51">
        <f>(8670+1315)*1.02</f>
        <v>10184.700000000001</v>
      </c>
      <c r="N81" s="240">
        <f t="shared" si="59"/>
        <v>0</v>
      </c>
      <c r="O81" s="240">
        <f t="shared" si="59"/>
        <v>0</v>
      </c>
      <c r="P81" s="240">
        <v>48</v>
      </c>
      <c r="Q81" s="240">
        <f t="shared" si="55"/>
        <v>0</v>
      </c>
      <c r="R81" s="240">
        <f t="shared" si="55"/>
        <v>0</v>
      </c>
      <c r="S81" s="240">
        <v>33</v>
      </c>
      <c r="T81" s="240">
        <v>5</v>
      </c>
      <c r="U81" s="70">
        <f t="shared" ref="U81:U82" si="77">SUM(N81:T81)</f>
        <v>86</v>
      </c>
      <c r="W81">
        <v>24</v>
      </c>
      <c r="X81">
        <v>1</v>
      </c>
      <c r="Y81" s="121">
        <f t="shared" si="62"/>
        <v>0</v>
      </c>
      <c r="Z81" s="121">
        <f t="shared" si="56"/>
        <v>2</v>
      </c>
      <c r="AA81" s="121">
        <f t="shared" si="56"/>
        <v>12</v>
      </c>
      <c r="AB81" s="121">
        <f t="shared" si="56"/>
        <v>2</v>
      </c>
      <c r="AC81" s="121">
        <f t="shared" si="56"/>
        <v>2</v>
      </c>
      <c r="AD81" s="121">
        <f t="shared" si="56"/>
        <v>10</v>
      </c>
      <c r="AE81" s="121">
        <f>AE67</f>
        <v>18.25</v>
      </c>
      <c r="AF81" s="51">
        <f>(8670+1315)*1.055</f>
        <v>10534.174999999999</v>
      </c>
      <c r="AG81" s="240">
        <f t="shared" si="63"/>
        <v>0</v>
      </c>
      <c r="AH81" s="240">
        <f t="shared" si="57"/>
        <v>0</v>
      </c>
      <c r="AI81" s="240">
        <f t="shared" si="57"/>
        <v>48</v>
      </c>
      <c r="AJ81" s="240">
        <f t="shared" si="57"/>
        <v>0</v>
      </c>
      <c r="AK81" s="240">
        <f t="shared" si="57"/>
        <v>0</v>
      </c>
      <c r="AL81" s="240">
        <f t="shared" si="57"/>
        <v>33</v>
      </c>
      <c r="AM81" s="240">
        <f t="shared" si="64"/>
        <v>30</v>
      </c>
      <c r="AN81" s="70">
        <f t="shared" ref="AN81:AN82" si="78">SUM(AG81:AM81)</f>
        <v>111</v>
      </c>
    </row>
    <row r="82" spans="1:40" x14ac:dyDescent="0.25">
      <c r="A82" t="s">
        <v>383</v>
      </c>
      <c r="B82" s="16" t="s">
        <v>386</v>
      </c>
      <c r="C82" s="20" t="s">
        <v>45</v>
      </c>
      <c r="D82" s="20">
        <v>22</v>
      </c>
      <c r="E82" s="20">
        <v>50</v>
      </c>
      <c r="F82" s="121">
        <f t="shared" si="70"/>
        <v>0</v>
      </c>
      <c r="G82" s="121">
        <f t="shared" si="70"/>
        <v>2</v>
      </c>
      <c r="H82" s="121">
        <v>12</v>
      </c>
      <c r="I82" s="121">
        <f t="shared" si="54"/>
        <v>2</v>
      </c>
      <c r="J82" s="121">
        <f t="shared" si="54"/>
        <v>2</v>
      </c>
      <c r="K82" s="121">
        <v>10</v>
      </c>
      <c r="L82" s="121">
        <v>7</v>
      </c>
      <c r="M82" s="51">
        <f>(8670+1315)*1.02</f>
        <v>10184.700000000001</v>
      </c>
      <c r="N82" s="240">
        <f t="shared" si="59"/>
        <v>0</v>
      </c>
      <c r="O82" s="240">
        <f t="shared" si="59"/>
        <v>0</v>
      </c>
      <c r="P82" s="240">
        <v>48</v>
      </c>
      <c r="Q82" s="240">
        <f t="shared" si="55"/>
        <v>0</v>
      </c>
      <c r="R82" s="240">
        <f t="shared" si="55"/>
        <v>0</v>
      </c>
      <c r="S82" s="240">
        <v>33</v>
      </c>
      <c r="T82" s="240">
        <v>5</v>
      </c>
      <c r="U82" s="70">
        <f t="shared" si="77"/>
        <v>86</v>
      </c>
      <c r="W82">
        <v>24</v>
      </c>
      <c r="X82">
        <v>1</v>
      </c>
      <c r="Y82" s="121">
        <f t="shared" si="62"/>
        <v>0</v>
      </c>
      <c r="Z82" s="121">
        <f t="shared" si="56"/>
        <v>2</v>
      </c>
      <c r="AA82" s="121">
        <f t="shared" si="56"/>
        <v>12</v>
      </c>
      <c r="AB82" s="121">
        <f t="shared" si="56"/>
        <v>2</v>
      </c>
      <c r="AC82" s="121">
        <f t="shared" si="56"/>
        <v>2</v>
      </c>
      <c r="AD82" s="121">
        <f t="shared" si="56"/>
        <v>10</v>
      </c>
      <c r="AE82" s="121">
        <f>AE81</f>
        <v>18.25</v>
      </c>
      <c r="AF82" s="51">
        <f>(8670+1315)*1.055</f>
        <v>10534.174999999999</v>
      </c>
      <c r="AG82" s="240">
        <f t="shared" si="63"/>
        <v>0</v>
      </c>
      <c r="AH82" s="240">
        <f t="shared" si="57"/>
        <v>0</v>
      </c>
      <c r="AI82" s="240">
        <f t="shared" si="57"/>
        <v>48</v>
      </c>
      <c r="AJ82" s="240">
        <f t="shared" si="57"/>
        <v>0</v>
      </c>
      <c r="AK82" s="240">
        <f t="shared" si="57"/>
        <v>0</v>
      </c>
      <c r="AL82" s="240">
        <f t="shared" si="57"/>
        <v>33</v>
      </c>
      <c r="AM82" s="240">
        <f t="shared" si="64"/>
        <v>30</v>
      </c>
      <c r="AN82" s="70">
        <f t="shared" si="78"/>
        <v>111</v>
      </c>
    </row>
    <row r="83" spans="1:40" x14ac:dyDescent="0.25">
      <c r="A83"/>
      <c r="B83"/>
      <c r="M83" s="243"/>
    </row>
    <row r="84" spans="1:40" x14ac:dyDescent="0.25">
      <c r="A84"/>
      <c r="B84"/>
      <c r="M84" s="243"/>
    </row>
    <row r="85" spans="1:40" x14ac:dyDescent="0.25">
      <c r="A85"/>
      <c r="B85"/>
      <c r="M85" s="243"/>
    </row>
    <row r="86" spans="1:40" x14ac:dyDescent="0.25">
      <c r="A86"/>
      <c r="B86"/>
      <c r="M86" s="243"/>
    </row>
    <row r="87" spans="1:40" x14ac:dyDescent="0.25">
      <c r="A87"/>
      <c r="B87"/>
      <c r="M87" s="243"/>
    </row>
    <row r="88" spans="1:40" x14ac:dyDescent="0.25">
      <c r="A88"/>
      <c r="B88"/>
      <c r="M88" s="243"/>
    </row>
    <row r="89" spans="1:40" x14ac:dyDescent="0.25">
      <c r="A89"/>
      <c r="B89"/>
      <c r="M89" s="243"/>
    </row>
    <row r="90" spans="1:40" x14ac:dyDescent="0.25">
      <c r="A90"/>
      <c r="B90"/>
      <c r="M90" s="243"/>
    </row>
    <row r="91" spans="1:40" x14ac:dyDescent="0.25">
      <c r="A91"/>
      <c r="B91"/>
      <c r="M91" s="243"/>
    </row>
    <row r="92" spans="1:40" x14ac:dyDescent="0.25">
      <c r="A92"/>
      <c r="B92"/>
      <c r="M92" s="243"/>
    </row>
    <row r="93" spans="1:40" x14ac:dyDescent="0.25">
      <c r="A93"/>
      <c r="B93"/>
      <c r="M93" s="243"/>
    </row>
    <row r="94" spans="1:40" x14ac:dyDescent="0.25">
      <c r="A94"/>
      <c r="B94"/>
      <c r="M94" s="243"/>
    </row>
    <row r="95" spans="1:40" x14ac:dyDescent="0.25">
      <c r="A95"/>
      <c r="B95"/>
      <c r="M95" s="243"/>
    </row>
    <row r="96" spans="1:40" x14ac:dyDescent="0.25">
      <c r="A96"/>
      <c r="B96"/>
      <c r="R96" s="243"/>
    </row>
    <row r="97" spans="1:18" x14ac:dyDescent="0.25">
      <c r="A97"/>
      <c r="B97"/>
      <c r="R97" s="243"/>
    </row>
    <row r="98" spans="1:18" x14ac:dyDescent="0.25">
      <c r="A98"/>
      <c r="B98"/>
      <c r="R98" s="243"/>
    </row>
    <row r="99" spans="1:18" x14ac:dyDescent="0.25">
      <c r="A99"/>
      <c r="B99"/>
      <c r="R99" s="243"/>
    </row>
    <row r="100" spans="1:18" x14ac:dyDescent="0.25">
      <c r="A100"/>
      <c r="B100"/>
      <c r="R100" s="243"/>
    </row>
    <row r="101" spans="1:18" x14ac:dyDescent="0.25">
      <c r="A101"/>
      <c r="B101"/>
      <c r="R101" s="243"/>
    </row>
    <row r="102" spans="1:18" x14ac:dyDescent="0.25">
      <c r="A102"/>
      <c r="B102"/>
      <c r="R102" s="243"/>
    </row>
    <row r="103" spans="1:18" x14ac:dyDescent="0.25">
      <c r="A103"/>
      <c r="B103"/>
      <c r="R103" s="243"/>
    </row>
    <row r="104" spans="1:18" x14ac:dyDescent="0.25">
      <c r="A104"/>
      <c r="B104"/>
      <c r="R104" s="243"/>
    </row>
    <row r="105" spans="1:18" x14ac:dyDescent="0.25">
      <c r="A105"/>
      <c r="B105"/>
      <c r="R105" s="243"/>
    </row>
    <row r="106" spans="1:18" x14ac:dyDescent="0.25">
      <c r="A106"/>
      <c r="B106"/>
      <c r="R106" s="243"/>
    </row>
    <row r="107" spans="1:18" x14ac:dyDescent="0.25">
      <c r="A107"/>
      <c r="B107"/>
      <c r="R107" s="243"/>
    </row>
    <row r="108" spans="1:18" x14ac:dyDescent="0.25">
      <c r="A108"/>
      <c r="B108"/>
      <c r="R108" s="243"/>
    </row>
    <row r="109" spans="1:18" x14ac:dyDescent="0.25">
      <c r="A109"/>
      <c r="B109"/>
      <c r="R109" s="243"/>
    </row>
    <row r="110" spans="1:18" x14ac:dyDescent="0.25">
      <c r="A110"/>
      <c r="B110"/>
      <c r="R110" s="243"/>
    </row>
    <row r="111" spans="1:18" x14ac:dyDescent="0.25">
      <c r="A111"/>
      <c r="B111"/>
      <c r="R111" s="243"/>
    </row>
    <row r="112" spans="1:18" x14ac:dyDescent="0.25">
      <c r="A112"/>
      <c r="B112"/>
      <c r="R112" s="243"/>
    </row>
    <row r="113" spans="1:18" x14ac:dyDescent="0.25">
      <c r="A113"/>
      <c r="B113"/>
      <c r="R113" s="243"/>
    </row>
    <row r="114" spans="1:18" x14ac:dyDescent="0.25">
      <c r="A114"/>
      <c r="B114"/>
      <c r="R114" s="243"/>
    </row>
    <row r="115" spans="1:18" x14ac:dyDescent="0.25">
      <c r="A115"/>
      <c r="B115"/>
      <c r="R115" s="243"/>
    </row>
    <row r="116" spans="1:18" x14ac:dyDescent="0.25">
      <c r="A116"/>
      <c r="B116"/>
      <c r="R116" s="243"/>
    </row>
    <row r="117" spans="1:18" x14ac:dyDescent="0.25">
      <c r="A117"/>
      <c r="B117"/>
      <c r="R117" s="243"/>
    </row>
    <row r="118" spans="1:18" x14ac:dyDescent="0.25">
      <c r="A118"/>
      <c r="B118"/>
      <c r="R118" s="243"/>
    </row>
    <row r="119" spans="1:18" x14ac:dyDescent="0.25">
      <c r="A119"/>
      <c r="B119"/>
      <c r="R119" s="243"/>
    </row>
    <row r="120" spans="1:18" x14ac:dyDescent="0.25">
      <c r="A120"/>
      <c r="B120"/>
      <c r="R120" s="243"/>
    </row>
    <row r="121" spans="1:18" x14ac:dyDescent="0.25">
      <c r="A121"/>
      <c r="B121"/>
      <c r="R121" s="243"/>
    </row>
    <row r="122" spans="1:18" x14ac:dyDescent="0.25">
      <c r="A122"/>
      <c r="B122"/>
      <c r="R122" s="243"/>
    </row>
    <row r="123" spans="1:18" x14ac:dyDescent="0.25">
      <c r="A123"/>
      <c r="B123"/>
      <c r="R123" s="243"/>
    </row>
    <row r="124" spans="1:18" x14ac:dyDescent="0.25">
      <c r="A124"/>
      <c r="B124"/>
      <c r="R124" s="243"/>
    </row>
    <row r="125" spans="1:18" x14ac:dyDescent="0.25">
      <c r="A125"/>
      <c r="B125"/>
      <c r="R125" s="243"/>
    </row>
    <row r="126" spans="1:18" x14ac:dyDescent="0.25">
      <c r="A126"/>
      <c r="B126"/>
      <c r="R126" s="243"/>
    </row>
    <row r="127" spans="1:18" x14ac:dyDescent="0.25">
      <c r="A127"/>
      <c r="B127"/>
      <c r="R127" s="243"/>
    </row>
    <row r="128" spans="1:18" x14ac:dyDescent="0.25">
      <c r="A128"/>
      <c r="B128"/>
      <c r="R128" s="243"/>
    </row>
    <row r="129" spans="1:18" x14ac:dyDescent="0.25">
      <c r="A129"/>
      <c r="B129"/>
      <c r="R129" s="243"/>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tabSelected="1" workbookViewId="0"/>
  </sheetViews>
  <sheetFormatPr baseColWidth="10"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432</v>
      </c>
      <c r="AQ1" s="119"/>
    </row>
    <row r="2" spans="1:45" x14ac:dyDescent="0.25">
      <c r="B2" t="s">
        <v>433</v>
      </c>
      <c r="AQ2" s="119"/>
      <c r="AR2" s="56" t="s">
        <v>434</v>
      </c>
      <c r="AS2" s="56" t="s">
        <v>435</v>
      </c>
    </row>
    <row r="3" spans="1:45" x14ac:dyDescent="0.25">
      <c r="B3" t="s">
        <v>436</v>
      </c>
      <c r="AQ3" s="119"/>
      <c r="AR3">
        <f>AR18+AR33+AR52</f>
        <v>102.5</v>
      </c>
      <c r="AS3">
        <f>AR3/16</f>
        <v>6.40625</v>
      </c>
    </row>
    <row r="4" spans="1:45" x14ac:dyDescent="0.25">
      <c r="B4" t="s">
        <v>437</v>
      </c>
      <c r="AQ4" s="119"/>
    </row>
    <row r="5" spans="1:45" x14ac:dyDescent="0.25">
      <c r="B5" t="s">
        <v>438</v>
      </c>
      <c r="AQ5" s="119"/>
    </row>
    <row r="6" spans="1:45" x14ac:dyDescent="0.25">
      <c r="B6" t="s">
        <v>439</v>
      </c>
      <c r="AQ6" s="119"/>
    </row>
    <row r="7" spans="1:45" x14ac:dyDescent="0.25">
      <c r="B7" t="s">
        <v>440</v>
      </c>
      <c r="AQ7" s="119"/>
    </row>
    <row r="8" spans="1:45" x14ac:dyDescent="0.25">
      <c r="AQ8" s="119"/>
    </row>
    <row r="9" spans="1:45" x14ac:dyDescent="0.25">
      <c r="N9" s="243">
        <f>SUM(N11:N25)</f>
        <v>1964.2160000000001</v>
      </c>
      <c r="AH9" s="243">
        <f>SUM(AH11:AH25)</f>
        <v>25277.456000000002</v>
      </c>
      <c r="AQ9" s="119"/>
    </row>
    <row r="10" spans="1:45" x14ac:dyDescent="0.25">
      <c r="A10" s="11" t="s">
        <v>179</v>
      </c>
      <c r="B10" s="11" t="s">
        <v>2</v>
      </c>
      <c r="C10" s="11" t="s">
        <v>86</v>
      </c>
      <c r="D10" s="11" t="s">
        <v>180</v>
      </c>
      <c r="E10" s="11" t="s">
        <v>370</v>
      </c>
      <c r="F10" s="11" t="s">
        <v>371</v>
      </c>
      <c r="G10" s="11" t="s">
        <v>15</v>
      </c>
      <c r="H10" s="11" t="s">
        <v>16</v>
      </c>
      <c r="I10" s="11" t="s">
        <v>17</v>
      </c>
      <c r="J10" s="11" t="s">
        <v>18</v>
      </c>
      <c r="K10" s="11" t="s">
        <v>19</v>
      </c>
      <c r="L10" s="11" t="s">
        <v>20</v>
      </c>
      <c r="M10" s="11" t="s">
        <v>6</v>
      </c>
      <c r="N10" s="11" t="s">
        <v>69</v>
      </c>
      <c r="O10" s="11" t="s">
        <v>372</v>
      </c>
      <c r="P10" s="11" t="s">
        <v>373</v>
      </c>
      <c r="Q10" s="11" t="s">
        <v>374</v>
      </c>
      <c r="R10" s="11" t="s">
        <v>375</v>
      </c>
      <c r="S10" s="11" t="s">
        <v>376</v>
      </c>
      <c r="T10" s="11" t="s">
        <v>377</v>
      </c>
      <c r="U10" s="11" t="s">
        <v>378</v>
      </c>
      <c r="V10" s="11" t="s">
        <v>379</v>
      </c>
      <c r="X10" s="11" t="s">
        <v>179</v>
      </c>
      <c r="Y10" s="11" t="s">
        <v>370</v>
      </c>
      <c r="Z10" s="11" t="s">
        <v>371</v>
      </c>
      <c r="AA10" s="11" t="s">
        <v>15</v>
      </c>
      <c r="AB10" s="11" t="s">
        <v>16</v>
      </c>
      <c r="AC10" s="11" t="s">
        <v>17</v>
      </c>
      <c r="AD10" s="11" t="s">
        <v>18</v>
      </c>
      <c r="AE10" s="11" t="s">
        <v>19</v>
      </c>
      <c r="AF10" s="11" t="s">
        <v>20</v>
      </c>
      <c r="AG10" s="11" t="s">
        <v>6</v>
      </c>
      <c r="AH10" s="11" t="s">
        <v>69</v>
      </c>
      <c r="AI10" s="11" t="s">
        <v>372</v>
      </c>
      <c r="AJ10" s="11" t="s">
        <v>373</v>
      </c>
      <c r="AK10" s="11" t="s">
        <v>374</v>
      </c>
      <c r="AL10" s="11" t="s">
        <v>375</v>
      </c>
      <c r="AM10" s="11" t="s">
        <v>376</v>
      </c>
      <c r="AN10" s="11" t="s">
        <v>377</v>
      </c>
      <c r="AO10" s="11" t="s">
        <v>378</v>
      </c>
      <c r="AP10" s="11" t="s">
        <v>379</v>
      </c>
      <c r="AQ10" s="119"/>
    </row>
    <row r="11" spans="1:45" x14ac:dyDescent="0.25">
      <c r="A11" t="s">
        <v>29</v>
      </c>
      <c r="B11" s="16" t="s">
        <v>28</v>
      </c>
      <c r="C11" s="20"/>
      <c r="D11" s="20"/>
      <c r="E11" s="20"/>
      <c r="F11" s="20"/>
      <c r="G11" s="277">
        <v>2</v>
      </c>
      <c r="H11" s="147">
        <v>2</v>
      </c>
      <c r="I11" s="277">
        <v>0</v>
      </c>
      <c r="J11" s="147">
        <v>0</v>
      </c>
      <c r="K11" s="277">
        <v>0</v>
      </c>
      <c r="L11" s="147">
        <v>0</v>
      </c>
      <c r="M11" s="277">
        <v>2</v>
      </c>
      <c r="N11" s="51"/>
      <c r="O11" s="264">
        <v>0</v>
      </c>
      <c r="P11" s="264">
        <v>0</v>
      </c>
      <c r="Q11" s="264">
        <v>0</v>
      </c>
      <c r="R11" s="242">
        <v>0</v>
      </c>
      <c r="S11" s="242">
        <v>0</v>
      </c>
      <c r="T11" s="242">
        <v>0</v>
      </c>
      <c r="U11" s="242">
        <v>0</v>
      </c>
      <c r="V11" s="70">
        <f>SUM(O11:U11)</f>
        <v>0</v>
      </c>
      <c r="X11" t="s">
        <v>29</v>
      </c>
      <c r="Y11" s="20"/>
      <c r="Z11" s="20"/>
      <c r="AA11" s="121">
        <f>G11</f>
        <v>2</v>
      </c>
      <c r="AB11" s="121">
        <f t="shared" ref="AB11:AH26" si="0">H11</f>
        <v>2</v>
      </c>
      <c r="AC11" s="121">
        <f t="shared" si="0"/>
        <v>0</v>
      </c>
      <c r="AD11" s="121">
        <f t="shared" si="0"/>
        <v>0</v>
      </c>
      <c r="AE11" s="121">
        <f t="shared" si="0"/>
        <v>0</v>
      </c>
      <c r="AF11" s="121">
        <f t="shared" si="0"/>
        <v>0</v>
      </c>
      <c r="AG11" s="121">
        <f t="shared" si="0"/>
        <v>2</v>
      </c>
      <c r="AH11" s="51">
        <f>N11</f>
        <v>0</v>
      </c>
      <c r="AI11" s="264">
        <f>O11</f>
        <v>0</v>
      </c>
      <c r="AJ11" s="264">
        <f t="shared" ref="AJ11:AO26" si="1">P11</f>
        <v>0</v>
      </c>
      <c r="AK11" s="264">
        <f t="shared" si="1"/>
        <v>0</v>
      </c>
      <c r="AL11" s="264">
        <f t="shared" si="1"/>
        <v>0</v>
      </c>
      <c r="AM11" s="264">
        <f t="shared" si="1"/>
        <v>0</v>
      </c>
      <c r="AN11" s="264">
        <f t="shared" si="1"/>
        <v>0</v>
      </c>
      <c r="AO11" s="264">
        <f t="shared" si="1"/>
        <v>0</v>
      </c>
      <c r="AP11" s="70">
        <f>SUM(AI11:AO11)</f>
        <v>0</v>
      </c>
      <c r="AQ11" s="119"/>
    </row>
    <row r="12" spans="1:45" x14ac:dyDescent="0.25">
      <c r="A12" t="s">
        <v>32</v>
      </c>
      <c r="B12" s="16" t="s">
        <v>30</v>
      </c>
      <c r="C12" s="4" t="s">
        <v>72</v>
      </c>
      <c r="D12" s="4" t="s">
        <v>441</v>
      </c>
      <c r="E12" s="4">
        <v>17</v>
      </c>
      <c r="F12" s="4">
        <v>50</v>
      </c>
      <c r="G12" s="277">
        <v>0</v>
      </c>
      <c r="H12" s="147">
        <v>6</v>
      </c>
      <c r="I12" s="277">
        <v>5</v>
      </c>
      <c r="J12" s="147">
        <v>6</v>
      </c>
      <c r="K12" s="277">
        <v>5</v>
      </c>
      <c r="L12" s="147">
        <v>4</v>
      </c>
      <c r="M12" s="277">
        <v>0</v>
      </c>
      <c r="N12" s="51">
        <v>370</v>
      </c>
      <c r="O12" s="264">
        <v>0</v>
      </c>
      <c r="P12" s="264">
        <v>14</v>
      </c>
      <c r="Q12" s="264">
        <v>9</v>
      </c>
      <c r="R12" s="242">
        <v>3.5</v>
      </c>
      <c r="S12" s="242">
        <v>7</v>
      </c>
      <c r="T12" s="242">
        <v>5</v>
      </c>
      <c r="U12" s="242">
        <v>0</v>
      </c>
      <c r="V12" s="70">
        <f t="shared" ref="V12:V21" si="2">SUM(O12:U12)</f>
        <v>38.5</v>
      </c>
      <c r="X12" t="s">
        <v>32</v>
      </c>
      <c r="Y12" s="4">
        <v>20</v>
      </c>
      <c r="Z12" s="4">
        <f>F12+(7*$AR$18)-112-112-112</f>
        <v>46.5</v>
      </c>
      <c r="AA12" s="121">
        <f t="shared" ref="AA12:AA26" si="3">G12</f>
        <v>0</v>
      </c>
      <c r="AB12" s="121">
        <f t="shared" si="0"/>
        <v>6</v>
      </c>
      <c r="AC12" s="121">
        <f t="shared" si="0"/>
        <v>5</v>
      </c>
      <c r="AD12" s="121">
        <f>12+2/7</f>
        <v>12.285714285714286</v>
      </c>
      <c r="AE12" s="121">
        <f t="shared" si="0"/>
        <v>5</v>
      </c>
      <c r="AF12" s="121">
        <v>8</v>
      </c>
      <c r="AG12" s="121">
        <f t="shared" si="0"/>
        <v>0</v>
      </c>
      <c r="AH12" s="51">
        <f>(5000+165+135+135+405)*1</f>
        <v>5840</v>
      </c>
      <c r="AI12" s="264">
        <f t="shared" ref="AI12:AI26" si="4">O12</f>
        <v>0</v>
      </c>
      <c r="AJ12" s="264">
        <f t="shared" si="1"/>
        <v>14</v>
      </c>
      <c r="AK12" s="264">
        <f t="shared" si="1"/>
        <v>9</v>
      </c>
      <c r="AL12" s="264">
        <f>R12+AR17</f>
        <v>35</v>
      </c>
      <c r="AM12" s="264">
        <f t="shared" si="1"/>
        <v>7</v>
      </c>
      <c r="AN12" s="264">
        <f>T12+AR16</f>
        <v>21</v>
      </c>
      <c r="AO12" s="264">
        <f t="shared" si="1"/>
        <v>0</v>
      </c>
      <c r="AP12" s="70">
        <f t="shared" ref="AP12" si="5">SUM(AI12:AO12)</f>
        <v>86</v>
      </c>
      <c r="AQ12" s="119"/>
    </row>
    <row r="13" spans="1:45" x14ac:dyDescent="0.25">
      <c r="A13" t="s">
        <v>33</v>
      </c>
      <c r="B13" s="16" t="s">
        <v>30</v>
      </c>
      <c r="C13" s="4"/>
      <c r="D13" s="4"/>
      <c r="E13" s="4"/>
      <c r="F13" s="4"/>
      <c r="G13" s="277">
        <v>0</v>
      </c>
      <c r="H13" s="147">
        <v>2</v>
      </c>
      <c r="I13" s="277">
        <v>2</v>
      </c>
      <c r="J13" s="147">
        <v>2</v>
      </c>
      <c r="K13" s="277">
        <v>2</v>
      </c>
      <c r="L13" s="147">
        <v>2</v>
      </c>
      <c r="M13" s="277">
        <v>2</v>
      </c>
      <c r="N13" s="51"/>
      <c r="O13" s="264">
        <v>0</v>
      </c>
      <c r="P13" s="264">
        <v>0</v>
      </c>
      <c r="Q13" s="264">
        <v>0</v>
      </c>
      <c r="R13" s="242">
        <v>0</v>
      </c>
      <c r="S13" s="242">
        <v>0</v>
      </c>
      <c r="T13" s="242">
        <v>0</v>
      </c>
      <c r="U13" s="242">
        <v>0</v>
      </c>
      <c r="V13" s="70">
        <f>SUM(O13:U13)</f>
        <v>0</v>
      </c>
      <c r="X13" t="s">
        <v>33</v>
      </c>
      <c r="Y13" s="4"/>
      <c r="Z13" s="4"/>
      <c r="AA13" s="121">
        <f t="shared" si="3"/>
        <v>0</v>
      </c>
      <c r="AB13" s="121">
        <f t="shared" si="0"/>
        <v>2</v>
      </c>
      <c r="AC13" s="121">
        <f t="shared" si="0"/>
        <v>2</v>
      </c>
      <c r="AD13" s="121">
        <f t="shared" si="0"/>
        <v>2</v>
      </c>
      <c r="AE13" s="121">
        <f t="shared" si="0"/>
        <v>2</v>
      </c>
      <c r="AF13" s="121">
        <f t="shared" si="0"/>
        <v>2</v>
      </c>
      <c r="AG13" s="121">
        <f t="shared" si="0"/>
        <v>2</v>
      </c>
      <c r="AH13" s="51">
        <f t="shared" si="0"/>
        <v>0</v>
      </c>
      <c r="AI13" s="264">
        <f t="shared" si="4"/>
        <v>0</v>
      </c>
      <c r="AJ13" s="264">
        <f t="shared" si="1"/>
        <v>0</v>
      </c>
      <c r="AK13" s="264">
        <f t="shared" si="1"/>
        <v>0</v>
      </c>
      <c r="AL13" s="264">
        <f t="shared" si="1"/>
        <v>0</v>
      </c>
      <c r="AM13" s="264">
        <f t="shared" si="1"/>
        <v>0</v>
      </c>
      <c r="AN13" s="264">
        <f t="shared" si="1"/>
        <v>0</v>
      </c>
      <c r="AO13" s="264">
        <f t="shared" si="1"/>
        <v>0</v>
      </c>
      <c r="AP13" s="70">
        <f>SUM(AI13:AO13)</f>
        <v>0</v>
      </c>
      <c r="AQ13" s="119"/>
    </row>
    <row r="14" spans="1:45" x14ac:dyDescent="0.25">
      <c r="A14" t="s">
        <v>39</v>
      </c>
      <c r="B14" s="16" t="s">
        <v>30</v>
      </c>
      <c r="C14" s="4"/>
      <c r="D14" s="4"/>
      <c r="E14" s="4"/>
      <c r="F14" s="4"/>
      <c r="G14" s="277">
        <v>0</v>
      </c>
      <c r="H14" s="147">
        <v>2</v>
      </c>
      <c r="I14" s="277">
        <v>2</v>
      </c>
      <c r="J14" s="147">
        <v>2</v>
      </c>
      <c r="K14" s="277">
        <v>2</v>
      </c>
      <c r="L14" s="147">
        <v>2</v>
      </c>
      <c r="M14" s="277">
        <v>2</v>
      </c>
      <c r="N14" s="51"/>
      <c r="O14" s="264">
        <v>0</v>
      </c>
      <c r="P14" s="264">
        <v>0</v>
      </c>
      <c r="Q14" s="264">
        <v>0</v>
      </c>
      <c r="R14" s="242">
        <v>0</v>
      </c>
      <c r="S14" s="242">
        <v>0</v>
      </c>
      <c r="T14" s="242">
        <v>0</v>
      </c>
      <c r="U14" s="242">
        <v>0</v>
      </c>
      <c r="V14" s="70">
        <f>SUM(O14:U14)</f>
        <v>0</v>
      </c>
      <c r="X14" t="s">
        <v>39</v>
      </c>
      <c r="Y14" s="4"/>
      <c r="Z14" s="4"/>
      <c r="AA14" s="121">
        <f t="shared" si="3"/>
        <v>0</v>
      </c>
      <c r="AB14" s="121">
        <f t="shared" si="0"/>
        <v>2</v>
      </c>
      <c r="AC14" s="121">
        <f t="shared" si="0"/>
        <v>2</v>
      </c>
      <c r="AD14" s="121">
        <f t="shared" si="0"/>
        <v>2</v>
      </c>
      <c r="AE14" s="121">
        <f t="shared" si="0"/>
        <v>2</v>
      </c>
      <c r="AF14" s="121">
        <f t="shared" si="0"/>
        <v>2</v>
      </c>
      <c r="AG14" s="121">
        <f t="shared" si="0"/>
        <v>2</v>
      </c>
      <c r="AH14" s="51">
        <f t="shared" si="0"/>
        <v>0</v>
      </c>
      <c r="AI14" s="264">
        <f t="shared" si="4"/>
        <v>0</v>
      </c>
      <c r="AJ14" s="264">
        <f t="shared" si="1"/>
        <v>0</v>
      </c>
      <c r="AK14" s="264">
        <f t="shared" si="1"/>
        <v>0</v>
      </c>
      <c r="AL14" s="264">
        <f t="shared" si="1"/>
        <v>0</v>
      </c>
      <c r="AM14" s="264">
        <f t="shared" si="1"/>
        <v>0</v>
      </c>
      <c r="AN14" s="264">
        <f t="shared" si="1"/>
        <v>0</v>
      </c>
      <c r="AO14" s="264">
        <f t="shared" si="1"/>
        <v>0</v>
      </c>
      <c r="AP14" s="70">
        <f>SUM(AI14:AO14)</f>
        <v>0</v>
      </c>
      <c r="AQ14" s="119"/>
    </row>
    <row r="15" spans="1:45" x14ac:dyDescent="0.25">
      <c r="A15" t="s">
        <v>41</v>
      </c>
      <c r="B15" s="16" t="s">
        <v>30</v>
      </c>
      <c r="C15" s="4"/>
      <c r="D15" s="4"/>
      <c r="E15" s="4"/>
      <c r="F15" s="4"/>
      <c r="G15" s="277">
        <v>0</v>
      </c>
      <c r="H15" s="147">
        <v>2</v>
      </c>
      <c r="I15" s="277">
        <v>2</v>
      </c>
      <c r="J15" s="147">
        <v>2</v>
      </c>
      <c r="K15" s="277">
        <v>2</v>
      </c>
      <c r="L15" s="147">
        <v>2</v>
      </c>
      <c r="M15" s="277">
        <v>2</v>
      </c>
      <c r="N15" s="51"/>
      <c r="O15" s="264">
        <v>0</v>
      </c>
      <c r="P15" s="264">
        <v>0</v>
      </c>
      <c r="Q15" s="264">
        <v>0</v>
      </c>
      <c r="R15" s="242">
        <v>0</v>
      </c>
      <c r="S15" s="242">
        <v>0</v>
      </c>
      <c r="T15" s="242">
        <v>0</v>
      </c>
      <c r="U15" s="242">
        <v>0</v>
      </c>
      <c r="V15" s="70">
        <f t="shared" si="2"/>
        <v>0</v>
      </c>
      <c r="X15" t="s">
        <v>41</v>
      </c>
      <c r="Y15" s="4"/>
      <c r="Z15" s="4"/>
      <c r="AA15" s="121">
        <f t="shared" si="3"/>
        <v>0</v>
      </c>
      <c r="AB15" s="121">
        <f t="shared" si="0"/>
        <v>2</v>
      </c>
      <c r="AC15" s="121">
        <f t="shared" si="0"/>
        <v>2</v>
      </c>
      <c r="AD15" s="121">
        <f t="shared" si="0"/>
        <v>2</v>
      </c>
      <c r="AE15" s="121">
        <f t="shared" si="0"/>
        <v>2</v>
      </c>
      <c r="AF15" s="121">
        <f t="shared" si="0"/>
        <v>2</v>
      </c>
      <c r="AG15" s="121">
        <f t="shared" si="0"/>
        <v>2</v>
      </c>
      <c r="AH15" s="51">
        <f t="shared" si="0"/>
        <v>0</v>
      </c>
      <c r="AI15" s="264">
        <f t="shared" si="4"/>
        <v>0</v>
      </c>
      <c r="AJ15" s="264">
        <f t="shared" si="1"/>
        <v>0</v>
      </c>
      <c r="AK15" s="264">
        <f t="shared" si="1"/>
        <v>0</v>
      </c>
      <c r="AL15" s="264">
        <f t="shared" si="1"/>
        <v>0</v>
      </c>
      <c r="AM15" s="264">
        <f t="shared" si="1"/>
        <v>0</v>
      </c>
      <c r="AN15" s="264">
        <f t="shared" si="1"/>
        <v>0</v>
      </c>
      <c r="AO15" s="264">
        <f t="shared" si="1"/>
        <v>0</v>
      </c>
      <c r="AP15" s="70">
        <f t="shared" ref="AP15:AP21" si="6">SUM(AI15:AO15)</f>
        <v>0</v>
      </c>
      <c r="AQ15" s="119"/>
      <c r="AR15" s="56" t="s">
        <v>434</v>
      </c>
      <c r="AS15" s="56" t="s">
        <v>435</v>
      </c>
    </row>
    <row r="16" spans="1:45" x14ac:dyDescent="0.25">
      <c r="A16" t="s">
        <v>38</v>
      </c>
      <c r="B16" s="16" t="s">
        <v>30</v>
      </c>
      <c r="C16" s="4"/>
      <c r="D16" s="4"/>
      <c r="E16" s="4"/>
      <c r="F16" s="4"/>
      <c r="G16" s="277">
        <v>0</v>
      </c>
      <c r="H16" s="147">
        <v>2</v>
      </c>
      <c r="I16" s="277">
        <v>2</v>
      </c>
      <c r="J16" s="147">
        <v>2</v>
      </c>
      <c r="K16" s="277">
        <v>2</v>
      </c>
      <c r="L16" s="147">
        <v>2</v>
      </c>
      <c r="M16" s="277">
        <v>2</v>
      </c>
      <c r="N16" s="51"/>
      <c r="O16" s="264">
        <v>0</v>
      </c>
      <c r="P16" s="264">
        <v>0</v>
      </c>
      <c r="Q16" s="264">
        <v>0</v>
      </c>
      <c r="R16" s="242">
        <v>0</v>
      </c>
      <c r="S16" s="242">
        <v>0</v>
      </c>
      <c r="T16" s="242">
        <v>0</v>
      </c>
      <c r="U16" s="242">
        <v>0</v>
      </c>
      <c r="V16" s="70">
        <f t="shared" si="2"/>
        <v>0</v>
      </c>
      <c r="X16" t="s">
        <v>38</v>
      </c>
      <c r="Y16" s="4"/>
      <c r="Z16" s="4"/>
      <c r="AA16" s="121">
        <f t="shared" si="3"/>
        <v>0</v>
      </c>
      <c r="AB16" s="121">
        <f t="shared" si="0"/>
        <v>2</v>
      </c>
      <c r="AC16" s="121">
        <f t="shared" si="0"/>
        <v>2</v>
      </c>
      <c r="AD16" s="121">
        <f t="shared" si="0"/>
        <v>2</v>
      </c>
      <c r="AE16" s="121">
        <f t="shared" si="0"/>
        <v>2</v>
      </c>
      <c r="AF16" s="121">
        <f t="shared" si="0"/>
        <v>2</v>
      </c>
      <c r="AG16" s="121">
        <f t="shared" si="0"/>
        <v>2</v>
      </c>
      <c r="AH16" s="51">
        <f t="shared" si="0"/>
        <v>0</v>
      </c>
      <c r="AI16" s="264">
        <f t="shared" si="4"/>
        <v>0</v>
      </c>
      <c r="AJ16" s="264">
        <f t="shared" si="1"/>
        <v>0</v>
      </c>
      <c r="AK16" s="264">
        <f t="shared" si="1"/>
        <v>0</v>
      </c>
      <c r="AL16" s="264">
        <f t="shared" si="1"/>
        <v>0</v>
      </c>
      <c r="AM16" s="264">
        <f t="shared" si="1"/>
        <v>0</v>
      </c>
      <c r="AN16" s="264">
        <f t="shared" si="1"/>
        <v>0</v>
      </c>
      <c r="AO16" s="264">
        <f t="shared" si="1"/>
        <v>0</v>
      </c>
      <c r="AP16" s="70">
        <f t="shared" si="6"/>
        <v>0</v>
      </c>
      <c r="AQ16" s="278" t="s">
        <v>92</v>
      </c>
      <c r="AR16">
        <v>16</v>
      </c>
      <c r="AS16" s="40">
        <f>AR16/16</f>
        <v>1</v>
      </c>
    </row>
    <row r="17" spans="1:45" x14ac:dyDescent="0.25">
      <c r="A17" t="s">
        <v>35</v>
      </c>
      <c r="B17" s="16" t="s">
        <v>30</v>
      </c>
      <c r="C17" s="4"/>
      <c r="D17" s="4"/>
      <c r="E17" s="4"/>
      <c r="F17" s="4"/>
      <c r="G17" s="277">
        <v>0</v>
      </c>
      <c r="H17" s="147">
        <v>2</v>
      </c>
      <c r="I17" s="277">
        <v>2</v>
      </c>
      <c r="J17" s="147">
        <v>2</v>
      </c>
      <c r="K17" s="277">
        <v>2</v>
      </c>
      <c r="L17" s="147">
        <v>2</v>
      </c>
      <c r="M17" s="277">
        <v>2</v>
      </c>
      <c r="N17" s="51"/>
      <c r="O17" s="264">
        <v>0</v>
      </c>
      <c r="P17" s="264">
        <v>0</v>
      </c>
      <c r="Q17" s="264">
        <v>0</v>
      </c>
      <c r="R17" s="242">
        <v>0</v>
      </c>
      <c r="S17" s="242">
        <v>0</v>
      </c>
      <c r="T17" s="242">
        <v>0</v>
      </c>
      <c r="U17" s="242">
        <v>0</v>
      </c>
      <c r="V17" s="70">
        <f t="shared" si="2"/>
        <v>0</v>
      </c>
      <c r="X17" t="s">
        <v>35</v>
      </c>
      <c r="Y17" s="4"/>
      <c r="Z17" s="4"/>
      <c r="AA17" s="121">
        <f t="shared" si="3"/>
        <v>0</v>
      </c>
      <c r="AB17" s="121">
        <f t="shared" si="0"/>
        <v>2</v>
      </c>
      <c r="AC17" s="121">
        <f t="shared" si="0"/>
        <v>2</v>
      </c>
      <c r="AD17" s="121">
        <f t="shared" si="0"/>
        <v>2</v>
      </c>
      <c r="AE17" s="121">
        <f t="shared" si="0"/>
        <v>2</v>
      </c>
      <c r="AF17" s="121">
        <f t="shared" si="0"/>
        <v>2</v>
      </c>
      <c r="AG17" s="121">
        <f t="shared" si="0"/>
        <v>2</v>
      </c>
      <c r="AH17" s="51">
        <f t="shared" si="0"/>
        <v>0</v>
      </c>
      <c r="AI17" s="264">
        <f t="shared" si="4"/>
        <v>0</v>
      </c>
      <c r="AJ17" s="264">
        <f t="shared" si="1"/>
        <v>0</v>
      </c>
      <c r="AK17" s="264">
        <f t="shared" si="1"/>
        <v>0</v>
      </c>
      <c r="AL17" s="264">
        <f t="shared" si="1"/>
        <v>0</v>
      </c>
      <c r="AM17" s="264">
        <f t="shared" si="1"/>
        <v>0</v>
      </c>
      <c r="AN17" s="264">
        <f t="shared" si="1"/>
        <v>0</v>
      </c>
      <c r="AO17" s="264">
        <f t="shared" si="1"/>
        <v>0</v>
      </c>
      <c r="AP17" s="70">
        <f t="shared" si="6"/>
        <v>0</v>
      </c>
      <c r="AQ17" s="278" t="s">
        <v>221</v>
      </c>
      <c r="AR17">
        <v>31.5</v>
      </c>
      <c r="AS17" s="40">
        <f>AR17/16</f>
        <v>1.96875</v>
      </c>
    </row>
    <row r="18" spans="1:45" x14ac:dyDescent="0.25">
      <c r="A18" t="s">
        <v>31</v>
      </c>
      <c r="B18" s="16" t="s">
        <v>30</v>
      </c>
      <c r="C18" s="4"/>
      <c r="D18" s="4"/>
      <c r="E18" s="4"/>
      <c r="F18" s="4"/>
      <c r="G18" s="277">
        <v>0</v>
      </c>
      <c r="H18" s="147">
        <v>2</v>
      </c>
      <c r="I18" s="277">
        <v>2</v>
      </c>
      <c r="J18" s="147">
        <v>2</v>
      </c>
      <c r="K18" s="277">
        <v>2</v>
      </c>
      <c r="L18" s="147">
        <v>2</v>
      </c>
      <c r="M18" s="277">
        <v>2</v>
      </c>
      <c r="N18" s="51"/>
      <c r="O18" s="264">
        <v>0</v>
      </c>
      <c r="P18" s="264">
        <v>0</v>
      </c>
      <c r="Q18" s="264">
        <v>0</v>
      </c>
      <c r="R18" s="242">
        <v>0</v>
      </c>
      <c r="S18" s="242">
        <v>0</v>
      </c>
      <c r="T18" s="242">
        <v>0</v>
      </c>
      <c r="U18" s="242">
        <v>0</v>
      </c>
      <c r="V18" s="70">
        <f t="shared" si="2"/>
        <v>0</v>
      </c>
      <c r="X18" t="s">
        <v>31</v>
      </c>
      <c r="Y18" s="4"/>
      <c r="Z18" s="4"/>
      <c r="AA18" s="121">
        <f t="shared" si="3"/>
        <v>0</v>
      </c>
      <c r="AB18" s="121">
        <f t="shared" si="0"/>
        <v>2</v>
      </c>
      <c r="AC18" s="121">
        <f t="shared" si="0"/>
        <v>2</v>
      </c>
      <c r="AD18" s="121">
        <f t="shared" si="0"/>
        <v>2</v>
      </c>
      <c r="AE18" s="121">
        <f t="shared" si="0"/>
        <v>2</v>
      </c>
      <c r="AF18" s="121">
        <f t="shared" si="0"/>
        <v>2</v>
      </c>
      <c r="AG18" s="121">
        <f t="shared" si="0"/>
        <v>2</v>
      </c>
      <c r="AH18" s="51">
        <f t="shared" si="0"/>
        <v>0</v>
      </c>
      <c r="AI18" s="264">
        <f t="shared" si="4"/>
        <v>0</v>
      </c>
      <c r="AJ18" s="264">
        <f t="shared" si="1"/>
        <v>0</v>
      </c>
      <c r="AK18" s="264">
        <f t="shared" si="1"/>
        <v>0</v>
      </c>
      <c r="AL18" s="264">
        <f t="shared" si="1"/>
        <v>0</v>
      </c>
      <c r="AM18" s="264">
        <f t="shared" si="1"/>
        <v>0</v>
      </c>
      <c r="AN18" s="264">
        <f t="shared" si="1"/>
        <v>0</v>
      </c>
      <c r="AO18" s="264">
        <f t="shared" si="1"/>
        <v>0</v>
      </c>
      <c r="AP18" s="70">
        <f t="shared" si="6"/>
        <v>0</v>
      </c>
      <c r="AQ18" s="119"/>
      <c r="AR18" s="56">
        <f>AR17+AR16</f>
        <v>47.5</v>
      </c>
      <c r="AS18" s="56">
        <f>AS17+AS16</f>
        <v>2.96875</v>
      </c>
    </row>
    <row r="19" spans="1:45" x14ac:dyDescent="0.25">
      <c r="A19" t="s">
        <v>43</v>
      </c>
      <c r="B19" s="16" t="s">
        <v>442</v>
      </c>
      <c r="C19" s="4"/>
      <c r="D19" s="4"/>
      <c r="E19" s="4"/>
      <c r="F19" s="4"/>
      <c r="G19" s="277">
        <v>0</v>
      </c>
      <c r="H19" s="147">
        <v>2</v>
      </c>
      <c r="I19" s="277">
        <v>2</v>
      </c>
      <c r="J19" s="147">
        <v>2</v>
      </c>
      <c r="K19" s="277">
        <v>2</v>
      </c>
      <c r="L19" s="147">
        <v>2</v>
      </c>
      <c r="M19" s="277">
        <v>2</v>
      </c>
      <c r="N19" s="51"/>
      <c r="O19" s="264">
        <v>0</v>
      </c>
      <c r="P19" s="264">
        <v>0</v>
      </c>
      <c r="Q19" s="264">
        <v>0</v>
      </c>
      <c r="R19" s="242">
        <v>0</v>
      </c>
      <c r="S19" s="242">
        <v>0</v>
      </c>
      <c r="T19" s="242">
        <v>0</v>
      </c>
      <c r="U19" s="242">
        <v>0</v>
      </c>
      <c r="V19" s="70">
        <f t="shared" si="2"/>
        <v>0</v>
      </c>
      <c r="X19" t="s">
        <v>43</v>
      </c>
      <c r="Y19" s="4"/>
      <c r="Z19" s="4"/>
      <c r="AA19" s="121">
        <f t="shared" si="3"/>
        <v>0</v>
      </c>
      <c r="AB19" s="121">
        <f t="shared" si="0"/>
        <v>2</v>
      </c>
      <c r="AC19" s="121">
        <f t="shared" si="0"/>
        <v>2</v>
      </c>
      <c r="AD19" s="121">
        <f t="shared" si="0"/>
        <v>2</v>
      </c>
      <c r="AE19" s="121">
        <f t="shared" si="0"/>
        <v>2</v>
      </c>
      <c r="AF19" s="121">
        <f t="shared" si="0"/>
        <v>2</v>
      </c>
      <c r="AG19" s="121">
        <f t="shared" si="0"/>
        <v>2</v>
      </c>
      <c r="AH19" s="51">
        <f t="shared" si="0"/>
        <v>0</v>
      </c>
      <c r="AI19" s="264">
        <f t="shared" si="4"/>
        <v>0</v>
      </c>
      <c r="AJ19" s="264">
        <f t="shared" si="1"/>
        <v>0</v>
      </c>
      <c r="AK19" s="264">
        <f t="shared" si="1"/>
        <v>0</v>
      </c>
      <c r="AL19" s="264">
        <f t="shared" si="1"/>
        <v>0</v>
      </c>
      <c r="AM19" s="264">
        <f t="shared" si="1"/>
        <v>0</v>
      </c>
      <c r="AN19" s="264">
        <f t="shared" si="1"/>
        <v>0</v>
      </c>
      <c r="AO19" s="264">
        <f t="shared" si="1"/>
        <v>0</v>
      </c>
      <c r="AP19" s="70">
        <f t="shared" si="6"/>
        <v>0</v>
      </c>
      <c r="AQ19" s="119"/>
    </row>
    <row r="20" spans="1:45" x14ac:dyDescent="0.25">
      <c r="A20" t="s">
        <v>43</v>
      </c>
      <c r="B20" s="16" t="s">
        <v>442</v>
      </c>
      <c r="C20" s="4"/>
      <c r="D20" s="4"/>
      <c r="E20" s="4"/>
      <c r="F20" s="4"/>
      <c r="G20" s="277">
        <v>0</v>
      </c>
      <c r="H20" s="147">
        <v>2</v>
      </c>
      <c r="I20" s="277">
        <v>2</v>
      </c>
      <c r="J20" s="147">
        <v>2</v>
      </c>
      <c r="K20" s="277">
        <v>2</v>
      </c>
      <c r="L20" s="147">
        <v>2</v>
      </c>
      <c r="M20" s="277">
        <v>2</v>
      </c>
      <c r="N20" s="51"/>
      <c r="O20" s="264">
        <v>0</v>
      </c>
      <c r="P20" s="264">
        <v>0</v>
      </c>
      <c r="Q20" s="264">
        <v>0</v>
      </c>
      <c r="R20" s="242">
        <v>0</v>
      </c>
      <c r="S20" s="242">
        <v>0</v>
      </c>
      <c r="T20" s="242">
        <v>0</v>
      </c>
      <c r="U20" s="242">
        <v>0</v>
      </c>
      <c r="V20" s="70">
        <f t="shared" si="2"/>
        <v>0</v>
      </c>
      <c r="X20" t="s">
        <v>43</v>
      </c>
      <c r="Y20" s="4"/>
      <c r="Z20" s="4"/>
      <c r="AA20" s="121">
        <f t="shared" si="3"/>
        <v>0</v>
      </c>
      <c r="AB20" s="121">
        <f t="shared" si="0"/>
        <v>2</v>
      </c>
      <c r="AC20" s="121">
        <f t="shared" si="0"/>
        <v>2</v>
      </c>
      <c r="AD20" s="121">
        <f t="shared" si="0"/>
        <v>2</v>
      </c>
      <c r="AE20" s="121">
        <f t="shared" si="0"/>
        <v>2</v>
      </c>
      <c r="AF20" s="121">
        <f t="shared" si="0"/>
        <v>2</v>
      </c>
      <c r="AG20" s="121">
        <f t="shared" si="0"/>
        <v>2</v>
      </c>
      <c r="AH20" s="51">
        <f t="shared" si="0"/>
        <v>0</v>
      </c>
      <c r="AI20" s="264">
        <f t="shared" si="4"/>
        <v>0</v>
      </c>
      <c r="AJ20" s="264">
        <f t="shared" si="1"/>
        <v>0</v>
      </c>
      <c r="AK20" s="264">
        <f t="shared" si="1"/>
        <v>0</v>
      </c>
      <c r="AL20" s="264">
        <f t="shared" si="1"/>
        <v>0</v>
      </c>
      <c r="AM20" s="264">
        <f t="shared" si="1"/>
        <v>0</v>
      </c>
      <c r="AN20" s="264">
        <f t="shared" si="1"/>
        <v>0</v>
      </c>
      <c r="AO20" s="264">
        <f t="shared" si="1"/>
        <v>0</v>
      </c>
      <c r="AP20" s="70">
        <f t="shared" si="6"/>
        <v>0</v>
      </c>
      <c r="AQ20" s="119"/>
    </row>
    <row r="21" spans="1:45" x14ac:dyDescent="0.25">
      <c r="A21" t="s">
        <v>36</v>
      </c>
      <c r="B21" s="16" t="s">
        <v>73</v>
      </c>
      <c r="C21" s="4" t="s">
        <v>45</v>
      </c>
      <c r="D21" s="4" t="s">
        <v>380</v>
      </c>
      <c r="E21" s="4">
        <v>17</v>
      </c>
      <c r="F21" s="4">
        <v>37</v>
      </c>
      <c r="G21" s="277">
        <v>0</v>
      </c>
      <c r="H21" s="147">
        <v>2</v>
      </c>
      <c r="I21" s="277">
        <v>5.7</v>
      </c>
      <c r="J21" s="147">
        <v>5.5</v>
      </c>
      <c r="K21" s="277">
        <v>5.25</v>
      </c>
      <c r="L21" s="147">
        <v>3</v>
      </c>
      <c r="M21" s="277">
        <v>5</v>
      </c>
      <c r="N21" s="51">
        <f>(310+135+140)*1.016</f>
        <v>594.36</v>
      </c>
      <c r="O21" s="264">
        <v>0</v>
      </c>
      <c r="P21" s="264">
        <v>0</v>
      </c>
      <c r="Q21" s="264">
        <v>13</v>
      </c>
      <c r="R21" s="242">
        <v>10.5</v>
      </c>
      <c r="S21" s="242">
        <v>8</v>
      </c>
      <c r="T21" s="242">
        <v>2</v>
      </c>
      <c r="U21" s="242">
        <v>3</v>
      </c>
      <c r="V21" s="70">
        <f t="shared" si="2"/>
        <v>36.5</v>
      </c>
      <c r="X21" t="s">
        <v>36</v>
      </c>
      <c r="Y21" s="4">
        <v>20</v>
      </c>
      <c r="Z21" s="4">
        <f>F21+(7*$AR$18)-112-112-112</f>
        <v>33.5</v>
      </c>
      <c r="AA21" s="121">
        <f t="shared" si="3"/>
        <v>0</v>
      </c>
      <c r="AB21" s="121">
        <f t="shared" si="0"/>
        <v>2</v>
      </c>
      <c r="AC21" s="121">
        <f t="shared" si="0"/>
        <v>5.7</v>
      </c>
      <c r="AD21" s="121">
        <f>13+2/7</f>
        <v>13.285714285714286</v>
      </c>
      <c r="AE21" s="121">
        <f t="shared" si="0"/>
        <v>5.25</v>
      </c>
      <c r="AF21" s="121">
        <f>7+2/5</f>
        <v>7.4</v>
      </c>
      <c r="AG21" s="121">
        <f t="shared" si="0"/>
        <v>5</v>
      </c>
      <c r="AH21" s="51">
        <f>(155+8000+140+300)*1.016</f>
        <v>8732.52</v>
      </c>
      <c r="AI21" s="264">
        <f t="shared" si="4"/>
        <v>0</v>
      </c>
      <c r="AJ21" s="264">
        <f t="shared" si="1"/>
        <v>0</v>
      </c>
      <c r="AK21" s="264">
        <f t="shared" si="1"/>
        <v>13</v>
      </c>
      <c r="AL21" s="264">
        <f>R21+AR17</f>
        <v>42</v>
      </c>
      <c r="AM21" s="264">
        <f t="shared" si="1"/>
        <v>8</v>
      </c>
      <c r="AN21" s="264">
        <f>T21+AR16</f>
        <v>18</v>
      </c>
      <c r="AO21" s="264">
        <f t="shared" si="1"/>
        <v>3</v>
      </c>
      <c r="AP21" s="70">
        <f t="shared" si="6"/>
        <v>84</v>
      </c>
      <c r="AQ21" s="119"/>
    </row>
    <row r="22" spans="1:45" x14ac:dyDescent="0.25">
      <c r="A22" t="s">
        <v>40</v>
      </c>
      <c r="B22" s="16" t="s">
        <v>73</v>
      </c>
      <c r="C22" s="4" t="s">
        <v>344</v>
      </c>
      <c r="D22" s="4" t="s">
        <v>381</v>
      </c>
      <c r="E22" s="4">
        <v>17</v>
      </c>
      <c r="F22" s="4">
        <v>41</v>
      </c>
      <c r="G22" s="277">
        <v>0</v>
      </c>
      <c r="H22" s="147">
        <v>6</v>
      </c>
      <c r="I22" s="277">
        <v>3</v>
      </c>
      <c r="J22" s="147">
        <v>3</v>
      </c>
      <c r="K22" s="277">
        <v>5.2</v>
      </c>
      <c r="L22" s="147">
        <v>2</v>
      </c>
      <c r="M22" s="277">
        <v>3</v>
      </c>
      <c r="N22" s="51">
        <f>(330+138)*1.012</f>
        <v>473.61599999999999</v>
      </c>
      <c r="O22" s="264">
        <v>0</v>
      </c>
      <c r="P22" s="264">
        <v>14</v>
      </c>
      <c r="Q22" s="264">
        <v>3</v>
      </c>
      <c r="R22" s="242">
        <v>1.5</v>
      </c>
      <c r="S22" s="242">
        <v>8</v>
      </c>
      <c r="T22" s="242">
        <v>0</v>
      </c>
      <c r="U22" s="242">
        <v>1</v>
      </c>
      <c r="V22" s="70">
        <f>SUM(O22:U22)</f>
        <v>27.5</v>
      </c>
      <c r="X22" t="s">
        <v>40</v>
      </c>
      <c r="Y22" s="4">
        <v>20</v>
      </c>
      <c r="Z22" s="4">
        <f>F22+(7*$AR$18)-112-112-112</f>
        <v>37.5</v>
      </c>
      <c r="AA22" s="121">
        <f t="shared" si="3"/>
        <v>0</v>
      </c>
      <c r="AB22" s="121">
        <f t="shared" si="0"/>
        <v>6</v>
      </c>
      <c r="AC22" s="121">
        <f t="shared" si="0"/>
        <v>3</v>
      </c>
      <c r="AD22" s="121">
        <v>12</v>
      </c>
      <c r="AE22" s="121">
        <f t="shared" si="0"/>
        <v>5.2</v>
      </c>
      <c r="AF22" s="121">
        <v>7</v>
      </c>
      <c r="AG22" s="121">
        <f t="shared" si="0"/>
        <v>3</v>
      </c>
      <c r="AH22" s="51">
        <f>(165+138+4470+245)*1.012</f>
        <v>5078.2160000000003</v>
      </c>
      <c r="AI22" s="264">
        <f t="shared" si="4"/>
        <v>0</v>
      </c>
      <c r="AJ22" s="264">
        <f t="shared" si="1"/>
        <v>14</v>
      </c>
      <c r="AK22" s="264">
        <f t="shared" si="1"/>
        <v>3</v>
      </c>
      <c r="AL22" s="264">
        <f>R22+AR17</f>
        <v>33</v>
      </c>
      <c r="AM22" s="264">
        <f t="shared" si="1"/>
        <v>8</v>
      </c>
      <c r="AN22" s="264">
        <f>T22+AR16</f>
        <v>16</v>
      </c>
      <c r="AO22" s="264">
        <f t="shared" si="1"/>
        <v>1</v>
      </c>
      <c r="AP22" s="70">
        <f>SUM(AI22:AO22)</f>
        <v>75</v>
      </c>
      <c r="AQ22" s="119"/>
    </row>
    <row r="23" spans="1:45" x14ac:dyDescent="0.25">
      <c r="A23" t="s">
        <v>34</v>
      </c>
      <c r="B23" s="16" t="s">
        <v>73</v>
      </c>
      <c r="C23" s="4" t="s">
        <v>344</v>
      </c>
      <c r="D23" s="4" t="s">
        <v>382</v>
      </c>
      <c r="E23" s="4">
        <v>17</v>
      </c>
      <c r="F23" s="4">
        <v>37</v>
      </c>
      <c r="G23" s="277">
        <v>0</v>
      </c>
      <c r="H23" s="147">
        <v>3</v>
      </c>
      <c r="I23" s="277">
        <v>5</v>
      </c>
      <c r="J23" s="147">
        <v>4</v>
      </c>
      <c r="K23" s="277">
        <v>4</v>
      </c>
      <c r="L23" s="147">
        <v>3</v>
      </c>
      <c r="M23" s="277">
        <v>3</v>
      </c>
      <c r="N23" s="51">
        <f>(270+125+125)*1.012</f>
        <v>526.24</v>
      </c>
      <c r="O23" s="264">
        <v>0</v>
      </c>
      <c r="P23" s="264">
        <v>3</v>
      </c>
      <c r="Q23" s="264">
        <v>9</v>
      </c>
      <c r="R23" s="242">
        <v>3.5</v>
      </c>
      <c r="S23" s="242">
        <v>4</v>
      </c>
      <c r="T23" s="242">
        <v>2</v>
      </c>
      <c r="U23" s="242">
        <v>1</v>
      </c>
      <c r="V23" s="70">
        <f>SUM(O23:U23)</f>
        <v>22.5</v>
      </c>
      <c r="X23" t="s">
        <v>34</v>
      </c>
      <c r="Y23" s="4">
        <v>20</v>
      </c>
      <c r="Z23" s="4">
        <f>F23+(7*$AR$18)-112-112-112</f>
        <v>33.5</v>
      </c>
      <c r="AA23" s="121">
        <f t="shared" si="3"/>
        <v>0</v>
      </c>
      <c r="AB23" s="121">
        <f t="shared" si="0"/>
        <v>3</v>
      </c>
      <c r="AC23" s="121">
        <f t="shared" si="0"/>
        <v>5</v>
      </c>
      <c r="AD23" s="121">
        <f>12+2/7</f>
        <v>12.285714285714286</v>
      </c>
      <c r="AE23" s="121">
        <f t="shared" si="0"/>
        <v>4</v>
      </c>
      <c r="AF23" s="121">
        <f>7+2/5</f>
        <v>7.4</v>
      </c>
      <c r="AG23" s="121">
        <f t="shared" si="0"/>
        <v>3</v>
      </c>
      <c r="AH23" s="51">
        <f>(135+5000+125+300)*1.012</f>
        <v>5626.72</v>
      </c>
      <c r="AI23" s="264">
        <f t="shared" si="4"/>
        <v>0</v>
      </c>
      <c r="AJ23" s="264">
        <f t="shared" si="1"/>
        <v>3</v>
      </c>
      <c r="AK23" s="264">
        <f t="shared" si="1"/>
        <v>9</v>
      </c>
      <c r="AL23" s="264">
        <f>R23+AR17</f>
        <v>35</v>
      </c>
      <c r="AM23" s="264">
        <f t="shared" si="1"/>
        <v>4</v>
      </c>
      <c r="AN23" s="264">
        <f>T23+AR16</f>
        <v>18</v>
      </c>
      <c r="AO23" s="264">
        <f t="shared" si="1"/>
        <v>1</v>
      </c>
      <c r="AP23" s="70">
        <f>SUM(AI23:AO23)</f>
        <v>70</v>
      </c>
      <c r="AQ23" s="119"/>
    </row>
    <row r="24" spans="1:45" x14ac:dyDescent="0.25">
      <c r="A24" t="s">
        <v>42</v>
      </c>
      <c r="B24" s="16" t="s">
        <v>44</v>
      </c>
      <c r="C24" s="4"/>
      <c r="D24" s="4"/>
      <c r="E24" s="4"/>
      <c r="F24" s="4"/>
      <c r="G24" s="277">
        <v>0</v>
      </c>
      <c r="H24" s="147">
        <v>2</v>
      </c>
      <c r="I24" s="277">
        <v>2</v>
      </c>
      <c r="J24" s="147">
        <v>2</v>
      </c>
      <c r="K24" s="277">
        <v>2</v>
      </c>
      <c r="L24" s="147">
        <v>2</v>
      </c>
      <c r="M24" s="277">
        <v>2</v>
      </c>
      <c r="N24" s="51"/>
      <c r="O24" s="264">
        <v>0</v>
      </c>
      <c r="P24" s="264">
        <v>0</v>
      </c>
      <c r="Q24" s="264">
        <v>0</v>
      </c>
      <c r="R24" s="242">
        <v>0</v>
      </c>
      <c r="S24" s="242">
        <v>0</v>
      </c>
      <c r="T24" s="242">
        <v>0</v>
      </c>
      <c r="U24" s="242">
        <v>0</v>
      </c>
      <c r="V24" s="70">
        <f t="shared" ref="V24:V26" si="7">SUM(O24:U24)</f>
        <v>0</v>
      </c>
      <c r="X24" t="s">
        <v>42</v>
      </c>
      <c r="Y24" s="4"/>
      <c r="Z24" s="4"/>
      <c r="AA24" s="121">
        <f t="shared" si="3"/>
        <v>0</v>
      </c>
      <c r="AB24" s="121">
        <f t="shared" si="0"/>
        <v>2</v>
      </c>
      <c r="AC24" s="121">
        <f t="shared" si="0"/>
        <v>2</v>
      </c>
      <c r="AD24" s="121">
        <f t="shared" si="0"/>
        <v>2</v>
      </c>
      <c r="AE24" s="121">
        <f t="shared" si="0"/>
        <v>2</v>
      </c>
      <c r="AF24" s="121">
        <f t="shared" si="0"/>
        <v>2</v>
      </c>
      <c r="AG24" s="121">
        <f t="shared" si="0"/>
        <v>2</v>
      </c>
      <c r="AH24" s="51">
        <f t="shared" si="0"/>
        <v>0</v>
      </c>
      <c r="AI24" s="264">
        <f t="shared" si="4"/>
        <v>0</v>
      </c>
      <c r="AJ24" s="264">
        <f t="shared" si="1"/>
        <v>0</v>
      </c>
      <c r="AK24" s="264">
        <f t="shared" si="1"/>
        <v>0</v>
      </c>
      <c r="AL24" s="264">
        <f t="shared" si="1"/>
        <v>0</v>
      </c>
      <c r="AM24" s="264">
        <f t="shared" si="1"/>
        <v>0</v>
      </c>
      <c r="AN24" s="264">
        <f t="shared" si="1"/>
        <v>0</v>
      </c>
      <c r="AO24" s="264">
        <f t="shared" si="1"/>
        <v>0</v>
      </c>
      <c r="AP24" s="70">
        <f t="shared" ref="AP24:AP26" si="8">SUM(AI24:AO24)</f>
        <v>0</v>
      </c>
      <c r="AQ24" s="119"/>
    </row>
    <row r="25" spans="1:45" x14ac:dyDescent="0.25">
      <c r="A25" t="s">
        <v>46</v>
      </c>
      <c r="B25" s="16" t="s">
        <v>44</v>
      </c>
      <c r="C25" s="4"/>
      <c r="D25" s="4"/>
      <c r="E25" s="4"/>
      <c r="F25" s="4"/>
      <c r="G25" s="277">
        <v>0</v>
      </c>
      <c r="H25" s="147">
        <v>2</v>
      </c>
      <c r="I25" s="277">
        <v>2</v>
      </c>
      <c r="J25" s="147">
        <v>2</v>
      </c>
      <c r="K25" s="277">
        <v>2</v>
      </c>
      <c r="L25" s="147">
        <v>2</v>
      </c>
      <c r="M25" s="277">
        <v>2</v>
      </c>
      <c r="N25" s="51"/>
      <c r="O25" s="264">
        <v>0</v>
      </c>
      <c r="P25" s="264">
        <v>0</v>
      </c>
      <c r="Q25" s="264">
        <v>0</v>
      </c>
      <c r="R25" s="242">
        <v>0</v>
      </c>
      <c r="S25" s="242">
        <v>0</v>
      </c>
      <c r="T25" s="242">
        <v>0</v>
      </c>
      <c r="U25" s="242">
        <v>0</v>
      </c>
      <c r="V25" s="70">
        <f t="shared" si="7"/>
        <v>0</v>
      </c>
      <c r="X25" t="s">
        <v>46</v>
      </c>
      <c r="Y25" s="4"/>
      <c r="Z25" s="4"/>
      <c r="AA25" s="121">
        <f t="shared" si="3"/>
        <v>0</v>
      </c>
      <c r="AB25" s="121">
        <f t="shared" si="0"/>
        <v>2</v>
      </c>
      <c r="AC25" s="121">
        <f t="shared" si="0"/>
        <v>2</v>
      </c>
      <c r="AD25" s="121">
        <f t="shared" si="0"/>
        <v>2</v>
      </c>
      <c r="AE25" s="121">
        <f t="shared" si="0"/>
        <v>2</v>
      </c>
      <c r="AF25" s="121">
        <f t="shared" si="0"/>
        <v>2</v>
      </c>
      <c r="AG25" s="121">
        <f t="shared" si="0"/>
        <v>2</v>
      </c>
      <c r="AH25" s="51">
        <f t="shared" si="0"/>
        <v>0</v>
      </c>
      <c r="AI25" s="264">
        <f t="shared" si="4"/>
        <v>0</v>
      </c>
      <c r="AJ25" s="264">
        <f t="shared" si="1"/>
        <v>0</v>
      </c>
      <c r="AK25" s="264">
        <f t="shared" si="1"/>
        <v>0</v>
      </c>
      <c r="AL25" s="264">
        <f t="shared" si="1"/>
        <v>0</v>
      </c>
      <c r="AM25" s="264">
        <f t="shared" si="1"/>
        <v>0</v>
      </c>
      <c r="AN25" s="264">
        <f t="shared" si="1"/>
        <v>0</v>
      </c>
      <c r="AO25" s="264">
        <f t="shared" si="1"/>
        <v>0</v>
      </c>
      <c r="AP25" s="70">
        <f t="shared" si="8"/>
        <v>0</v>
      </c>
      <c r="AQ25" s="119"/>
    </row>
    <row r="26" spans="1:45" x14ac:dyDescent="0.25">
      <c r="A26" t="s">
        <v>383</v>
      </c>
      <c r="B26" s="16" t="s">
        <v>44</v>
      </c>
      <c r="C26" s="4"/>
      <c r="D26" s="4"/>
      <c r="E26" s="4"/>
      <c r="F26" s="4"/>
      <c r="G26" s="277">
        <v>0</v>
      </c>
      <c r="H26" s="147">
        <v>2</v>
      </c>
      <c r="I26" s="277">
        <v>2</v>
      </c>
      <c r="J26" s="147">
        <v>2</v>
      </c>
      <c r="K26" s="277">
        <v>2</v>
      </c>
      <c r="L26" s="147">
        <v>2</v>
      </c>
      <c r="M26" s="277">
        <v>2</v>
      </c>
      <c r="N26" s="51"/>
      <c r="O26" s="264">
        <v>0</v>
      </c>
      <c r="P26" s="264">
        <v>0</v>
      </c>
      <c r="Q26" s="264">
        <v>0</v>
      </c>
      <c r="R26" s="242">
        <v>0</v>
      </c>
      <c r="S26" s="242">
        <v>0</v>
      </c>
      <c r="T26" s="242">
        <v>0</v>
      </c>
      <c r="U26" s="242">
        <v>0</v>
      </c>
      <c r="V26" s="70">
        <f t="shared" si="7"/>
        <v>0</v>
      </c>
      <c r="X26" t="s">
        <v>383</v>
      </c>
      <c r="Y26" s="4"/>
      <c r="Z26" s="4"/>
      <c r="AA26" s="121">
        <f t="shared" si="3"/>
        <v>0</v>
      </c>
      <c r="AB26" s="121">
        <f t="shared" si="0"/>
        <v>2</v>
      </c>
      <c r="AC26" s="121">
        <f t="shared" si="0"/>
        <v>2</v>
      </c>
      <c r="AD26" s="121">
        <f t="shared" si="0"/>
        <v>2</v>
      </c>
      <c r="AE26" s="121">
        <f t="shared" si="0"/>
        <v>2</v>
      </c>
      <c r="AF26" s="121">
        <f t="shared" si="0"/>
        <v>2</v>
      </c>
      <c r="AG26" s="121">
        <f t="shared" si="0"/>
        <v>2</v>
      </c>
      <c r="AH26" s="51">
        <f t="shared" si="0"/>
        <v>0</v>
      </c>
      <c r="AI26" s="264">
        <f t="shared" si="4"/>
        <v>0</v>
      </c>
      <c r="AJ26" s="264">
        <f t="shared" si="1"/>
        <v>0</v>
      </c>
      <c r="AK26" s="264">
        <f t="shared" si="1"/>
        <v>0</v>
      </c>
      <c r="AL26" s="264">
        <f t="shared" si="1"/>
        <v>0</v>
      </c>
      <c r="AM26" s="264">
        <f t="shared" si="1"/>
        <v>0</v>
      </c>
      <c r="AN26" s="264">
        <f t="shared" si="1"/>
        <v>0</v>
      </c>
      <c r="AO26" s="264">
        <f t="shared" si="1"/>
        <v>0</v>
      </c>
      <c r="AP26" s="70">
        <f t="shared" si="8"/>
        <v>0</v>
      </c>
      <c r="AQ26" s="119"/>
    </row>
    <row r="27" spans="1:45" x14ac:dyDescent="0.25">
      <c r="N27" s="243">
        <f>SUM(N29:N43)</f>
        <v>74210.815999999992</v>
      </c>
      <c r="AH27" s="243">
        <f>SUM(AH29:AH43)</f>
        <v>125777.25600000001</v>
      </c>
      <c r="AQ27" s="119"/>
    </row>
    <row r="28" spans="1:45" x14ac:dyDescent="0.25">
      <c r="A28" s="11" t="s">
        <v>179</v>
      </c>
      <c r="B28" s="11" t="s">
        <v>2</v>
      </c>
      <c r="C28" s="11" t="s">
        <v>86</v>
      </c>
      <c r="D28" s="11" t="str">
        <f>D10</f>
        <v>Nombre</v>
      </c>
      <c r="E28" s="11" t="str">
        <f t="shared" ref="E28:F28" si="9">E10</f>
        <v>Año</v>
      </c>
      <c r="F28" s="11" t="str">
        <f t="shared" si="9"/>
        <v>Dia</v>
      </c>
      <c r="G28" s="11" t="s">
        <v>15</v>
      </c>
      <c r="H28" s="11" t="s">
        <v>16</v>
      </c>
      <c r="I28" s="11" t="s">
        <v>17</v>
      </c>
      <c r="J28" s="11" t="s">
        <v>18</v>
      </c>
      <c r="K28" s="11" t="s">
        <v>19</v>
      </c>
      <c r="L28" s="11" t="s">
        <v>20</v>
      </c>
      <c r="M28" s="11" t="s">
        <v>6</v>
      </c>
      <c r="N28" s="11" t="s">
        <v>69</v>
      </c>
      <c r="O28" s="11" t="s">
        <v>372</v>
      </c>
      <c r="P28" s="11" t="s">
        <v>373</v>
      </c>
      <c r="Q28" s="11" t="s">
        <v>374</v>
      </c>
      <c r="R28" s="11" t="s">
        <v>375</v>
      </c>
      <c r="S28" s="11" t="s">
        <v>376</v>
      </c>
      <c r="T28" s="11" t="s">
        <v>377</v>
      </c>
      <c r="U28" s="11" t="s">
        <v>378</v>
      </c>
      <c r="V28" s="11" t="s">
        <v>379</v>
      </c>
      <c r="X28" s="11" t="s">
        <v>179</v>
      </c>
      <c r="Y28" s="11" t="str">
        <f>Y10</f>
        <v>Año</v>
      </c>
      <c r="Z28" s="11" t="str">
        <f>Z10</f>
        <v>Dia</v>
      </c>
      <c r="AA28" s="11" t="s">
        <v>15</v>
      </c>
      <c r="AB28" s="11" t="s">
        <v>16</v>
      </c>
      <c r="AC28" s="11" t="s">
        <v>17</v>
      </c>
      <c r="AD28" s="11" t="s">
        <v>18</v>
      </c>
      <c r="AE28" s="11" t="s">
        <v>19</v>
      </c>
      <c r="AF28" s="11" t="s">
        <v>20</v>
      </c>
      <c r="AG28" s="11" t="s">
        <v>6</v>
      </c>
      <c r="AH28" s="11" t="s">
        <v>69</v>
      </c>
      <c r="AI28" s="11" t="s">
        <v>372</v>
      </c>
      <c r="AJ28" s="11" t="s">
        <v>373</v>
      </c>
      <c r="AK28" s="11" t="s">
        <v>374</v>
      </c>
      <c r="AL28" s="11" t="s">
        <v>375</v>
      </c>
      <c r="AM28" s="11" t="s">
        <v>376</v>
      </c>
      <c r="AN28" s="11" t="s">
        <v>377</v>
      </c>
      <c r="AO28" s="11" t="s">
        <v>378</v>
      </c>
      <c r="AP28" s="11" t="s">
        <v>379</v>
      </c>
      <c r="AQ28" s="119"/>
    </row>
    <row r="29" spans="1:45" x14ac:dyDescent="0.25">
      <c r="A29" t="s">
        <v>29</v>
      </c>
      <c r="B29" s="16" t="str">
        <f>B11</f>
        <v>POR</v>
      </c>
      <c r="C29" s="20"/>
      <c r="D29" s="20" t="s">
        <v>74</v>
      </c>
      <c r="E29" s="20">
        <v>20</v>
      </c>
      <c r="F29" s="20">
        <v>50</v>
      </c>
      <c r="G29" s="121">
        <v>17</v>
      </c>
      <c r="H29" s="121">
        <f t="shared" ref="H29:O44" si="10">AB11</f>
        <v>2</v>
      </c>
      <c r="I29" s="121">
        <f t="shared" si="10"/>
        <v>0</v>
      </c>
      <c r="J29" s="121">
        <f t="shared" si="10"/>
        <v>0</v>
      </c>
      <c r="K29" s="121">
        <f t="shared" si="10"/>
        <v>0</v>
      </c>
      <c r="L29" s="121">
        <f t="shared" si="10"/>
        <v>0</v>
      </c>
      <c r="M29" s="121">
        <f t="shared" si="10"/>
        <v>2</v>
      </c>
      <c r="N29" s="51">
        <f>(31720)*1.008</f>
        <v>31973.760000000002</v>
      </c>
      <c r="O29" s="264">
        <v>62</v>
      </c>
      <c r="P29" s="264">
        <f t="shared" ref="P29:U44" si="11">AJ11</f>
        <v>0</v>
      </c>
      <c r="Q29" s="264">
        <f t="shared" si="11"/>
        <v>0</v>
      </c>
      <c r="R29" s="264">
        <f t="shared" si="11"/>
        <v>0</v>
      </c>
      <c r="S29" s="264">
        <f t="shared" si="11"/>
        <v>0</v>
      </c>
      <c r="T29" s="264">
        <f t="shared" si="11"/>
        <v>0</v>
      </c>
      <c r="U29" s="264">
        <f t="shared" si="11"/>
        <v>0</v>
      </c>
      <c r="V29" s="70">
        <f>SUM(O29:U29)</f>
        <v>62</v>
      </c>
      <c r="X29" t="s">
        <v>29</v>
      </c>
      <c r="Y29" s="20">
        <v>22</v>
      </c>
      <c r="Z29" s="20">
        <f>F29+(AR33*7)-112-112</f>
        <v>36</v>
      </c>
      <c r="AA29" s="121">
        <f>G29</f>
        <v>17</v>
      </c>
      <c r="AB29" s="121">
        <v>9</v>
      </c>
      <c r="AC29" s="121">
        <f t="shared" ref="AC29:AG44" si="12">I29</f>
        <v>0</v>
      </c>
      <c r="AD29" s="121">
        <f t="shared" si="12"/>
        <v>0</v>
      </c>
      <c r="AE29" s="121">
        <f t="shared" si="12"/>
        <v>0</v>
      </c>
      <c r="AF29" s="121">
        <f t="shared" si="12"/>
        <v>0</v>
      </c>
      <c r="AG29" s="121">
        <f t="shared" si="12"/>
        <v>2</v>
      </c>
      <c r="AH29" s="51">
        <f>(31720+655)*1.008</f>
        <v>32634</v>
      </c>
      <c r="AI29" s="264">
        <f>O29</f>
        <v>62</v>
      </c>
      <c r="AJ29" s="264">
        <f>P29+AR33</f>
        <v>30</v>
      </c>
      <c r="AK29" s="264">
        <f t="shared" ref="AK29:AO44" si="13">Q29</f>
        <v>0</v>
      </c>
      <c r="AL29" s="264">
        <f t="shared" si="13"/>
        <v>0</v>
      </c>
      <c r="AM29" s="264">
        <f t="shared" si="13"/>
        <v>0</v>
      </c>
      <c r="AN29" s="264">
        <f t="shared" si="13"/>
        <v>0</v>
      </c>
      <c r="AO29" s="264">
        <f t="shared" si="13"/>
        <v>0</v>
      </c>
      <c r="AP29" s="70">
        <f>SUM(AI29:AO29)</f>
        <v>92</v>
      </c>
      <c r="AQ29" s="119"/>
    </row>
    <row r="30" spans="1:45" x14ac:dyDescent="0.25">
      <c r="A30" t="s">
        <v>32</v>
      </c>
      <c r="B30" s="16" t="str">
        <f t="shared" ref="B30:D44" si="14">B12</f>
        <v>DEF</v>
      </c>
      <c r="C30" s="20" t="str">
        <f t="shared" si="14"/>
        <v>TEC</v>
      </c>
      <c r="D30" s="20" t="str">
        <f t="shared" si="14"/>
        <v>J. G. de Minaya</v>
      </c>
      <c r="E30" s="20">
        <f t="shared" ref="E30:G35" si="15">Y12</f>
        <v>20</v>
      </c>
      <c r="F30" s="20">
        <f t="shared" si="15"/>
        <v>46.5</v>
      </c>
      <c r="G30" s="121">
        <f t="shared" si="15"/>
        <v>0</v>
      </c>
      <c r="H30" s="121">
        <f t="shared" si="10"/>
        <v>6</v>
      </c>
      <c r="I30" s="121">
        <f t="shared" si="10"/>
        <v>5</v>
      </c>
      <c r="J30" s="121">
        <f t="shared" si="10"/>
        <v>12.285714285714286</v>
      </c>
      <c r="K30" s="121">
        <f t="shared" si="10"/>
        <v>5</v>
      </c>
      <c r="L30" s="121">
        <f t="shared" si="10"/>
        <v>8</v>
      </c>
      <c r="M30" s="121">
        <f t="shared" si="10"/>
        <v>0</v>
      </c>
      <c r="N30" s="51">
        <f t="shared" si="10"/>
        <v>5840</v>
      </c>
      <c r="O30" s="264">
        <f t="shared" si="10"/>
        <v>0</v>
      </c>
      <c r="P30" s="264">
        <f t="shared" si="11"/>
        <v>14</v>
      </c>
      <c r="Q30" s="264">
        <f t="shared" si="11"/>
        <v>9</v>
      </c>
      <c r="R30" s="264">
        <f t="shared" si="11"/>
        <v>35</v>
      </c>
      <c r="S30" s="264">
        <f t="shared" si="11"/>
        <v>7</v>
      </c>
      <c r="T30" s="264">
        <f t="shared" si="11"/>
        <v>21</v>
      </c>
      <c r="U30" s="264">
        <v>-2</v>
      </c>
      <c r="V30" s="70">
        <f t="shared" ref="V30" si="16">SUM(O30:U30)</f>
        <v>84</v>
      </c>
      <c r="X30" t="s">
        <v>32</v>
      </c>
      <c r="Y30" s="20">
        <v>22</v>
      </c>
      <c r="Z30" s="20">
        <f>F30+(AR33*7)-112-112</f>
        <v>32.5</v>
      </c>
      <c r="AA30" s="121">
        <f t="shared" ref="AA30:AB44" si="17">G30</f>
        <v>0</v>
      </c>
      <c r="AB30" s="121">
        <f>10+7/9</f>
        <v>10.777777777777779</v>
      </c>
      <c r="AC30" s="121">
        <f t="shared" si="12"/>
        <v>5</v>
      </c>
      <c r="AD30" s="121">
        <f t="shared" si="12"/>
        <v>12.285714285714286</v>
      </c>
      <c r="AE30" s="121">
        <f t="shared" si="12"/>
        <v>5</v>
      </c>
      <c r="AF30" s="121">
        <f t="shared" si="12"/>
        <v>8</v>
      </c>
      <c r="AG30" s="121">
        <f t="shared" si="12"/>
        <v>0</v>
      </c>
      <c r="AH30" s="51">
        <f>(5000+1800+135+135+405)*1</f>
        <v>7475</v>
      </c>
      <c r="AI30" s="264">
        <f t="shared" ref="AI30:AJ44" si="18">O30</f>
        <v>0</v>
      </c>
      <c r="AJ30" s="264">
        <f>P30+AR33</f>
        <v>44</v>
      </c>
      <c r="AK30" s="264">
        <f t="shared" si="13"/>
        <v>9</v>
      </c>
      <c r="AL30" s="264">
        <f t="shared" si="13"/>
        <v>35</v>
      </c>
      <c r="AM30" s="264">
        <f t="shared" si="13"/>
        <v>7</v>
      </c>
      <c r="AN30" s="264">
        <f t="shared" si="13"/>
        <v>21</v>
      </c>
      <c r="AO30" s="264">
        <f t="shared" si="13"/>
        <v>-2</v>
      </c>
      <c r="AP30" s="70">
        <f t="shared" ref="AP30" si="19">SUM(AI30:AO30)</f>
        <v>114</v>
      </c>
      <c r="AQ30" s="119"/>
    </row>
    <row r="31" spans="1:45" x14ac:dyDescent="0.25">
      <c r="A31" t="s">
        <v>33</v>
      </c>
      <c r="B31" s="16" t="str">
        <f t="shared" si="14"/>
        <v>DEF</v>
      </c>
      <c r="C31" s="20" t="s">
        <v>45</v>
      </c>
      <c r="D31" s="20" t="s">
        <v>385</v>
      </c>
      <c r="E31" s="20">
        <v>20</v>
      </c>
      <c r="F31" s="20">
        <v>50</v>
      </c>
      <c r="G31" s="121">
        <f t="shared" si="15"/>
        <v>0</v>
      </c>
      <c r="H31" s="121">
        <v>10</v>
      </c>
      <c r="I31" s="121">
        <v>4</v>
      </c>
      <c r="J31" s="121">
        <v>4</v>
      </c>
      <c r="K31" s="121">
        <v>10</v>
      </c>
      <c r="L31" s="121">
        <f t="shared" si="10"/>
        <v>2</v>
      </c>
      <c r="M31" s="121">
        <f t="shared" si="10"/>
        <v>2</v>
      </c>
      <c r="N31" s="51">
        <f>(2330+125+125+785)*1.008</f>
        <v>3391.92</v>
      </c>
      <c r="O31" s="264">
        <f t="shared" si="10"/>
        <v>0</v>
      </c>
      <c r="P31" s="264">
        <v>37</v>
      </c>
      <c r="Q31" s="264">
        <v>6</v>
      </c>
      <c r="R31" s="264">
        <v>3.5</v>
      </c>
      <c r="S31" s="264">
        <v>29</v>
      </c>
      <c r="T31" s="264">
        <f t="shared" si="11"/>
        <v>0</v>
      </c>
      <c r="U31" s="264">
        <f t="shared" si="11"/>
        <v>0</v>
      </c>
      <c r="V31" s="70">
        <f>SUM(O31:U31)</f>
        <v>75.5</v>
      </c>
      <c r="X31" t="s">
        <v>33</v>
      </c>
      <c r="Y31" s="20">
        <v>22</v>
      </c>
      <c r="Z31" s="20">
        <f>F31+(AR33*7)-112-112</f>
        <v>36</v>
      </c>
      <c r="AA31" s="121">
        <f t="shared" si="17"/>
        <v>0</v>
      </c>
      <c r="AB31" s="121">
        <v>13</v>
      </c>
      <c r="AC31" s="121">
        <f t="shared" si="12"/>
        <v>4</v>
      </c>
      <c r="AD31" s="121">
        <f t="shared" si="12"/>
        <v>4</v>
      </c>
      <c r="AE31" s="121">
        <f t="shared" si="12"/>
        <v>10</v>
      </c>
      <c r="AF31" s="121">
        <f t="shared" si="12"/>
        <v>2</v>
      </c>
      <c r="AG31" s="121">
        <f t="shared" si="12"/>
        <v>2</v>
      </c>
      <c r="AH31" s="51">
        <f>(11470+125+125+785)*1.008</f>
        <v>12605.04</v>
      </c>
      <c r="AI31" s="264">
        <f t="shared" si="18"/>
        <v>0</v>
      </c>
      <c r="AJ31" s="264">
        <f>P31+AR33</f>
        <v>67</v>
      </c>
      <c r="AK31" s="264">
        <f t="shared" si="13"/>
        <v>6</v>
      </c>
      <c r="AL31" s="264">
        <f t="shared" si="13"/>
        <v>3.5</v>
      </c>
      <c r="AM31" s="264">
        <f t="shared" si="13"/>
        <v>29</v>
      </c>
      <c r="AN31" s="264">
        <f t="shared" si="13"/>
        <v>0</v>
      </c>
      <c r="AO31" s="264">
        <f t="shared" si="13"/>
        <v>0</v>
      </c>
      <c r="AP31" s="70">
        <f>SUM(AI31:AO31)</f>
        <v>105.5</v>
      </c>
      <c r="AQ31" s="119"/>
    </row>
    <row r="32" spans="1:45" x14ac:dyDescent="0.25">
      <c r="A32" t="s">
        <v>39</v>
      </c>
      <c r="B32" s="16" t="str">
        <f t="shared" si="14"/>
        <v>DEF</v>
      </c>
      <c r="C32" s="20" t="s">
        <v>187</v>
      </c>
      <c r="D32" s="20" t="s">
        <v>385</v>
      </c>
      <c r="E32" s="20">
        <v>20</v>
      </c>
      <c r="F32" s="20">
        <v>50</v>
      </c>
      <c r="G32" s="121">
        <f t="shared" si="15"/>
        <v>0</v>
      </c>
      <c r="H32" s="121">
        <v>10</v>
      </c>
      <c r="I32" s="121">
        <v>4</v>
      </c>
      <c r="J32" s="121">
        <v>4</v>
      </c>
      <c r="K32" s="121">
        <v>10</v>
      </c>
      <c r="L32" s="121">
        <f t="shared" si="10"/>
        <v>2</v>
      </c>
      <c r="M32" s="121">
        <f t="shared" si="10"/>
        <v>2</v>
      </c>
      <c r="N32" s="51">
        <f>(2330+125+125+785)*1.008</f>
        <v>3391.92</v>
      </c>
      <c r="O32" s="264">
        <f t="shared" si="10"/>
        <v>0</v>
      </c>
      <c r="P32" s="264">
        <v>37</v>
      </c>
      <c r="Q32" s="264">
        <v>6</v>
      </c>
      <c r="R32" s="264">
        <v>3.5</v>
      </c>
      <c r="S32" s="264">
        <v>29</v>
      </c>
      <c r="T32" s="264">
        <f t="shared" si="11"/>
        <v>0</v>
      </c>
      <c r="U32" s="264">
        <f t="shared" si="11"/>
        <v>0</v>
      </c>
      <c r="V32" s="70">
        <f>SUM(O32:U32)</f>
        <v>75.5</v>
      </c>
      <c r="X32" t="s">
        <v>39</v>
      </c>
      <c r="Y32" s="20">
        <v>22</v>
      </c>
      <c r="Z32" s="20">
        <f>F32+(AR33*7)-112-112</f>
        <v>36</v>
      </c>
      <c r="AA32" s="121">
        <f t="shared" si="17"/>
        <v>0</v>
      </c>
      <c r="AB32" s="121">
        <v>13</v>
      </c>
      <c r="AC32" s="121">
        <f t="shared" si="12"/>
        <v>4</v>
      </c>
      <c r="AD32" s="121">
        <f t="shared" si="12"/>
        <v>4</v>
      </c>
      <c r="AE32" s="121">
        <f t="shared" si="12"/>
        <v>10</v>
      </c>
      <c r="AF32" s="121">
        <f t="shared" si="12"/>
        <v>2</v>
      </c>
      <c r="AG32" s="121">
        <f t="shared" si="12"/>
        <v>2</v>
      </c>
      <c r="AH32" s="51">
        <f>(11470+125+125+785)*1.008</f>
        <v>12605.04</v>
      </c>
      <c r="AI32" s="264">
        <f t="shared" si="18"/>
        <v>0</v>
      </c>
      <c r="AJ32" s="264">
        <f>P32+AR33</f>
        <v>67</v>
      </c>
      <c r="AK32" s="264">
        <f t="shared" si="13"/>
        <v>6</v>
      </c>
      <c r="AL32" s="264">
        <f t="shared" si="13"/>
        <v>3.5</v>
      </c>
      <c r="AM32" s="264">
        <f t="shared" si="13"/>
        <v>29</v>
      </c>
      <c r="AN32" s="264">
        <f t="shared" si="13"/>
        <v>0</v>
      </c>
      <c r="AO32" s="264">
        <f t="shared" si="13"/>
        <v>0</v>
      </c>
      <c r="AP32" s="70">
        <f>SUM(AI32:AO32)</f>
        <v>105.5</v>
      </c>
      <c r="AQ32" s="119"/>
      <c r="AR32" t="s">
        <v>434</v>
      </c>
      <c r="AS32" t="s">
        <v>435</v>
      </c>
    </row>
    <row r="33" spans="1:45" x14ac:dyDescent="0.25">
      <c r="A33" t="s">
        <v>41</v>
      </c>
      <c r="B33" s="16" t="str">
        <f t="shared" si="14"/>
        <v>DEF</v>
      </c>
      <c r="C33" s="20" t="s">
        <v>0</v>
      </c>
      <c r="D33" s="20" t="s">
        <v>385</v>
      </c>
      <c r="E33" s="20">
        <v>20</v>
      </c>
      <c r="F33" s="20">
        <v>50</v>
      </c>
      <c r="G33" s="121">
        <f t="shared" si="15"/>
        <v>0</v>
      </c>
      <c r="H33" s="121">
        <v>10</v>
      </c>
      <c r="I33" s="121">
        <v>4</v>
      </c>
      <c r="J33" s="121">
        <v>4</v>
      </c>
      <c r="K33" s="121">
        <v>10</v>
      </c>
      <c r="L33" s="121">
        <f t="shared" si="10"/>
        <v>2</v>
      </c>
      <c r="M33" s="121">
        <f t="shared" si="10"/>
        <v>2</v>
      </c>
      <c r="N33" s="51">
        <f>(2330+125+125+785)*1.008</f>
        <v>3391.92</v>
      </c>
      <c r="O33" s="264">
        <f t="shared" si="10"/>
        <v>0</v>
      </c>
      <c r="P33" s="264">
        <v>37</v>
      </c>
      <c r="Q33" s="264">
        <v>6</v>
      </c>
      <c r="R33" s="264">
        <v>3.5</v>
      </c>
      <c r="S33" s="264">
        <v>29</v>
      </c>
      <c r="T33" s="264">
        <f t="shared" si="11"/>
        <v>0</v>
      </c>
      <c r="U33" s="264">
        <f t="shared" si="11"/>
        <v>0</v>
      </c>
      <c r="V33" s="70">
        <f t="shared" ref="V33:V39" si="20">SUM(O33:U33)</f>
        <v>75.5</v>
      </c>
      <c r="X33" t="s">
        <v>41</v>
      </c>
      <c r="Y33" s="20">
        <v>22</v>
      </c>
      <c r="Z33" s="20">
        <f>F33+(AR33*7)-112-112</f>
        <v>36</v>
      </c>
      <c r="AA33" s="121">
        <f t="shared" si="17"/>
        <v>0</v>
      </c>
      <c r="AB33" s="121">
        <v>13</v>
      </c>
      <c r="AC33" s="121">
        <f t="shared" si="12"/>
        <v>4</v>
      </c>
      <c r="AD33" s="121">
        <f t="shared" si="12"/>
        <v>4</v>
      </c>
      <c r="AE33" s="121">
        <f t="shared" si="12"/>
        <v>10</v>
      </c>
      <c r="AF33" s="121">
        <f t="shared" si="12"/>
        <v>2</v>
      </c>
      <c r="AG33" s="121">
        <f t="shared" si="12"/>
        <v>2</v>
      </c>
      <c r="AH33" s="51">
        <f>(11470+125+125+785)*1.008</f>
        <v>12605.04</v>
      </c>
      <c r="AI33" s="264">
        <f t="shared" si="18"/>
        <v>0</v>
      </c>
      <c r="AJ33" s="264">
        <f>P33+AR33</f>
        <v>67</v>
      </c>
      <c r="AK33" s="264">
        <f t="shared" si="13"/>
        <v>6</v>
      </c>
      <c r="AL33" s="264">
        <f t="shared" si="13"/>
        <v>3.5</v>
      </c>
      <c r="AM33" s="264">
        <f t="shared" si="13"/>
        <v>29</v>
      </c>
      <c r="AN33" s="264">
        <f t="shared" si="13"/>
        <v>0</v>
      </c>
      <c r="AO33" s="264">
        <f t="shared" si="13"/>
        <v>0</v>
      </c>
      <c r="AP33" s="70">
        <f t="shared" ref="AP33:AP39" si="21">SUM(AI33:AO33)</f>
        <v>105.5</v>
      </c>
      <c r="AQ33" s="119" t="s">
        <v>30</v>
      </c>
      <c r="AR33">
        <f>67-37</f>
        <v>30</v>
      </c>
      <c r="AS33" s="40">
        <f>AR33/16</f>
        <v>1.875</v>
      </c>
    </row>
    <row r="34" spans="1:45" x14ac:dyDescent="0.25">
      <c r="A34" t="s">
        <v>38</v>
      </c>
      <c r="B34" s="16" t="str">
        <f t="shared" si="14"/>
        <v>DEF</v>
      </c>
      <c r="C34" s="20" t="s">
        <v>0</v>
      </c>
      <c r="D34" s="20" t="s">
        <v>385</v>
      </c>
      <c r="E34" s="20">
        <v>20</v>
      </c>
      <c r="F34" s="20">
        <v>50</v>
      </c>
      <c r="G34" s="121">
        <f t="shared" si="15"/>
        <v>0</v>
      </c>
      <c r="H34" s="121">
        <v>10</v>
      </c>
      <c r="I34" s="121">
        <v>4</v>
      </c>
      <c r="J34" s="121">
        <v>4</v>
      </c>
      <c r="K34" s="121">
        <v>10</v>
      </c>
      <c r="L34" s="121">
        <f t="shared" si="10"/>
        <v>2</v>
      </c>
      <c r="M34" s="121">
        <f t="shared" si="10"/>
        <v>2</v>
      </c>
      <c r="N34" s="51">
        <f>(2330+125+125+785)*1.008</f>
        <v>3391.92</v>
      </c>
      <c r="O34" s="264">
        <f t="shared" si="10"/>
        <v>0</v>
      </c>
      <c r="P34" s="264">
        <v>37</v>
      </c>
      <c r="Q34" s="264">
        <v>6</v>
      </c>
      <c r="R34" s="264">
        <v>3.5</v>
      </c>
      <c r="S34" s="264">
        <v>29</v>
      </c>
      <c r="T34" s="264">
        <f t="shared" si="11"/>
        <v>0</v>
      </c>
      <c r="U34" s="264">
        <f t="shared" si="11"/>
        <v>0</v>
      </c>
      <c r="V34" s="70">
        <f t="shared" si="20"/>
        <v>75.5</v>
      </c>
      <c r="X34" t="s">
        <v>38</v>
      </c>
      <c r="Y34" s="20">
        <v>22</v>
      </c>
      <c r="Z34" s="20">
        <f>F34+(AR33*7)-112-112</f>
        <v>36</v>
      </c>
      <c r="AA34" s="121">
        <f t="shared" si="17"/>
        <v>0</v>
      </c>
      <c r="AB34" s="121">
        <v>13</v>
      </c>
      <c r="AC34" s="121">
        <f t="shared" si="12"/>
        <v>4</v>
      </c>
      <c r="AD34" s="121">
        <f t="shared" si="12"/>
        <v>4</v>
      </c>
      <c r="AE34" s="121">
        <f t="shared" si="12"/>
        <v>10</v>
      </c>
      <c r="AF34" s="121">
        <f t="shared" si="12"/>
        <v>2</v>
      </c>
      <c r="AG34" s="121">
        <f t="shared" si="12"/>
        <v>2</v>
      </c>
      <c r="AH34" s="51">
        <f>(11470+125+125+785)*1.008</f>
        <v>12605.04</v>
      </c>
      <c r="AI34" s="264">
        <f t="shared" si="18"/>
        <v>0</v>
      </c>
      <c r="AJ34" s="264">
        <f>P34+AR33</f>
        <v>67</v>
      </c>
      <c r="AK34" s="264">
        <f t="shared" si="13"/>
        <v>6</v>
      </c>
      <c r="AL34" s="264">
        <f t="shared" si="13"/>
        <v>3.5</v>
      </c>
      <c r="AM34" s="264">
        <f t="shared" si="13"/>
        <v>29</v>
      </c>
      <c r="AN34" s="264">
        <f t="shared" si="13"/>
        <v>0</v>
      </c>
      <c r="AO34" s="264">
        <f t="shared" si="13"/>
        <v>0</v>
      </c>
      <c r="AP34" s="70">
        <f t="shared" si="21"/>
        <v>105.5</v>
      </c>
      <c r="AQ34" s="119"/>
    </row>
    <row r="35" spans="1:45" x14ac:dyDescent="0.25">
      <c r="A35" t="s">
        <v>35</v>
      </c>
      <c r="B35" s="16" t="str">
        <f t="shared" si="14"/>
        <v>DEF</v>
      </c>
      <c r="C35" s="20" t="s">
        <v>0</v>
      </c>
      <c r="D35" s="20" t="s">
        <v>385</v>
      </c>
      <c r="E35" s="20">
        <v>20</v>
      </c>
      <c r="F35" s="20">
        <v>50</v>
      </c>
      <c r="G35" s="121">
        <f t="shared" si="15"/>
        <v>0</v>
      </c>
      <c r="H35" s="121">
        <v>10</v>
      </c>
      <c r="I35" s="121">
        <v>4</v>
      </c>
      <c r="J35" s="121">
        <v>4</v>
      </c>
      <c r="K35" s="121">
        <v>10</v>
      </c>
      <c r="L35" s="121">
        <f t="shared" si="10"/>
        <v>2</v>
      </c>
      <c r="M35" s="121">
        <f t="shared" si="10"/>
        <v>2</v>
      </c>
      <c r="N35" s="51">
        <f>(2330+125+125+785)*1.008</f>
        <v>3391.92</v>
      </c>
      <c r="O35" s="264">
        <f t="shared" si="10"/>
        <v>0</v>
      </c>
      <c r="P35" s="264">
        <v>37</v>
      </c>
      <c r="Q35" s="264">
        <v>6</v>
      </c>
      <c r="R35" s="264">
        <v>3.5</v>
      </c>
      <c r="S35" s="264">
        <v>29</v>
      </c>
      <c r="T35" s="264">
        <f t="shared" si="11"/>
        <v>0</v>
      </c>
      <c r="U35" s="264">
        <f t="shared" si="11"/>
        <v>0</v>
      </c>
      <c r="V35" s="70">
        <f t="shared" si="20"/>
        <v>75.5</v>
      </c>
      <c r="X35" t="s">
        <v>35</v>
      </c>
      <c r="Y35" s="20">
        <v>22</v>
      </c>
      <c r="Z35" s="20">
        <f>F35+(AR33*7)-112-112</f>
        <v>36</v>
      </c>
      <c r="AA35" s="121">
        <f t="shared" si="17"/>
        <v>0</v>
      </c>
      <c r="AB35" s="121">
        <v>13</v>
      </c>
      <c r="AC35" s="121">
        <f t="shared" si="12"/>
        <v>4</v>
      </c>
      <c r="AD35" s="121">
        <f t="shared" si="12"/>
        <v>4</v>
      </c>
      <c r="AE35" s="121">
        <f t="shared" si="12"/>
        <v>10</v>
      </c>
      <c r="AF35" s="121">
        <f t="shared" si="12"/>
        <v>2</v>
      </c>
      <c r="AG35" s="121">
        <f t="shared" si="12"/>
        <v>2</v>
      </c>
      <c r="AH35" s="51">
        <f>(11470+125+125+785)*1.008</f>
        <v>12605.04</v>
      </c>
      <c r="AI35" s="264">
        <f t="shared" si="18"/>
        <v>0</v>
      </c>
      <c r="AJ35" s="264">
        <f>P35+AR33</f>
        <v>67</v>
      </c>
      <c r="AK35" s="264">
        <f t="shared" si="13"/>
        <v>6</v>
      </c>
      <c r="AL35" s="264">
        <f t="shared" si="13"/>
        <v>3.5</v>
      </c>
      <c r="AM35" s="264">
        <f t="shared" si="13"/>
        <v>29</v>
      </c>
      <c r="AN35" s="264">
        <f t="shared" si="13"/>
        <v>0</v>
      </c>
      <c r="AO35" s="264">
        <f t="shared" si="13"/>
        <v>0</v>
      </c>
      <c r="AP35" s="70">
        <f t="shared" si="21"/>
        <v>105.5</v>
      </c>
      <c r="AQ35" s="119"/>
    </row>
    <row r="36" spans="1:45" x14ac:dyDescent="0.25">
      <c r="A36" t="s">
        <v>31</v>
      </c>
      <c r="B36" s="16" t="str">
        <f t="shared" si="14"/>
        <v>DEF</v>
      </c>
      <c r="C36" s="20"/>
      <c r="D36" s="20">
        <f t="shared" si="14"/>
        <v>0</v>
      </c>
      <c r="E36" s="20">
        <f t="shared" ref="E36:G44" si="22">Y18</f>
        <v>0</v>
      </c>
      <c r="F36" s="20">
        <f t="shared" si="22"/>
        <v>0</v>
      </c>
      <c r="G36" s="121">
        <f t="shared" si="22"/>
        <v>0</v>
      </c>
      <c r="H36" s="121">
        <f t="shared" si="10"/>
        <v>2</v>
      </c>
      <c r="I36" s="121">
        <f t="shared" si="10"/>
        <v>2</v>
      </c>
      <c r="J36" s="121">
        <f t="shared" si="10"/>
        <v>2</v>
      </c>
      <c r="K36" s="121">
        <f t="shared" si="10"/>
        <v>2</v>
      </c>
      <c r="L36" s="121">
        <f t="shared" si="10"/>
        <v>2</v>
      </c>
      <c r="M36" s="121">
        <f t="shared" si="10"/>
        <v>2</v>
      </c>
      <c r="N36" s="51">
        <f t="shared" si="10"/>
        <v>0</v>
      </c>
      <c r="O36" s="264">
        <f t="shared" si="10"/>
        <v>0</v>
      </c>
      <c r="P36" s="264">
        <f t="shared" si="11"/>
        <v>0</v>
      </c>
      <c r="Q36" s="264">
        <f t="shared" si="11"/>
        <v>0</v>
      </c>
      <c r="R36" s="264">
        <f t="shared" si="11"/>
        <v>0</v>
      </c>
      <c r="S36" s="264">
        <f t="shared" si="11"/>
        <v>0</v>
      </c>
      <c r="T36" s="264">
        <f t="shared" si="11"/>
        <v>0</v>
      </c>
      <c r="U36" s="264">
        <f t="shared" si="11"/>
        <v>0</v>
      </c>
      <c r="V36" s="70">
        <f t="shared" si="20"/>
        <v>0</v>
      </c>
      <c r="X36" t="s">
        <v>31</v>
      </c>
      <c r="Y36" s="20"/>
      <c r="Z36" s="20"/>
      <c r="AA36" s="121">
        <f t="shared" si="17"/>
        <v>0</v>
      </c>
      <c r="AB36" s="121">
        <f t="shared" si="17"/>
        <v>2</v>
      </c>
      <c r="AC36" s="121">
        <f t="shared" si="12"/>
        <v>2</v>
      </c>
      <c r="AD36" s="121">
        <f t="shared" si="12"/>
        <v>2</v>
      </c>
      <c r="AE36" s="121">
        <f t="shared" si="12"/>
        <v>2</v>
      </c>
      <c r="AF36" s="121">
        <f t="shared" si="12"/>
        <v>2</v>
      </c>
      <c r="AG36" s="121">
        <f t="shared" si="12"/>
        <v>2</v>
      </c>
      <c r="AH36" s="51"/>
      <c r="AI36" s="264">
        <f t="shared" si="18"/>
        <v>0</v>
      </c>
      <c r="AJ36" s="264">
        <f t="shared" si="18"/>
        <v>0</v>
      </c>
      <c r="AK36" s="264">
        <f t="shared" si="13"/>
        <v>0</v>
      </c>
      <c r="AL36" s="264">
        <f t="shared" si="13"/>
        <v>0</v>
      </c>
      <c r="AM36" s="264">
        <f t="shared" si="13"/>
        <v>0</v>
      </c>
      <c r="AN36" s="264">
        <f t="shared" si="13"/>
        <v>0</v>
      </c>
      <c r="AO36" s="264">
        <f t="shared" si="13"/>
        <v>0</v>
      </c>
      <c r="AP36" s="70">
        <f t="shared" si="21"/>
        <v>0</v>
      </c>
      <c r="AQ36" s="119"/>
    </row>
    <row r="37" spans="1:45" x14ac:dyDescent="0.25">
      <c r="A37" t="s">
        <v>43</v>
      </c>
      <c r="B37" s="16" t="str">
        <f t="shared" si="14"/>
        <v>INN</v>
      </c>
      <c r="C37" s="20"/>
      <c r="D37" s="20">
        <f t="shared" si="14"/>
        <v>0</v>
      </c>
      <c r="E37" s="20">
        <f t="shared" si="22"/>
        <v>0</v>
      </c>
      <c r="F37" s="20">
        <f t="shared" si="22"/>
        <v>0</v>
      </c>
      <c r="G37" s="121">
        <f t="shared" si="22"/>
        <v>0</v>
      </c>
      <c r="H37" s="121">
        <f t="shared" si="10"/>
        <v>2</v>
      </c>
      <c r="I37" s="121">
        <f t="shared" si="10"/>
        <v>2</v>
      </c>
      <c r="J37" s="121">
        <f t="shared" si="10"/>
        <v>2</v>
      </c>
      <c r="K37" s="121">
        <f t="shared" si="10"/>
        <v>2</v>
      </c>
      <c r="L37" s="121">
        <f t="shared" si="10"/>
        <v>2</v>
      </c>
      <c r="M37" s="121">
        <f t="shared" si="10"/>
        <v>2</v>
      </c>
      <c r="N37" s="51">
        <f t="shared" si="10"/>
        <v>0</v>
      </c>
      <c r="O37" s="264">
        <f t="shared" si="10"/>
        <v>0</v>
      </c>
      <c r="P37" s="264">
        <f t="shared" si="11"/>
        <v>0</v>
      </c>
      <c r="Q37" s="264">
        <f t="shared" si="11"/>
        <v>0</v>
      </c>
      <c r="R37" s="264">
        <f t="shared" si="11"/>
        <v>0</v>
      </c>
      <c r="S37" s="264">
        <f t="shared" si="11"/>
        <v>0</v>
      </c>
      <c r="T37" s="264">
        <f t="shared" si="11"/>
        <v>0</v>
      </c>
      <c r="U37" s="264">
        <f t="shared" si="11"/>
        <v>0</v>
      </c>
      <c r="V37" s="70">
        <f t="shared" si="20"/>
        <v>0</v>
      </c>
      <c r="X37" t="s">
        <v>43</v>
      </c>
      <c r="Y37" s="20"/>
      <c r="Z37" s="20"/>
      <c r="AA37" s="121">
        <f t="shared" si="17"/>
        <v>0</v>
      </c>
      <c r="AB37" s="121">
        <f t="shared" si="17"/>
        <v>2</v>
      </c>
      <c r="AC37" s="121">
        <f t="shared" si="12"/>
        <v>2</v>
      </c>
      <c r="AD37" s="121">
        <f t="shared" si="12"/>
        <v>2</v>
      </c>
      <c r="AE37" s="121">
        <f t="shared" si="12"/>
        <v>2</v>
      </c>
      <c r="AF37" s="121">
        <f t="shared" si="12"/>
        <v>2</v>
      </c>
      <c r="AG37" s="121">
        <f t="shared" si="12"/>
        <v>2</v>
      </c>
      <c r="AH37" s="51"/>
      <c r="AI37" s="264">
        <f t="shared" si="18"/>
        <v>0</v>
      </c>
      <c r="AJ37" s="264">
        <f t="shared" si="18"/>
        <v>0</v>
      </c>
      <c r="AK37" s="264">
        <f t="shared" si="13"/>
        <v>0</v>
      </c>
      <c r="AL37" s="264">
        <f t="shared" si="13"/>
        <v>0</v>
      </c>
      <c r="AM37" s="264">
        <f t="shared" si="13"/>
        <v>0</v>
      </c>
      <c r="AN37" s="264">
        <f t="shared" si="13"/>
        <v>0</v>
      </c>
      <c r="AO37" s="264">
        <f t="shared" si="13"/>
        <v>0</v>
      </c>
      <c r="AP37" s="70">
        <f t="shared" si="21"/>
        <v>0</v>
      </c>
      <c r="AQ37" s="119"/>
    </row>
    <row r="38" spans="1:45" x14ac:dyDescent="0.25">
      <c r="A38" t="s">
        <v>43</v>
      </c>
      <c r="B38" s="16" t="str">
        <f t="shared" si="14"/>
        <v>INN</v>
      </c>
      <c r="C38" s="20"/>
      <c r="D38" s="20">
        <f t="shared" si="14"/>
        <v>0</v>
      </c>
      <c r="E38" s="20">
        <f t="shared" si="22"/>
        <v>0</v>
      </c>
      <c r="F38" s="20">
        <f t="shared" si="22"/>
        <v>0</v>
      </c>
      <c r="G38" s="121">
        <f t="shared" si="22"/>
        <v>0</v>
      </c>
      <c r="H38" s="121">
        <f t="shared" si="10"/>
        <v>2</v>
      </c>
      <c r="I38" s="121">
        <f t="shared" si="10"/>
        <v>2</v>
      </c>
      <c r="J38" s="121">
        <f t="shared" si="10"/>
        <v>2</v>
      </c>
      <c r="K38" s="121">
        <f t="shared" si="10"/>
        <v>2</v>
      </c>
      <c r="L38" s="121">
        <f t="shared" si="10"/>
        <v>2</v>
      </c>
      <c r="M38" s="121">
        <f t="shared" si="10"/>
        <v>2</v>
      </c>
      <c r="N38" s="51">
        <f t="shared" si="10"/>
        <v>0</v>
      </c>
      <c r="O38" s="264">
        <f t="shared" si="10"/>
        <v>0</v>
      </c>
      <c r="P38" s="264">
        <f t="shared" si="11"/>
        <v>0</v>
      </c>
      <c r="Q38" s="264">
        <f t="shared" si="11"/>
        <v>0</v>
      </c>
      <c r="R38" s="264">
        <f t="shared" si="11"/>
        <v>0</v>
      </c>
      <c r="S38" s="264">
        <f t="shared" si="11"/>
        <v>0</v>
      </c>
      <c r="T38" s="264">
        <f t="shared" si="11"/>
        <v>0</v>
      </c>
      <c r="U38" s="264">
        <f t="shared" si="11"/>
        <v>0</v>
      </c>
      <c r="V38" s="70">
        <f t="shared" si="20"/>
        <v>0</v>
      </c>
      <c r="X38" t="s">
        <v>43</v>
      </c>
      <c r="Y38" s="20"/>
      <c r="Z38" s="20"/>
      <c r="AA38" s="121">
        <f t="shared" si="17"/>
        <v>0</v>
      </c>
      <c r="AB38" s="121">
        <f t="shared" si="17"/>
        <v>2</v>
      </c>
      <c r="AC38" s="121">
        <f t="shared" si="12"/>
        <v>2</v>
      </c>
      <c r="AD38" s="121">
        <f t="shared" si="12"/>
        <v>2</v>
      </c>
      <c r="AE38" s="121">
        <f t="shared" si="12"/>
        <v>2</v>
      </c>
      <c r="AF38" s="121">
        <f t="shared" si="12"/>
        <v>2</v>
      </c>
      <c r="AG38" s="121">
        <f t="shared" si="12"/>
        <v>2</v>
      </c>
      <c r="AH38" s="51"/>
      <c r="AI38" s="264">
        <f t="shared" si="18"/>
        <v>0</v>
      </c>
      <c r="AJ38" s="264">
        <f t="shared" si="18"/>
        <v>0</v>
      </c>
      <c r="AK38" s="264">
        <f t="shared" si="13"/>
        <v>0</v>
      </c>
      <c r="AL38" s="264">
        <f t="shared" si="13"/>
        <v>0</v>
      </c>
      <c r="AM38" s="264">
        <f t="shared" si="13"/>
        <v>0</v>
      </c>
      <c r="AN38" s="264">
        <f t="shared" si="13"/>
        <v>0</v>
      </c>
      <c r="AO38" s="264">
        <f t="shared" si="13"/>
        <v>0</v>
      </c>
      <c r="AP38" s="70">
        <f t="shared" si="21"/>
        <v>0</v>
      </c>
      <c r="AQ38" s="119"/>
    </row>
    <row r="39" spans="1:45" x14ac:dyDescent="0.25">
      <c r="A39" t="s">
        <v>36</v>
      </c>
      <c r="B39" s="16" t="str">
        <f t="shared" si="14"/>
        <v>EXT</v>
      </c>
      <c r="C39" s="20" t="str">
        <f t="shared" si="14"/>
        <v>RAP</v>
      </c>
      <c r="D39" s="20" t="str">
        <f t="shared" si="14"/>
        <v>E. Cubas</v>
      </c>
      <c r="E39" s="20">
        <f t="shared" si="22"/>
        <v>20</v>
      </c>
      <c r="F39" s="20">
        <f t="shared" si="22"/>
        <v>33.5</v>
      </c>
      <c r="G39" s="121">
        <f t="shared" si="22"/>
        <v>0</v>
      </c>
      <c r="H39" s="121">
        <f t="shared" si="10"/>
        <v>2</v>
      </c>
      <c r="I39" s="121">
        <f t="shared" si="10"/>
        <v>5.7</v>
      </c>
      <c r="J39" s="121">
        <f t="shared" si="10"/>
        <v>13.285714285714286</v>
      </c>
      <c r="K39" s="121">
        <f t="shared" si="10"/>
        <v>5.25</v>
      </c>
      <c r="L39" s="121">
        <f t="shared" si="10"/>
        <v>7.4</v>
      </c>
      <c r="M39" s="121">
        <f t="shared" si="10"/>
        <v>5</v>
      </c>
      <c r="N39" s="51">
        <f t="shared" si="10"/>
        <v>8732.52</v>
      </c>
      <c r="O39" s="264">
        <f t="shared" si="10"/>
        <v>0</v>
      </c>
      <c r="P39" s="264">
        <f t="shared" si="11"/>
        <v>0</v>
      </c>
      <c r="Q39" s="264">
        <f t="shared" si="11"/>
        <v>13</v>
      </c>
      <c r="R39" s="264">
        <f t="shared" si="11"/>
        <v>42</v>
      </c>
      <c r="S39" s="264">
        <f t="shared" si="11"/>
        <v>8</v>
      </c>
      <c r="T39" s="264">
        <f t="shared" si="11"/>
        <v>18</v>
      </c>
      <c r="U39" s="264">
        <f t="shared" si="11"/>
        <v>3</v>
      </c>
      <c r="V39" s="70">
        <f t="shared" si="20"/>
        <v>84</v>
      </c>
      <c r="X39" t="s">
        <v>36</v>
      </c>
      <c r="Y39" s="20">
        <v>22</v>
      </c>
      <c r="Z39" s="20">
        <f>F39+(AR33*7)-112-112</f>
        <v>19.5</v>
      </c>
      <c r="AA39" s="121">
        <f t="shared" si="17"/>
        <v>0</v>
      </c>
      <c r="AB39" s="121">
        <f>9</f>
        <v>9</v>
      </c>
      <c r="AC39" s="121">
        <f t="shared" si="12"/>
        <v>5.7</v>
      </c>
      <c r="AD39" s="121">
        <f t="shared" si="12"/>
        <v>13.285714285714286</v>
      </c>
      <c r="AE39" s="121">
        <f t="shared" si="12"/>
        <v>5.25</v>
      </c>
      <c r="AF39" s="121">
        <f t="shared" si="12"/>
        <v>7.4</v>
      </c>
      <c r="AG39" s="121">
        <f t="shared" si="12"/>
        <v>5</v>
      </c>
      <c r="AH39" s="51">
        <f>(155+8000+140+300+655)*1.016</f>
        <v>9398</v>
      </c>
      <c r="AI39" s="264">
        <f t="shared" si="18"/>
        <v>0</v>
      </c>
      <c r="AJ39" s="264">
        <f>P39+AR33</f>
        <v>30</v>
      </c>
      <c r="AK39" s="264">
        <f t="shared" si="13"/>
        <v>13</v>
      </c>
      <c r="AL39" s="264">
        <f t="shared" si="13"/>
        <v>42</v>
      </c>
      <c r="AM39" s="264">
        <f t="shared" si="13"/>
        <v>8</v>
      </c>
      <c r="AN39" s="264">
        <f t="shared" si="13"/>
        <v>18</v>
      </c>
      <c r="AO39" s="264">
        <f t="shared" si="13"/>
        <v>3</v>
      </c>
      <c r="AP39" s="70">
        <f t="shared" si="21"/>
        <v>114</v>
      </c>
      <c r="AQ39" s="119"/>
    </row>
    <row r="40" spans="1:45" x14ac:dyDescent="0.25">
      <c r="A40" t="s">
        <v>40</v>
      </c>
      <c r="B40" s="16" t="str">
        <f t="shared" si="14"/>
        <v>EXT</v>
      </c>
      <c r="C40" s="20" t="str">
        <f t="shared" si="14"/>
        <v>IMP</v>
      </c>
      <c r="D40" s="20" t="str">
        <f t="shared" si="14"/>
        <v>V. Gomis</v>
      </c>
      <c r="E40" s="20">
        <f t="shared" si="22"/>
        <v>20</v>
      </c>
      <c r="F40" s="20">
        <f t="shared" si="22"/>
        <v>37.5</v>
      </c>
      <c r="G40" s="121">
        <f t="shared" si="22"/>
        <v>0</v>
      </c>
      <c r="H40" s="121">
        <f t="shared" si="10"/>
        <v>6</v>
      </c>
      <c r="I40" s="121">
        <f t="shared" si="10"/>
        <v>3</v>
      </c>
      <c r="J40" s="121">
        <f t="shared" si="10"/>
        <v>12</v>
      </c>
      <c r="K40" s="121">
        <f t="shared" si="10"/>
        <v>5.2</v>
      </c>
      <c r="L40" s="121">
        <f t="shared" si="10"/>
        <v>7</v>
      </c>
      <c r="M40" s="121">
        <f t="shared" si="10"/>
        <v>3</v>
      </c>
      <c r="N40" s="51">
        <f t="shared" si="10"/>
        <v>5078.2160000000003</v>
      </c>
      <c r="O40" s="264">
        <f t="shared" si="10"/>
        <v>0</v>
      </c>
      <c r="P40" s="264">
        <f t="shared" si="11"/>
        <v>14</v>
      </c>
      <c r="Q40" s="264">
        <f t="shared" si="11"/>
        <v>3</v>
      </c>
      <c r="R40" s="264">
        <f t="shared" si="11"/>
        <v>33</v>
      </c>
      <c r="S40" s="264">
        <f t="shared" si="11"/>
        <v>8</v>
      </c>
      <c r="T40" s="264">
        <f t="shared" si="11"/>
        <v>16</v>
      </c>
      <c r="U40" s="264">
        <f t="shared" si="11"/>
        <v>1</v>
      </c>
      <c r="V40" s="70">
        <f>SUM(O40:U40)</f>
        <v>75</v>
      </c>
      <c r="X40" t="s">
        <v>40</v>
      </c>
      <c r="Y40" s="20">
        <v>22</v>
      </c>
      <c r="Z40" s="20">
        <f>F40+(AR33*7)-112-112</f>
        <v>23.5</v>
      </c>
      <c r="AA40" s="121">
        <f t="shared" si="17"/>
        <v>0</v>
      </c>
      <c r="AB40" s="121">
        <f>10+7/9</f>
        <v>10.777777777777779</v>
      </c>
      <c r="AC40" s="121">
        <f t="shared" si="12"/>
        <v>3</v>
      </c>
      <c r="AD40" s="121">
        <f t="shared" si="12"/>
        <v>12</v>
      </c>
      <c r="AE40" s="121">
        <f t="shared" si="12"/>
        <v>5.2</v>
      </c>
      <c r="AF40" s="121">
        <f t="shared" si="12"/>
        <v>7</v>
      </c>
      <c r="AG40" s="121">
        <f t="shared" si="12"/>
        <v>3</v>
      </c>
      <c r="AH40" s="51">
        <f>(1800+138+4470+245)*1.012</f>
        <v>6732.8360000000002</v>
      </c>
      <c r="AI40" s="264">
        <f t="shared" si="18"/>
        <v>0</v>
      </c>
      <c r="AJ40" s="264">
        <f>P40+AR33</f>
        <v>44</v>
      </c>
      <c r="AK40" s="264">
        <f t="shared" si="13"/>
        <v>3</v>
      </c>
      <c r="AL40" s="264">
        <f t="shared" si="13"/>
        <v>33</v>
      </c>
      <c r="AM40" s="264">
        <f t="shared" si="13"/>
        <v>8</v>
      </c>
      <c r="AN40" s="264">
        <f t="shared" si="13"/>
        <v>16</v>
      </c>
      <c r="AO40" s="264">
        <f t="shared" si="13"/>
        <v>1</v>
      </c>
      <c r="AP40" s="70">
        <f>SUM(AI40:AO40)</f>
        <v>105</v>
      </c>
      <c r="AQ40" s="119"/>
    </row>
    <row r="41" spans="1:45" x14ac:dyDescent="0.25">
      <c r="A41" t="s">
        <v>34</v>
      </c>
      <c r="B41" s="16" t="str">
        <f t="shared" si="14"/>
        <v>EXT</v>
      </c>
      <c r="C41" s="20" t="str">
        <f t="shared" si="14"/>
        <v>IMP</v>
      </c>
      <c r="D41" s="20" t="str">
        <f t="shared" si="14"/>
        <v>J.G. Peñuela</v>
      </c>
      <c r="E41" s="20">
        <f t="shared" si="22"/>
        <v>20</v>
      </c>
      <c r="F41" s="20">
        <f t="shared" si="22"/>
        <v>33.5</v>
      </c>
      <c r="G41" s="121">
        <f t="shared" si="22"/>
        <v>0</v>
      </c>
      <c r="H41" s="121">
        <f t="shared" si="10"/>
        <v>3</v>
      </c>
      <c r="I41" s="121">
        <f t="shared" si="10"/>
        <v>5</v>
      </c>
      <c r="J41" s="121">
        <f t="shared" si="10"/>
        <v>12.285714285714286</v>
      </c>
      <c r="K41" s="121">
        <f t="shared" si="10"/>
        <v>4</v>
      </c>
      <c r="L41" s="121">
        <f t="shared" si="10"/>
        <v>7.4</v>
      </c>
      <c r="M41" s="121">
        <f t="shared" si="10"/>
        <v>3</v>
      </c>
      <c r="N41" s="51">
        <f t="shared" si="10"/>
        <v>5626.72</v>
      </c>
      <c r="O41" s="264">
        <f t="shared" si="10"/>
        <v>0</v>
      </c>
      <c r="P41" s="264">
        <f t="shared" si="11"/>
        <v>3</v>
      </c>
      <c r="Q41" s="264">
        <f t="shared" si="11"/>
        <v>9</v>
      </c>
      <c r="R41" s="264">
        <f t="shared" si="11"/>
        <v>35</v>
      </c>
      <c r="S41" s="264">
        <f t="shared" si="11"/>
        <v>4</v>
      </c>
      <c r="T41" s="264">
        <f t="shared" si="11"/>
        <v>18</v>
      </c>
      <c r="U41" s="264">
        <f t="shared" si="11"/>
        <v>1</v>
      </c>
      <c r="V41" s="70">
        <f>SUM(O41:U41)</f>
        <v>70</v>
      </c>
      <c r="X41" t="s">
        <v>34</v>
      </c>
      <c r="Y41" s="20">
        <v>22</v>
      </c>
      <c r="Z41" s="20">
        <f>F41+(AR33*7)-112-112</f>
        <v>19.5</v>
      </c>
      <c r="AA41" s="121">
        <f t="shared" si="17"/>
        <v>0</v>
      </c>
      <c r="AB41" s="121">
        <f>9+3/7</f>
        <v>9.4285714285714288</v>
      </c>
      <c r="AC41" s="121">
        <f t="shared" si="12"/>
        <v>5</v>
      </c>
      <c r="AD41" s="121">
        <f t="shared" si="12"/>
        <v>12.285714285714286</v>
      </c>
      <c r="AE41" s="121">
        <f t="shared" si="12"/>
        <v>4</v>
      </c>
      <c r="AF41" s="121">
        <f t="shared" si="12"/>
        <v>7.4</v>
      </c>
      <c r="AG41" s="121">
        <f t="shared" si="12"/>
        <v>3</v>
      </c>
      <c r="AH41" s="51">
        <f>(135+5000+125+300+875)*1.012</f>
        <v>6512.22</v>
      </c>
      <c r="AI41" s="264">
        <f t="shared" si="18"/>
        <v>0</v>
      </c>
      <c r="AJ41" s="264">
        <f>P41+AR33</f>
        <v>33</v>
      </c>
      <c r="AK41" s="264">
        <f t="shared" si="13"/>
        <v>9</v>
      </c>
      <c r="AL41" s="264">
        <f t="shared" si="13"/>
        <v>35</v>
      </c>
      <c r="AM41" s="264">
        <f t="shared" si="13"/>
        <v>4</v>
      </c>
      <c r="AN41" s="264">
        <f t="shared" si="13"/>
        <v>18</v>
      </c>
      <c r="AO41" s="264">
        <f t="shared" si="13"/>
        <v>1</v>
      </c>
      <c r="AP41" s="70">
        <f>SUM(AI41:AO41)</f>
        <v>100</v>
      </c>
      <c r="AQ41" s="119"/>
    </row>
    <row r="42" spans="1:45" x14ac:dyDescent="0.25">
      <c r="A42" t="s">
        <v>42</v>
      </c>
      <c r="B42" s="16" t="str">
        <f t="shared" si="14"/>
        <v>DAV</v>
      </c>
      <c r="C42" s="20">
        <f t="shared" si="14"/>
        <v>0</v>
      </c>
      <c r="D42" s="20">
        <f t="shared" si="14"/>
        <v>0</v>
      </c>
      <c r="E42" s="20">
        <f t="shared" si="22"/>
        <v>0</v>
      </c>
      <c r="F42" s="20">
        <f t="shared" si="22"/>
        <v>0</v>
      </c>
      <c r="G42" s="121">
        <f t="shared" si="22"/>
        <v>0</v>
      </c>
      <c r="H42" s="121">
        <f t="shared" si="10"/>
        <v>2</v>
      </c>
      <c r="I42" s="121">
        <f t="shared" si="10"/>
        <v>2</v>
      </c>
      <c r="J42" s="121">
        <f t="shared" si="10"/>
        <v>2</v>
      </c>
      <c r="K42" s="121">
        <f t="shared" si="10"/>
        <v>2</v>
      </c>
      <c r="L42" s="121">
        <f t="shared" si="10"/>
        <v>2</v>
      </c>
      <c r="M42" s="121">
        <f t="shared" si="10"/>
        <v>2</v>
      </c>
      <c r="N42" s="51">
        <f t="shared" si="10"/>
        <v>0</v>
      </c>
      <c r="O42" s="264">
        <f t="shared" si="10"/>
        <v>0</v>
      </c>
      <c r="P42" s="264">
        <f t="shared" si="11"/>
        <v>0</v>
      </c>
      <c r="Q42" s="264">
        <f t="shared" si="11"/>
        <v>0</v>
      </c>
      <c r="R42" s="264">
        <f t="shared" si="11"/>
        <v>0</v>
      </c>
      <c r="S42" s="264">
        <f t="shared" si="11"/>
        <v>0</v>
      </c>
      <c r="T42" s="264">
        <f t="shared" si="11"/>
        <v>0</v>
      </c>
      <c r="U42" s="264">
        <f t="shared" si="11"/>
        <v>0</v>
      </c>
      <c r="V42" s="70">
        <f t="shared" ref="V42:V44" si="23">SUM(O42:U42)</f>
        <v>0</v>
      </c>
      <c r="X42" t="s">
        <v>42</v>
      </c>
      <c r="Y42" s="20"/>
      <c r="Z42" s="20"/>
      <c r="AA42" s="121">
        <f t="shared" si="17"/>
        <v>0</v>
      </c>
      <c r="AB42" s="121">
        <f t="shared" si="17"/>
        <v>2</v>
      </c>
      <c r="AC42" s="121">
        <f t="shared" si="12"/>
        <v>2</v>
      </c>
      <c r="AD42" s="121">
        <f t="shared" si="12"/>
        <v>2</v>
      </c>
      <c r="AE42" s="121">
        <f t="shared" si="12"/>
        <v>2</v>
      </c>
      <c r="AF42" s="121">
        <f t="shared" si="12"/>
        <v>2</v>
      </c>
      <c r="AG42" s="121">
        <f t="shared" si="12"/>
        <v>2</v>
      </c>
      <c r="AH42" s="51"/>
      <c r="AI42" s="264">
        <f t="shared" si="18"/>
        <v>0</v>
      </c>
      <c r="AJ42" s="264">
        <f t="shared" si="18"/>
        <v>0</v>
      </c>
      <c r="AK42" s="264">
        <f t="shared" si="13"/>
        <v>0</v>
      </c>
      <c r="AL42" s="264">
        <f t="shared" si="13"/>
        <v>0</v>
      </c>
      <c r="AM42" s="264">
        <f t="shared" si="13"/>
        <v>0</v>
      </c>
      <c r="AN42" s="264">
        <f t="shared" si="13"/>
        <v>0</v>
      </c>
      <c r="AO42" s="264">
        <f t="shared" si="13"/>
        <v>0</v>
      </c>
      <c r="AP42" s="70">
        <f t="shared" ref="AP42:AP44" si="24">SUM(AI42:AO42)</f>
        <v>0</v>
      </c>
      <c r="AQ42" s="119"/>
    </row>
    <row r="43" spans="1:45" x14ac:dyDescent="0.25">
      <c r="A43" t="s">
        <v>46</v>
      </c>
      <c r="B43" s="16" t="str">
        <f t="shared" si="14"/>
        <v>DAV</v>
      </c>
      <c r="C43" s="20">
        <f t="shared" si="14"/>
        <v>0</v>
      </c>
      <c r="D43" s="20">
        <f t="shared" si="14"/>
        <v>0</v>
      </c>
      <c r="E43" s="20">
        <f t="shared" si="22"/>
        <v>0</v>
      </c>
      <c r="F43" s="20">
        <f t="shared" si="22"/>
        <v>0</v>
      </c>
      <c r="G43" s="121">
        <f t="shared" si="22"/>
        <v>0</v>
      </c>
      <c r="H43" s="121">
        <f t="shared" si="10"/>
        <v>2</v>
      </c>
      <c r="I43" s="121">
        <f t="shared" si="10"/>
        <v>2</v>
      </c>
      <c r="J43" s="121">
        <f t="shared" si="10"/>
        <v>2</v>
      </c>
      <c r="K43" s="121">
        <f t="shared" si="10"/>
        <v>2</v>
      </c>
      <c r="L43" s="121">
        <f t="shared" si="10"/>
        <v>2</v>
      </c>
      <c r="M43" s="121">
        <f t="shared" si="10"/>
        <v>2</v>
      </c>
      <c r="N43" s="51">
        <f t="shared" si="10"/>
        <v>0</v>
      </c>
      <c r="O43" s="264">
        <f t="shared" si="10"/>
        <v>0</v>
      </c>
      <c r="P43" s="264">
        <f t="shared" si="11"/>
        <v>0</v>
      </c>
      <c r="Q43" s="264">
        <f t="shared" si="11"/>
        <v>0</v>
      </c>
      <c r="R43" s="264">
        <f t="shared" si="11"/>
        <v>0</v>
      </c>
      <c r="S43" s="264">
        <f t="shared" si="11"/>
        <v>0</v>
      </c>
      <c r="T43" s="264">
        <f t="shared" si="11"/>
        <v>0</v>
      </c>
      <c r="U43" s="264">
        <f t="shared" si="11"/>
        <v>0</v>
      </c>
      <c r="V43" s="70">
        <f t="shared" si="23"/>
        <v>0</v>
      </c>
      <c r="X43" t="s">
        <v>46</v>
      </c>
      <c r="Y43" s="20"/>
      <c r="Z43" s="20"/>
      <c r="AA43" s="121">
        <f t="shared" si="17"/>
        <v>0</v>
      </c>
      <c r="AB43" s="121">
        <f t="shared" si="17"/>
        <v>2</v>
      </c>
      <c r="AC43" s="121">
        <f t="shared" si="12"/>
        <v>2</v>
      </c>
      <c r="AD43" s="121">
        <f t="shared" si="12"/>
        <v>2</v>
      </c>
      <c r="AE43" s="121">
        <f t="shared" si="12"/>
        <v>2</v>
      </c>
      <c r="AF43" s="121">
        <f t="shared" si="12"/>
        <v>2</v>
      </c>
      <c r="AG43" s="121">
        <f t="shared" si="12"/>
        <v>2</v>
      </c>
      <c r="AH43" s="51"/>
      <c r="AI43" s="264">
        <f t="shared" si="18"/>
        <v>0</v>
      </c>
      <c r="AJ43" s="264">
        <f t="shared" si="18"/>
        <v>0</v>
      </c>
      <c r="AK43" s="264">
        <f t="shared" si="13"/>
        <v>0</v>
      </c>
      <c r="AL43" s="264">
        <f t="shared" si="13"/>
        <v>0</v>
      </c>
      <c r="AM43" s="264">
        <f t="shared" si="13"/>
        <v>0</v>
      </c>
      <c r="AN43" s="264">
        <f t="shared" si="13"/>
        <v>0</v>
      </c>
      <c r="AO43" s="264">
        <f t="shared" si="13"/>
        <v>0</v>
      </c>
      <c r="AP43" s="70">
        <f t="shared" si="24"/>
        <v>0</v>
      </c>
      <c r="AQ43" s="119"/>
    </row>
    <row r="44" spans="1:45" x14ac:dyDescent="0.25">
      <c r="A44" t="s">
        <v>383</v>
      </c>
      <c r="B44" s="16" t="str">
        <f t="shared" si="14"/>
        <v>DAV</v>
      </c>
      <c r="C44" s="20">
        <f t="shared" si="14"/>
        <v>0</v>
      </c>
      <c r="D44" s="20">
        <f t="shared" si="14"/>
        <v>0</v>
      </c>
      <c r="E44" s="20">
        <f t="shared" si="22"/>
        <v>0</v>
      </c>
      <c r="F44" s="20">
        <f t="shared" si="22"/>
        <v>0</v>
      </c>
      <c r="G44" s="121">
        <f t="shared" si="22"/>
        <v>0</v>
      </c>
      <c r="H44" s="121">
        <f t="shared" si="10"/>
        <v>2</v>
      </c>
      <c r="I44" s="121">
        <f t="shared" si="10"/>
        <v>2</v>
      </c>
      <c r="J44" s="121">
        <f t="shared" si="10"/>
        <v>2</v>
      </c>
      <c r="K44" s="121">
        <f t="shared" si="10"/>
        <v>2</v>
      </c>
      <c r="L44" s="121">
        <f t="shared" si="10"/>
        <v>2</v>
      </c>
      <c r="M44" s="121">
        <f t="shared" si="10"/>
        <v>2</v>
      </c>
      <c r="N44" s="51">
        <f t="shared" si="10"/>
        <v>0</v>
      </c>
      <c r="O44" s="264">
        <f t="shared" si="10"/>
        <v>0</v>
      </c>
      <c r="P44" s="264">
        <f t="shared" si="11"/>
        <v>0</v>
      </c>
      <c r="Q44" s="264">
        <f t="shared" si="11"/>
        <v>0</v>
      </c>
      <c r="R44" s="264">
        <f t="shared" si="11"/>
        <v>0</v>
      </c>
      <c r="S44" s="264">
        <f t="shared" si="11"/>
        <v>0</v>
      </c>
      <c r="T44" s="264">
        <f t="shared" si="11"/>
        <v>0</v>
      </c>
      <c r="U44" s="264">
        <f t="shared" si="11"/>
        <v>0</v>
      </c>
      <c r="V44" s="70">
        <f t="shared" si="23"/>
        <v>0</v>
      </c>
      <c r="X44" t="s">
        <v>383</v>
      </c>
      <c r="Y44" s="20"/>
      <c r="Z44" s="20"/>
      <c r="AA44" s="121">
        <f t="shared" si="17"/>
        <v>0</v>
      </c>
      <c r="AB44" s="121">
        <f t="shared" si="17"/>
        <v>2</v>
      </c>
      <c r="AC44" s="121">
        <f t="shared" si="12"/>
        <v>2</v>
      </c>
      <c r="AD44" s="121">
        <f t="shared" si="12"/>
        <v>2</v>
      </c>
      <c r="AE44" s="121">
        <f t="shared" si="12"/>
        <v>2</v>
      </c>
      <c r="AF44" s="121">
        <f t="shared" si="12"/>
        <v>2</v>
      </c>
      <c r="AG44" s="121">
        <f t="shared" si="12"/>
        <v>2</v>
      </c>
      <c r="AH44" s="51"/>
      <c r="AI44" s="264">
        <f t="shared" si="18"/>
        <v>0</v>
      </c>
      <c r="AJ44" s="264">
        <f t="shared" si="18"/>
        <v>0</v>
      </c>
      <c r="AK44" s="264">
        <f t="shared" si="13"/>
        <v>0</v>
      </c>
      <c r="AL44" s="264">
        <f t="shared" si="13"/>
        <v>0</v>
      </c>
      <c r="AM44" s="264">
        <f t="shared" si="13"/>
        <v>0</v>
      </c>
      <c r="AN44" s="264">
        <f t="shared" si="13"/>
        <v>0</v>
      </c>
      <c r="AO44" s="264">
        <f t="shared" si="13"/>
        <v>0</v>
      </c>
      <c r="AP44" s="70">
        <f t="shared" si="24"/>
        <v>0</v>
      </c>
      <c r="AQ44" s="119"/>
    </row>
    <row r="45" spans="1:45" x14ac:dyDescent="0.25">
      <c r="N45" s="243">
        <f>SUM(N47:N61)</f>
        <v>173422.41600000003</v>
      </c>
      <c r="AH45" s="243">
        <f>SUM(AH47:AH61)</f>
        <v>180055.55499999996</v>
      </c>
      <c r="AQ45" s="119"/>
    </row>
    <row r="46" spans="1:45" x14ac:dyDescent="0.25">
      <c r="A46" s="11" t="s">
        <v>179</v>
      </c>
      <c r="B46" s="11" t="s">
        <v>2</v>
      </c>
      <c r="C46" s="11" t="s">
        <v>86</v>
      </c>
      <c r="D46" s="11" t="str">
        <f>D28</f>
        <v>Nombre</v>
      </c>
      <c r="E46" s="11" t="str">
        <f t="shared" ref="E46:F46" si="25">E28</f>
        <v>Año</v>
      </c>
      <c r="F46" s="11" t="str">
        <f t="shared" si="25"/>
        <v>Dia</v>
      </c>
      <c r="G46" s="11" t="s">
        <v>15</v>
      </c>
      <c r="H46" s="11" t="s">
        <v>16</v>
      </c>
      <c r="I46" s="11" t="s">
        <v>17</v>
      </c>
      <c r="J46" s="11" t="s">
        <v>18</v>
      </c>
      <c r="K46" s="11" t="s">
        <v>19</v>
      </c>
      <c r="L46" s="11" t="s">
        <v>20</v>
      </c>
      <c r="M46" s="11" t="s">
        <v>6</v>
      </c>
      <c r="N46" s="11" t="s">
        <v>69</v>
      </c>
      <c r="O46" s="11" t="s">
        <v>372</v>
      </c>
      <c r="P46" s="11" t="s">
        <v>373</v>
      </c>
      <c r="Q46" s="11" t="s">
        <v>374</v>
      </c>
      <c r="R46" s="11" t="s">
        <v>375</v>
      </c>
      <c r="S46" s="11" t="s">
        <v>376</v>
      </c>
      <c r="T46" s="11" t="s">
        <v>377</v>
      </c>
      <c r="U46" s="11" t="s">
        <v>378</v>
      </c>
      <c r="V46" s="11" t="s">
        <v>379</v>
      </c>
      <c r="X46" s="11" t="s">
        <v>179</v>
      </c>
      <c r="Y46" s="11" t="str">
        <f>Y28</f>
        <v>Año</v>
      </c>
      <c r="Z46" s="11" t="str">
        <f>Z28</f>
        <v>Dia</v>
      </c>
      <c r="AA46" s="11" t="s">
        <v>15</v>
      </c>
      <c r="AB46" s="11" t="s">
        <v>16</v>
      </c>
      <c r="AC46" s="11" t="s">
        <v>17</v>
      </c>
      <c r="AD46" s="11" t="s">
        <v>18</v>
      </c>
      <c r="AE46" s="11" t="s">
        <v>19</v>
      </c>
      <c r="AF46" s="11" t="s">
        <v>20</v>
      </c>
      <c r="AG46" s="11" t="s">
        <v>6</v>
      </c>
      <c r="AH46" s="11" t="s">
        <v>69</v>
      </c>
      <c r="AI46" s="11" t="s">
        <v>372</v>
      </c>
      <c r="AJ46" s="11" t="s">
        <v>373</v>
      </c>
      <c r="AK46" s="11" t="s">
        <v>374</v>
      </c>
      <c r="AL46" s="11" t="s">
        <v>375</v>
      </c>
      <c r="AM46" s="11" t="s">
        <v>376</v>
      </c>
      <c r="AN46" s="11" t="s">
        <v>377</v>
      </c>
      <c r="AO46" s="11" t="s">
        <v>378</v>
      </c>
      <c r="AP46" s="11" t="s">
        <v>379</v>
      </c>
      <c r="AQ46" s="119"/>
    </row>
    <row r="47" spans="1:45" x14ac:dyDescent="0.25">
      <c r="A47" t="s">
        <v>29</v>
      </c>
      <c r="B47" s="16" t="str">
        <f>B29</f>
        <v>POR</v>
      </c>
      <c r="C47" s="20"/>
      <c r="D47" s="20" t="str">
        <f>D29</f>
        <v>Portero</v>
      </c>
      <c r="E47" s="20">
        <f>Y29</f>
        <v>22</v>
      </c>
      <c r="F47" s="20">
        <f>Z29</f>
        <v>36</v>
      </c>
      <c r="G47" s="121">
        <f>AA29</f>
        <v>17</v>
      </c>
      <c r="H47" s="121">
        <f t="shared" ref="H47:O62" si="26">AB29</f>
        <v>9</v>
      </c>
      <c r="I47" s="121">
        <f t="shared" si="26"/>
        <v>0</v>
      </c>
      <c r="J47" s="121">
        <f t="shared" si="26"/>
        <v>0</v>
      </c>
      <c r="K47" s="121">
        <f t="shared" si="26"/>
        <v>0</v>
      </c>
      <c r="L47" s="121">
        <f t="shared" si="26"/>
        <v>0</v>
      </c>
      <c r="M47" s="121">
        <f t="shared" si="26"/>
        <v>2</v>
      </c>
      <c r="N47" s="51">
        <f>AH29</f>
        <v>32634</v>
      </c>
      <c r="O47" s="264">
        <f>AI29</f>
        <v>62</v>
      </c>
      <c r="P47" s="264">
        <f t="shared" ref="P47:U62" si="27">AJ29</f>
        <v>30</v>
      </c>
      <c r="Q47" s="264">
        <f t="shared" si="27"/>
        <v>0</v>
      </c>
      <c r="R47" s="264">
        <f t="shared" si="27"/>
        <v>0</v>
      </c>
      <c r="S47" s="264">
        <f t="shared" si="27"/>
        <v>0</v>
      </c>
      <c r="T47" s="264">
        <f t="shared" si="27"/>
        <v>0</v>
      </c>
      <c r="U47" s="264">
        <f t="shared" si="27"/>
        <v>0</v>
      </c>
      <c r="V47" s="70">
        <f>SUM(O47:U47)</f>
        <v>92</v>
      </c>
      <c r="X47" t="s">
        <v>29</v>
      </c>
      <c r="Y47" s="20">
        <v>23</v>
      </c>
      <c r="Z47" s="20">
        <f>F47+(AR52*7)-112</f>
        <v>99</v>
      </c>
      <c r="AA47" s="121">
        <f>G47</f>
        <v>17</v>
      </c>
      <c r="AB47" s="121">
        <f t="shared" ref="AB47:AG62" si="28">H47</f>
        <v>9</v>
      </c>
      <c r="AC47" s="121">
        <f t="shared" si="28"/>
        <v>0</v>
      </c>
      <c r="AD47" s="121">
        <f t="shared" si="28"/>
        <v>0</v>
      </c>
      <c r="AE47" s="121">
        <f t="shared" si="28"/>
        <v>0</v>
      </c>
      <c r="AF47" s="121">
        <f t="shared" si="28"/>
        <v>0</v>
      </c>
      <c r="AG47" s="121">
        <f>17</f>
        <v>17</v>
      </c>
      <c r="AH47" s="51">
        <f>(31720+655)*1.047</f>
        <v>33896.625</v>
      </c>
      <c r="AI47" s="264">
        <f>O47</f>
        <v>62</v>
      </c>
      <c r="AJ47" s="264">
        <f t="shared" ref="AJ47:AO62" si="29">P47</f>
        <v>30</v>
      </c>
      <c r="AK47" s="264">
        <f t="shared" si="29"/>
        <v>0</v>
      </c>
      <c r="AL47" s="264">
        <f t="shared" si="29"/>
        <v>0</v>
      </c>
      <c r="AM47" s="264">
        <f t="shared" si="29"/>
        <v>0</v>
      </c>
      <c r="AN47" s="264">
        <f t="shared" si="29"/>
        <v>0</v>
      </c>
      <c r="AO47" s="264">
        <f>U47+AR52</f>
        <v>25</v>
      </c>
      <c r="AP47" s="70">
        <f>SUM(AI47:AO47)</f>
        <v>117</v>
      </c>
      <c r="AQ47" s="119"/>
    </row>
    <row r="48" spans="1:45" x14ac:dyDescent="0.25">
      <c r="A48" t="s">
        <v>32</v>
      </c>
      <c r="B48" s="16" t="str">
        <f t="shared" ref="B48:D53" si="30">B30</f>
        <v>DEF</v>
      </c>
      <c r="C48" s="20" t="str">
        <f t="shared" si="30"/>
        <v>TEC</v>
      </c>
      <c r="D48" s="20" t="str">
        <f t="shared" si="30"/>
        <v>J. G. de Minaya</v>
      </c>
      <c r="E48" s="20">
        <f t="shared" ref="E48:G56" si="31">Y30</f>
        <v>22</v>
      </c>
      <c r="F48" s="20">
        <f t="shared" si="31"/>
        <v>32.5</v>
      </c>
      <c r="G48" s="121">
        <f t="shared" si="31"/>
        <v>0</v>
      </c>
      <c r="H48" s="121">
        <f t="shared" si="26"/>
        <v>10.777777777777779</v>
      </c>
      <c r="I48" s="121">
        <f t="shared" si="26"/>
        <v>5</v>
      </c>
      <c r="J48" s="121">
        <f t="shared" si="26"/>
        <v>12.285714285714286</v>
      </c>
      <c r="K48" s="121">
        <f t="shared" si="26"/>
        <v>5</v>
      </c>
      <c r="L48" s="121">
        <f t="shared" si="26"/>
        <v>8</v>
      </c>
      <c r="M48" s="121">
        <f t="shared" si="26"/>
        <v>0</v>
      </c>
      <c r="N48" s="51">
        <f t="shared" si="26"/>
        <v>7475</v>
      </c>
      <c r="O48" s="264">
        <f t="shared" si="26"/>
        <v>0</v>
      </c>
      <c r="P48" s="264">
        <f t="shared" si="27"/>
        <v>44</v>
      </c>
      <c r="Q48" s="264">
        <f t="shared" si="27"/>
        <v>9</v>
      </c>
      <c r="R48" s="264">
        <f t="shared" si="27"/>
        <v>35</v>
      </c>
      <c r="S48" s="264">
        <f t="shared" si="27"/>
        <v>7</v>
      </c>
      <c r="T48" s="264">
        <f t="shared" si="27"/>
        <v>21</v>
      </c>
      <c r="U48" s="264">
        <f t="shared" si="27"/>
        <v>-2</v>
      </c>
      <c r="V48" s="70">
        <f t="shared" ref="V48" si="32">SUM(O48:U48)</f>
        <v>114</v>
      </c>
      <c r="X48" t="s">
        <v>32</v>
      </c>
      <c r="Y48" s="20">
        <v>24</v>
      </c>
      <c r="Z48" s="20">
        <f>F48+(AR52*7)-112-112</f>
        <v>-16.5</v>
      </c>
      <c r="AA48" s="121">
        <f t="shared" ref="AA48:AA62" si="33">G48</f>
        <v>0</v>
      </c>
      <c r="AB48" s="121">
        <f t="shared" si="28"/>
        <v>10.777777777777779</v>
      </c>
      <c r="AC48" s="121">
        <f t="shared" si="28"/>
        <v>5</v>
      </c>
      <c r="AD48" s="121">
        <f t="shared" si="28"/>
        <v>12.285714285714286</v>
      </c>
      <c r="AE48" s="121">
        <f t="shared" si="28"/>
        <v>5</v>
      </c>
      <c r="AF48" s="121">
        <f t="shared" si="28"/>
        <v>8</v>
      </c>
      <c r="AG48" s="121">
        <f>16+2/4</f>
        <v>16.5</v>
      </c>
      <c r="AH48" s="51">
        <f>(5000+1800+135+135+405)*1.045</f>
        <v>7811.3749999999991</v>
      </c>
      <c r="AI48" s="264">
        <f t="shared" ref="AI48:AI62" si="34">O48</f>
        <v>0</v>
      </c>
      <c r="AJ48" s="264">
        <f t="shared" si="29"/>
        <v>44</v>
      </c>
      <c r="AK48" s="264">
        <f t="shared" si="29"/>
        <v>9</v>
      </c>
      <c r="AL48" s="264">
        <f t="shared" si="29"/>
        <v>35</v>
      </c>
      <c r="AM48" s="264">
        <f t="shared" si="29"/>
        <v>7</v>
      </c>
      <c r="AN48" s="264">
        <f t="shared" si="29"/>
        <v>21</v>
      </c>
      <c r="AO48" s="264">
        <f>U48+AR52</f>
        <v>23</v>
      </c>
      <c r="AP48" s="70">
        <f t="shared" ref="AP48" si="35">SUM(AI48:AO48)</f>
        <v>139</v>
      </c>
      <c r="AQ48" s="119"/>
    </row>
    <row r="49" spans="1:45" x14ac:dyDescent="0.25">
      <c r="A49" t="s">
        <v>33</v>
      </c>
      <c r="B49" s="16" t="str">
        <f t="shared" si="30"/>
        <v>DEF</v>
      </c>
      <c r="C49" s="20" t="str">
        <f t="shared" si="30"/>
        <v>RAP</v>
      </c>
      <c r="D49" s="20" t="str">
        <f t="shared" si="30"/>
        <v>Defensa</v>
      </c>
      <c r="E49" s="20">
        <f t="shared" si="31"/>
        <v>22</v>
      </c>
      <c r="F49" s="20">
        <f t="shared" si="31"/>
        <v>36</v>
      </c>
      <c r="G49" s="121">
        <f t="shared" si="31"/>
        <v>0</v>
      </c>
      <c r="H49" s="121">
        <f t="shared" si="26"/>
        <v>13</v>
      </c>
      <c r="I49" s="121">
        <f t="shared" si="26"/>
        <v>4</v>
      </c>
      <c r="J49" s="121">
        <f t="shared" si="26"/>
        <v>4</v>
      </c>
      <c r="K49" s="121">
        <f t="shared" si="26"/>
        <v>10</v>
      </c>
      <c r="L49" s="121">
        <f t="shared" si="26"/>
        <v>2</v>
      </c>
      <c r="M49" s="121">
        <f t="shared" si="26"/>
        <v>2</v>
      </c>
      <c r="N49" s="51">
        <f t="shared" si="26"/>
        <v>12605.04</v>
      </c>
      <c r="O49" s="264">
        <f t="shared" si="26"/>
        <v>0</v>
      </c>
      <c r="P49" s="264">
        <f t="shared" si="27"/>
        <v>67</v>
      </c>
      <c r="Q49" s="264">
        <f t="shared" si="27"/>
        <v>6</v>
      </c>
      <c r="R49" s="264">
        <f t="shared" si="27"/>
        <v>3.5</v>
      </c>
      <c r="S49" s="264">
        <f t="shared" si="27"/>
        <v>29</v>
      </c>
      <c r="T49" s="264">
        <f t="shared" si="27"/>
        <v>0</v>
      </c>
      <c r="U49" s="264">
        <f t="shared" si="27"/>
        <v>0</v>
      </c>
      <c r="V49" s="70">
        <f>SUM(O49:U49)</f>
        <v>105.5</v>
      </c>
      <c r="X49" t="s">
        <v>33</v>
      </c>
      <c r="Y49" s="20">
        <v>23</v>
      </c>
      <c r="Z49" s="20">
        <f>F49+(AR52*7)-112</f>
        <v>99</v>
      </c>
      <c r="AA49" s="121">
        <f t="shared" si="33"/>
        <v>0</v>
      </c>
      <c r="AB49" s="121">
        <f t="shared" si="28"/>
        <v>13</v>
      </c>
      <c r="AC49" s="121">
        <f t="shared" si="28"/>
        <v>4</v>
      </c>
      <c r="AD49" s="121">
        <f t="shared" si="28"/>
        <v>4</v>
      </c>
      <c r="AE49" s="121">
        <f t="shared" si="28"/>
        <v>10</v>
      </c>
      <c r="AF49" s="121">
        <f t="shared" si="28"/>
        <v>2</v>
      </c>
      <c r="AG49" s="121">
        <v>17</v>
      </c>
      <c r="AH49" s="51">
        <f>(11470+125+125+785)*1.047</f>
        <v>13092.734999999999</v>
      </c>
      <c r="AI49" s="264">
        <f t="shared" si="34"/>
        <v>0</v>
      </c>
      <c r="AJ49" s="264">
        <f t="shared" si="29"/>
        <v>67</v>
      </c>
      <c r="AK49" s="264">
        <f t="shared" si="29"/>
        <v>6</v>
      </c>
      <c r="AL49" s="264">
        <f t="shared" si="29"/>
        <v>3.5</v>
      </c>
      <c r="AM49" s="264">
        <f t="shared" si="29"/>
        <v>29</v>
      </c>
      <c r="AN49" s="264">
        <f t="shared" si="29"/>
        <v>0</v>
      </c>
      <c r="AO49" s="264">
        <f>U49+AR52</f>
        <v>25</v>
      </c>
      <c r="AP49" s="70">
        <f>SUM(AI49:AO49)</f>
        <v>130.5</v>
      </c>
      <c r="AQ49" s="119"/>
    </row>
    <row r="50" spans="1:45" x14ac:dyDescent="0.25">
      <c r="A50" t="s">
        <v>39</v>
      </c>
      <c r="B50" s="16" t="str">
        <f t="shared" si="30"/>
        <v>DEF</v>
      </c>
      <c r="C50" s="20" t="str">
        <f t="shared" si="30"/>
        <v>POT</v>
      </c>
      <c r="D50" s="20" t="str">
        <f t="shared" si="30"/>
        <v>Defensa</v>
      </c>
      <c r="E50" s="20">
        <f t="shared" si="31"/>
        <v>22</v>
      </c>
      <c r="F50" s="20">
        <f t="shared" si="31"/>
        <v>36</v>
      </c>
      <c r="G50" s="121">
        <f t="shared" si="31"/>
        <v>0</v>
      </c>
      <c r="H50" s="121">
        <f t="shared" si="26"/>
        <v>13</v>
      </c>
      <c r="I50" s="121">
        <f t="shared" si="26"/>
        <v>4</v>
      </c>
      <c r="J50" s="121">
        <f t="shared" si="26"/>
        <v>4</v>
      </c>
      <c r="K50" s="121">
        <f t="shared" si="26"/>
        <v>10</v>
      </c>
      <c r="L50" s="121">
        <f t="shared" si="26"/>
        <v>2</v>
      </c>
      <c r="M50" s="121">
        <f t="shared" si="26"/>
        <v>2</v>
      </c>
      <c r="N50" s="51">
        <f t="shared" si="26"/>
        <v>12605.04</v>
      </c>
      <c r="O50" s="264">
        <f t="shared" si="26"/>
        <v>0</v>
      </c>
      <c r="P50" s="264">
        <f t="shared" si="27"/>
        <v>67</v>
      </c>
      <c r="Q50" s="264">
        <f t="shared" si="27"/>
        <v>6</v>
      </c>
      <c r="R50" s="264">
        <f t="shared" si="27"/>
        <v>3.5</v>
      </c>
      <c r="S50" s="264">
        <f t="shared" si="27"/>
        <v>29</v>
      </c>
      <c r="T50" s="264">
        <f t="shared" si="27"/>
        <v>0</v>
      </c>
      <c r="U50" s="264">
        <f t="shared" si="27"/>
        <v>0</v>
      </c>
      <c r="V50" s="70">
        <f>SUM(O50:U50)</f>
        <v>105.5</v>
      </c>
      <c r="X50" t="s">
        <v>39</v>
      </c>
      <c r="Y50" s="20">
        <v>23</v>
      </c>
      <c r="Z50" s="20">
        <f>F50+(AR52*7)-112</f>
        <v>99</v>
      </c>
      <c r="AA50" s="121">
        <f t="shared" si="33"/>
        <v>0</v>
      </c>
      <c r="AB50" s="121">
        <f t="shared" si="28"/>
        <v>13</v>
      </c>
      <c r="AC50" s="121">
        <f t="shared" si="28"/>
        <v>4</v>
      </c>
      <c r="AD50" s="121">
        <f t="shared" si="28"/>
        <v>4</v>
      </c>
      <c r="AE50" s="121">
        <f t="shared" si="28"/>
        <v>10</v>
      </c>
      <c r="AF50" s="121">
        <f t="shared" si="28"/>
        <v>2</v>
      </c>
      <c r="AG50" s="121">
        <v>17</v>
      </c>
      <c r="AH50" s="51">
        <f>(11470+125+125+785)*1.047</f>
        <v>13092.734999999999</v>
      </c>
      <c r="AI50" s="264">
        <f t="shared" si="34"/>
        <v>0</v>
      </c>
      <c r="AJ50" s="264">
        <f t="shared" si="29"/>
        <v>67</v>
      </c>
      <c r="AK50" s="264">
        <f t="shared" si="29"/>
        <v>6</v>
      </c>
      <c r="AL50" s="264">
        <f t="shared" si="29"/>
        <v>3.5</v>
      </c>
      <c r="AM50" s="264">
        <f t="shared" si="29"/>
        <v>29</v>
      </c>
      <c r="AN50" s="264">
        <f t="shared" si="29"/>
        <v>0</v>
      </c>
      <c r="AO50" s="264">
        <f>U50+AR52</f>
        <v>25</v>
      </c>
      <c r="AP50" s="70">
        <f>SUM(AI50:AO50)</f>
        <v>130.5</v>
      </c>
      <c r="AQ50" s="119"/>
    </row>
    <row r="51" spans="1:45" x14ac:dyDescent="0.25">
      <c r="A51" t="s">
        <v>41</v>
      </c>
      <c r="B51" s="16" t="str">
        <f t="shared" si="30"/>
        <v>DEF</v>
      </c>
      <c r="C51" s="20" t="str">
        <f t="shared" si="30"/>
        <v>CAB</v>
      </c>
      <c r="D51" s="20" t="str">
        <f t="shared" si="30"/>
        <v>Defensa</v>
      </c>
      <c r="E51" s="20">
        <f t="shared" si="31"/>
        <v>22</v>
      </c>
      <c r="F51" s="20">
        <f t="shared" si="31"/>
        <v>36</v>
      </c>
      <c r="G51" s="121">
        <f t="shared" si="31"/>
        <v>0</v>
      </c>
      <c r="H51" s="121">
        <f t="shared" si="26"/>
        <v>13</v>
      </c>
      <c r="I51" s="121">
        <f t="shared" si="26"/>
        <v>4</v>
      </c>
      <c r="J51" s="121">
        <f t="shared" si="26"/>
        <v>4</v>
      </c>
      <c r="K51" s="121">
        <f t="shared" si="26"/>
        <v>10</v>
      </c>
      <c r="L51" s="121">
        <f t="shared" si="26"/>
        <v>2</v>
      </c>
      <c r="M51" s="121">
        <f t="shared" si="26"/>
        <v>2</v>
      </c>
      <c r="N51" s="51">
        <f t="shared" si="26"/>
        <v>12605.04</v>
      </c>
      <c r="O51" s="264">
        <f t="shared" si="26"/>
        <v>0</v>
      </c>
      <c r="P51" s="264">
        <f t="shared" si="27"/>
        <v>67</v>
      </c>
      <c r="Q51" s="264">
        <f t="shared" si="27"/>
        <v>6</v>
      </c>
      <c r="R51" s="264">
        <f t="shared" si="27"/>
        <v>3.5</v>
      </c>
      <c r="S51" s="264">
        <f t="shared" si="27"/>
        <v>29</v>
      </c>
      <c r="T51" s="264">
        <f t="shared" si="27"/>
        <v>0</v>
      </c>
      <c r="U51" s="264">
        <f t="shared" si="27"/>
        <v>0</v>
      </c>
      <c r="V51" s="70">
        <f t="shared" ref="V51:V57" si="36">SUM(O51:U51)</f>
        <v>105.5</v>
      </c>
      <c r="X51" t="s">
        <v>41</v>
      </c>
      <c r="Y51" s="20">
        <v>23</v>
      </c>
      <c r="Z51" s="20">
        <f>F51+(AR52*7)-112</f>
        <v>99</v>
      </c>
      <c r="AA51" s="121">
        <f t="shared" si="33"/>
        <v>0</v>
      </c>
      <c r="AB51" s="121">
        <f t="shared" si="28"/>
        <v>13</v>
      </c>
      <c r="AC51" s="121">
        <f t="shared" si="28"/>
        <v>4</v>
      </c>
      <c r="AD51" s="121">
        <f t="shared" si="28"/>
        <v>4</v>
      </c>
      <c r="AE51" s="121">
        <f t="shared" si="28"/>
        <v>10</v>
      </c>
      <c r="AF51" s="121">
        <f t="shared" si="28"/>
        <v>2</v>
      </c>
      <c r="AG51" s="121">
        <v>17</v>
      </c>
      <c r="AH51" s="51">
        <f>(11470+125+125+785)*1.047</f>
        <v>13092.734999999999</v>
      </c>
      <c r="AI51" s="264">
        <f t="shared" si="34"/>
        <v>0</v>
      </c>
      <c r="AJ51" s="264">
        <f t="shared" si="29"/>
        <v>67</v>
      </c>
      <c r="AK51" s="264">
        <f t="shared" si="29"/>
        <v>6</v>
      </c>
      <c r="AL51" s="264">
        <f t="shared" si="29"/>
        <v>3.5</v>
      </c>
      <c r="AM51" s="264">
        <f t="shared" si="29"/>
        <v>29</v>
      </c>
      <c r="AN51" s="264">
        <f t="shared" si="29"/>
        <v>0</v>
      </c>
      <c r="AO51" s="264">
        <f>U51+AR52</f>
        <v>25</v>
      </c>
      <c r="AP51" s="70">
        <f t="shared" ref="AP51:AP57" si="37">SUM(AI51:AO51)</f>
        <v>130.5</v>
      </c>
      <c r="AQ51" s="119"/>
      <c r="AR51" t="s">
        <v>434</v>
      </c>
      <c r="AS51" t="s">
        <v>435</v>
      </c>
    </row>
    <row r="52" spans="1:45" x14ac:dyDescent="0.25">
      <c r="A52" t="s">
        <v>38</v>
      </c>
      <c r="B52" s="16" t="str">
        <f t="shared" si="30"/>
        <v>DEF</v>
      </c>
      <c r="C52" s="20" t="s">
        <v>0</v>
      </c>
      <c r="D52" s="20" t="str">
        <f t="shared" si="30"/>
        <v>Defensa</v>
      </c>
      <c r="E52" s="20">
        <f t="shared" si="31"/>
        <v>22</v>
      </c>
      <c r="F52" s="20">
        <f t="shared" si="31"/>
        <v>36</v>
      </c>
      <c r="G52" s="121">
        <f t="shared" si="31"/>
        <v>0</v>
      </c>
      <c r="H52" s="121">
        <f t="shared" si="26"/>
        <v>13</v>
      </c>
      <c r="I52" s="121">
        <f t="shared" si="26"/>
        <v>4</v>
      </c>
      <c r="J52" s="121">
        <f t="shared" si="26"/>
        <v>4</v>
      </c>
      <c r="K52" s="121">
        <f t="shared" si="26"/>
        <v>10</v>
      </c>
      <c r="L52" s="121">
        <f t="shared" si="26"/>
        <v>2</v>
      </c>
      <c r="M52" s="121">
        <f t="shared" si="26"/>
        <v>2</v>
      </c>
      <c r="N52" s="51">
        <f t="shared" si="26"/>
        <v>12605.04</v>
      </c>
      <c r="O52" s="264">
        <f t="shared" si="26"/>
        <v>0</v>
      </c>
      <c r="P52" s="264">
        <f t="shared" si="27"/>
        <v>67</v>
      </c>
      <c r="Q52" s="264">
        <f t="shared" si="27"/>
        <v>6</v>
      </c>
      <c r="R52" s="264">
        <f t="shared" si="27"/>
        <v>3.5</v>
      </c>
      <c r="S52" s="264">
        <f t="shared" si="27"/>
        <v>29</v>
      </c>
      <c r="T52" s="264">
        <f t="shared" si="27"/>
        <v>0</v>
      </c>
      <c r="U52" s="264">
        <f t="shared" si="27"/>
        <v>0</v>
      </c>
      <c r="V52" s="70">
        <f t="shared" si="36"/>
        <v>105.5</v>
      </c>
      <c r="X52" t="s">
        <v>38</v>
      </c>
      <c r="Y52" s="20">
        <v>23</v>
      </c>
      <c r="Z52" s="20">
        <f>F52+(AR52*7)-112</f>
        <v>99</v>
      </c>
      <c r="AA52" s="121">
        <f t="shared" si="33"/>
        <v>0</v>
      </c>
      <c r="AB52" s="121">
        <f t="shared" si="28"/>
        <v>13</v>
      </c>
      <c r="AC52" s="121">
        <f t="shared" si="28"/>
        <v>4</v>
      </c>
      <c r="AD52" s="121">
        <f t="shared" si="28"/>
        <v>4</v>
      </c>
      <c r="AE52" s="121">
        <f t="shared" si="28"/>
        <v>10</v>
      </c>
      <c r="AF52" s="121">
        <f t="shared" si="28"/>
        <v>2</v>
      </c>
      <c r="AG52" s="121">
        <v>17</v>
      </c>
      <c r="AH52" s="51">
        <f>(11470+125+125+785)*1.047</f>
        <v>13092.734999999999</v>
      </c>
      <c r="AI52" s="264">
        <f t="shared" si="34"/>
        <v>0</v>
      </c>
      <c r="AJ52" s="264">
        <f t="shared" si="29"/>
        <v>67</v>
      </c>
      <c r="AK52" s="264">
        <f t="shared" si="29"/>
        <v>6</v>
      </c>
      <c r="AL52" s="264">
        <f t="shared" si="29"/>
        <v>3.5</v>
      </c>
      <c r="AM52" s="264">
        <f t="shared" si="29"/>
        <v>29</v>
      </c>
      <c r="AN52" s="264">
        <f t="shared" si="29"/>
        <v>0</v>
      </c>
      <c r="AO52" s="264">
        <f>U52+AR52</f>
        <v>25</v>
      </c>
      <c r="AP52" s="70">
        <f t="shared" si="37"/>
        <v>130.5</v>
      </c>
      <c r="AQ52" s="119" t="s">
        <v>47</v>
      </c>
      <c r="AR52">
        <v>25</v>
      </c>
      <c r="AS52" s="40">
        <f>AR52/16</f>
        <v>1.5625</v>
      </c>
    </row>
    <row r="53" spans="1:45" x14ac:dyDescent="0.25">
      <c r="A53" t="s">
        <v>35</v>
      </c>
      <c r="B53" s="16" t="str">
        <f t="shared" si="30"/>
        <v>DEF</v>
      </c>
      <c r="C53" s="20" t="str">
        <f t="shared" si="30"/>
        <v>CAB</v>
      </c>
      <c r="D53" s="20" t="str">
        <f t="shared" si="30"/>
        <v>Defensa</v>
      </c>
      <c r="E53" s="20">
        <f t="shared" si="31"/>
        <v>22</v>
      </c>
      <c r="F53" s="20">
        <f t="shared" si="31"/>
        <v>36</v>
      </c>
      <c r="G53" s="121">
        <f t="shared" si="31"/>
        <v>0</v>
      </c>
      <c r="H53" s="121">
        <f t="shared" si="26"/>
        <v>13</v>
      </c>
      <c r="I53" s="121">
        <f t="shared" si="26"/>
        <v>4</v>
      </c>
      <c r="J53" s="121">
        <f t="shared" si="26"/>
        <v>4</v>
      </c>
      <c r="K53" s="121">
        <f t="shared" si="26"/>
        <v>10</v>
      </c>
      <c r="L53" s="121">
        <f t="shared" si="26"/>
        <v>2</v>
      </c>
      <c r="M53" s="121">
        <f t="shared" si="26"/>
        <v>2</v>
      </c>
      <c r="N53" s="51">
        <f t="shared" si="26"/>
        <v>12605.04</v>
      </c>
      <c r="O53" s="264">
        <f t="shared" si="26"/>
        <v>0</v>
      </c>
      <c r="P53" s="264">
        <f t="shared" si="27"/>
        <v>67</v>
      </c>
      <c r="Q53" s="264">
        <f t="shared" si="27"/>
        <v>6</v>
      </c>
      <c r="R53" s="264">
        <f t="shared" si="27"/>
        <v>3.5</v>
      </c>
      <c r="S53" s="264">
        <f t="shared" si="27"/>
        <v>29</v>
      </c>
      <c r="T53" s="264">
        <f t="shared" si="27"/>
        <v>0</v>
      </c>
      <c r="U53" s="264">
        <f t="shared" si="27"/>
        <v>0</v>
      </c>
      <c r="V53" s="70">
        <f t="shared" si="36"/>
        <v>105.5</v>
      </c>
      <c r="X53" t="s">
        <v>35</v>
      </c>
      <c r="Y53" s="20">
        <v>23</v>
      </c>
      <c r="Z53" s="20">
        <f>F53+(AR52*7)-112</f>
        <v>99</v>
      </c>
      <c r="AA53" s="121">
        <f t="shared" si="33"/>
        <v>0</v>
      </c>
      <c r="AB53" s="121">
        <f t="shared" si="28"/>
        <v>13</v>
      </c>
      <c r="AC53" s="121">
        <f t="shared" si="28"/>
        <v>4</v>
      </c>
      <c r="AD53" s="121">
        <f t="shared" si="28"/>
        <v>4</v>
      </c>
      <c r="AE53" s="121">
        <f t="shared" si="28"/>
        <v>10</v>
      </c>
      <c r="AF53" s="121">
        <f t="shared" si="28"/>
        <v>2</v>
      </c>
      <c r="AG53" s="121">
        <v>17</v>
      </c>
      <c r="AH53" s="51">
        <f>(11470+125+125+785)*1.047</f>
        <v>13092.734999999999</v>
      </c>
      <c r="AI53" s="264">
        <f t="shared" si="34"/>
        <v>0</v>
      </c>
      <c r="AJ53" s="264">
        <f t="shared" si="29"/>
        <v>67</v>
      </c>
      <c r="AK53" s="264">
        <f t="shared" si="29"/>
        <v>6</v>
      </c>
      <c r="AL53" s="264">
        <f t="shared" si="29"/>
        <v>3.5</v>
      </c>
      <c r="AM53" s="264">
        <f t="shared" si="29"/>
        <v>29</v>
      </c>
      <c r="AN53" s="264">
        <f t="shared" si="29"/>
        <v>0</v>
      </c>
      <c r="AO53" s="264">
        <f>U53+AR52</f>
        <v>25</v>
      </c>
      <c r="AP53" s="70">
        <f t="shared" si="37"/>
        <v>130.5</v>
      </c>
      <c r="AQ53" s="119"/>
    </row>
    <row r="54" spans="1:45" x14ac:dyDescent="0.25">
      <c r="A54" t="s">
        <v>31</v>
      </c>
      <c r="B54" s="16"/>
      <c r="C54" s="20"/>
      <c r="D54" s="20"/>
      <c r="E54" s="20">
        <f t="shared" si="31"/>
        <v>0</v>
      </c>
      <c r="F54" s="20">
        <f t="shared" si="31"/>
        <v>0</v>
      </c>
      <c r="G54" s="121">
        <f t="shared" si="31"/>
        <v>0</v>
      </c>
      <c r="H54" s="121">
        <f t="shared" si="26"/>
        <v>2</v>
      </c>
      <c r="I54" s="121">
        <f t="shared" si="26"/>
        <v>2</v>
      </c>
      <c r="J54" s="121">
        <f t="shared" si="26"/>
        <v>2</v>
      </c>
      <c r="K54" s="121">
        <f t="shared" si="26"/>
        <v>2</v>
      </c>
      <c r="L54" s="121">
        <f t="shared" si="26"/>
        <v>2</v>
      </c>
      <c r="M54" s="121">
        <f t="shared" si="26"/>
        <v>2</v>
      </c>
      <c r="N54" s="51">
        <f t="shared" si="26"/>
        <v>0</v>
      </c>
      <c r="O54" s="264">
        <f t="shared" si="26"/>
        <v>0</v>
      </c>
      <c r="P54" s="264">
        <f t="shared" si="27"/>
        <v>0</v>
      </c>
      <c r="Q54" s="264">
        <f t="shared" si="27"/>
        <v>0</v>
      </c>
      <c r="R54" s="264">
        <f t="shared" si="27"/>
        <v>0</v>
      </c>
      <c r="S54" s="264">
        <f t="shared" si="27"/>
        <v>0</v>
      </c>
      <c r="T54" s="264">
        <f t="shared" si="27"/>
        <v>0</v>
      </c>
      <c r="U54" s="264">
        <f t="shared" si="27"/>
        <v>0</v>
      </c>
      <c r="V54" s="70">
        <f t="shared" si="36"/>
        <v>0</v>
      </c>
      <c r="X54" t="s">
        <v>31</v>
      </c>
      <c r="Y54" s="20"/>
      <c r="Z54" s="20"/>
      <c r="AA54" s="121">
        <f t="shared" si="33"/>
        <v>0</v>
      </c>
      <c r="AB54" s="121">
        <f t="shared" si="28"/>
        <v>2</v>
      </c>
      <c r="AC54" s="121">
        <f t="shared" si="28"/>
        <v>2</v>
      </c>
      <c r="AD54" s="121">
        <f t="shared" si="28"/>
        <v>2</v>
      </c>
      <c r="AE54" s="121">
        <f t="shared" si="28"/>
        <v>2</v>
      </c>
      <c r="AF54" s="121">
        <f t="shared" si="28"/>
        <v>2</v>
      </c>
      <c r="AG54" s="121">
        <f t="shared" si="28"/>
        <v>2</v>
      </c>
      <c r="AH54" s="51"/>
      <c r="AI54" s="264">
        <f t="shared" si="34"/>
        <v>0</v>
      </c>
      <c r="AJ54" s="264">
        <f t="shared" si="29"/>
        <v>0</v>
      </c>
      <c r="AK54" s="264">
        <f t="shared" si="29"/>
        <v>0</v>
      </c>
      <c r="AL54" s="264">
        <f t="shared" si="29"/>
        <v>0</v>
      </c>
      <c r="AM54" s="264">
        <f t="shared" si="29"/>
        <v>0</v>
      </c>
      <c r="AN54" s="264">
        <f t="shared" si="29"/>
        <v>0</v>
      </c>
      <c r="AO54" s="264">
        <f t="shared" si="29"/>
        <v>0</v>
      </c>
      <c r="AP54" s="70">
        <f t="shared" si="37"/>
        <v>0</v>
      </c>
      <c r="AQ54" s="119"/>
    </row>
    <row r="55" spans="1:45" x14ac:dyDescent="0.25">
      <c r="A55" t="s">
        <v>43</v>
      </c>
      <c r="B55" s="16" t="str">
        <f t="shared" ref="B55:D62" si="38">B37</f>
        <v>INN</v>
      </c>
      <c r="C55" s="20" t="s">
        <v>187</v>
      </c>
      <c r="D55" s="20" t="s">
        <v>384</v>
      </c>
      <c r="E55" s="20">
        <v>22</v>
      </c>
      <c r="F55" s="20">
        <v>70</v>
      </c>
      <c r="G55" s="121">
        <f t="shared" si="31"/>
        <v>0</v>
      </c>
      <c r="H55" s="121">
        <v>11</v>
      </c>
      <c r="I55" s="121">
        <v>12</v>
      </c>
      <c r="J55" s="121">
        <f t="shared" si="26"/>
        <v>2</v>
      </c>
      <c r="K55" s="121">
        <v>8</v>
      </c>
      <c r="L55" s="121">
        <v>5</v>
      </c>
      <c r="M55" s="121">
        <f t="shared" si="26"/>
        <v>2</v>
      </c>
      <c r="N55" s="51">
        <f>(8670+1165+135+125)*1.008</f>
        <v>10175.76</v>
      </c>
      <c r="O55" s="264">
        <f t="shared" si="26"/>
        <v>0</v>
      </c>
      <c r="P55" s="264">
        <v>37</v>
      </c>
      <c r="Q55" s="264">
        <v>48</v>
      </c>
      <c r="R55" s="264">
        <f t="shared" si="27"/>
        <v>0</v>
      </c>
      <c r="S55" s="264">
        <v>18</v>
      </c>
      <c r="T55" s="264">
        <v>8</v>
      </c>
      <c r="U55" s="264">
        <f t="shared" si="27"/>
        <v>0</v>
      </c>
      <c r="V55" s="70">
        <f t="shared" si="36"/>
        <v>111</v>
      </c>
      <c r="X55" t="s">
        <v>43</v>
      </c>
      <c r="Y55" s="20">
        <v>24</v>
      </c>
      <c r="Z55" s="20">
        <f>F55+(AR52*7)-112-112</f>
        <v>21</v>
      </c>
      <c r="AA55" s="121">
        <f t="shared" si="33"/>
        <v>0</v>
      </c>
      <c r="AB55" s="121">
        <f t="shared" si="28"/>
        <v>11</v>
      </c>
      <c r="AC55" s="121">
        <f t="shared" si="28"/>
        <v>12</v>
      </c>
      <c r="AD55" s="121">
        <f t="shared" si="28"/>
        <v>2</v>
      </c>
      <c r="AE55" s="121">
        <f t="shared" si="28"/>
        <v>8</v>
      </c>
      <c r="AF55" s="121">
        <f t="shared" si="28"/>
        <v>5</v>
      </c>
      <c r="AG55" s="121">
        <v>17</v>
      </c>
      <c r="AH55" s="51">
        <f>(8670+1165+135+125)*1.047</f>
        <v>10569.465</v>
      </c>
      <c r="AI55" s="264">
        <f t="shared" si="34"/>
        <v>0</v>
      </c>
      <c r="AJ55" s="264">
        <f t="shared" si="29"/>
        <v>37</v>
      </c>
      <c r="AK55" s="264">
        <f t="shared" si="29"/>
        <v>48</v>
      </c>
      <c r="AL55" s="264">
        <f t="shared" si="29"/>
        <v>0</v>
      </c>
      <c r="AM55" s="264">
        <f t="shared" si="29"/>
        <v>18</v>
      </c>
      <c r="AN55" s="264">
        <f t="shared" si="29"/>
        <v>8</v>
      </c>
      <c r="AO55" s="264">
        <f>U55+AR52</f>
        <v>25</v>
      </c>
      <c r="AP55" s="70">
        <f t="shared" si="37"/>
        <v>136</v>
      </c>
      <c r="AQ55" s="119"/>
    </row>
    <row r="56" spans="1:45" x14ac:dyDescent="0.25">
      <c r="A56" t="s">
        <v>43</v>
      </c>
      <c r="B56" s="16" t="str">
        <f t="shared" si="38"/>
        <v>INN</v>
      </c>
      <c r="C56" s="20" t="s">
        <v>0</v>
      </c>
      <c r="D56" s="20" t="s">
        <v>384</v>
      </c>
      <c r="E56" s="20">
        <v>22</v>
      </c>
      <c r="F56" s="20">
        <v>70</v>
      </c>
      <c r="G56" s="121">
        <f t="shared" si="31"/>
        <v>0</v>
      </c>
      <c r="H56" s="121">
        <v>11</v>
      </c>
      <c r="I56" s="121">
        <v>12</v>
      </c>
      <c r="J56" s="121">
        <f t="shared" si="26"/>
        <v>2</v>
      </c>
      <c r="K56" s="121">
        <v>8</v>
      </c>
      <c r="L56" s="121">
        <v>5</v>
      </c>
      <c r="M56" s="121">
        <f t="shared" si="26"/>
        <v>2</v>
      </c>
      <c r="N56" s="51">
        <f>(8670+1165+135+125)*1.008</f>
        <v>10175.76</v>
      </c>
      <c r="O56" s="264">
        <f t="shared" si="26"/>
        <v>0</v>
      </c>
      <c r="P56" s="264">
        <v>37</v>
      </c>
      <c r="Q56" s="264">
        <v>48</v>
      </c>
      <c r="R56" s="264">
        <f t="shared" si="27"/>
        <v>0</v>
      </c>
      <c r="S56" s="264">
        <v>18</v>
      </c>
      <c r="T56" s="264">
        <v>8</v>
      </c>
      <c r="U56" s="264">
        <f t="shared" si="27"/>
        <v>0</v>
      </c>
      <c r="V56" s="70">
        <f t="shared" si="36"/>
        <v>111</v>
      </c>
      <c r="X56" t="s">
        <v>43</v>
      </c>
      <c r="Y56" s="20">
        <v>24</v>
      </c>
      <c r="Z56" s="20">
        <f>F56+(AR52*7)-112-112</f>
        <v>21</v>
      </c>
      <c r="AA56" s="121">
        <f t="shared" si="33"/>
        <v>0</v>
      </c>
      <c r="AB56" s="121">
        <f t="shared" si="28"/>
        <v>11</v>
      </c>
      <c r="AC56" s="121">
        <f t="shared" si="28"/>
        <v>12</v>
      </c>
      <c r="AD56" s="121">
        <f t="shared" si="28"/>
        <v>2</v>
      </c>
      <c r="AE56" s="121">
        <f t="shared" si="28"/>
        <v>8</v>
      </c>
      <c r="AF56" s="121">
        <f t="shared" si="28"/>
        <v>5</v>
      </c>
      <c r="AG56" s="121">
        <v>17</v>
      </c>
      <c r="AH56" s="51">
        <f>(8670+1165+135+125)*1.047</f>
        <v>10569.465</v>
      </c>
      <c r="AI56" s="264">
        <f t="shared" si="34"/>
        <v>0</v>
      </c>
      <c r="AJ56" s="264">
        <f t="shared" si="29"/>
        <v>37</v>
      </c>
      <c r="AK56" s="264">
        <f t="shared" si="29"/>
        <v>48</v>
      </c>
      <c r="AL56" s="264">
        <f t="shared" si="29"/>
        <v>0</v>
      </c>
      <c r="AM56" s="264">
        <f t="shared" si="29"/>
        <v>18</v>
      </c>
      <c r="AN56" s="264">
        <f t="shared" si="29"/>
        <v>8</v>
      </c>
      <c r="AO56" s="264">
        <f>U56+AR52</f>
        <v>25</v>
      </c>
      <c r="AP56" s="70">
        <f t="shared" si="37"/>
        <v>136</v>
      </c>
      <c r="AQ56" s="119"/>
    </row>
    <row r="57" spans="1:45" x14ac:dyDescent="0.25">
      <c r="A57" t="s">
        <v>36</v>
      </c>
      <c r="B57" s="16" t="str">
        <f t="shared" si="38"/>
        <v>EXT</v>
      </c>
      <c r="C57" s="20" t="str">
        <f t="shared" si="38"/>
        <v>RAP</v>
      </c>
      <c r="D57" s="20" t="str">
        <f t="shared" si="38"/>
        <v>E. Cubas</v>
      </c>
      <c r="E57" s="20">
        <f t="shared" ref="E57:G62" si="39">Y39</f>
        <v>22</v>
      </c>
      <c r="F57" s="20">
        <f t="shared" si="39"/>
        <v>19.5</v>
      </c>
      <c r="G57" s="121">
        <f t="shared" si="39"/>
        <v>0</v>
      </c>
      <c r="H57" s="121">
        <f t="shared" si="26"/>
        <v>9</v>
      </c>
      <c r="I57" s="121">
        <f t="shared" si="26"/>
        <v>5.7</v>
      </c>
      <c r="J57" s="121">
        <f t="shared" si="26"/>
        <v>13.285714285714286</v>
      </c>
      <c r="K57" s="121">
        <f t="shared" si="26"/>
        <v>5.25</v>
      </c>
      <c r="L57" s="121">
        <f t="shared" si="26"/>
        <v>7.4</v>
      </c>
      <c r="M57" s="121">
        <f t="shared" si="26"/>
        <v>5</v>
      </c>
      <c r="N57" s="51">
        <f t="shared" si="26"/>
        <v>9398</v>
      </c>
      <c r="O57" s="264">
        <f t="shared" si="26"/>
        <v>0</v>
      </c>
      <c r="P57" s="264">
        <f t="shared" si="27"/>
        <v>30</v>
      </c>
      <c r="Q57" s="264">
        <f t="shared" si="27"/>
        <v>13</v>
      </c>
      <c r="R57" s="264">
        <f t="shared" si="27"/>
        <v>42</v>
      </c>
      <c r="S57" s="264">
        <f t="shared" si="27"/>
        <v>8</v>
      </c>
      <c r="T57" s="264">
        <f t="shared" si="27"/>
        <v>18</v>
      </c>
      <c r="U57" s="264">
        <f t="shared" si="27"/>
        <v>3</v>
      </c>
      <c r="V57" s="70">
        <f t="shared" si="36"/>
        <v>114</v>
      </c>
      <c r="X57" t="s">
        <v>36</v>
      </c>
      <c r="Y57" s="20">
        <v>23</v>
      </c>
      <c r="Z57" s="20">
        <f>F57+(AR52*7)-112</f>
        <v>82.5</v>
      </c>
      <c r="AA57" s="121">
        <f t="shared" si="33"/>
        <v>0</v>
      </c>
      <c r="AB57" s="121">
        <f t="shared" si="28"/>
        <v>9</v>
      </c>
      <c r="AC57" s="121">
        <f t="shared" si="28"/>
        <v>5.7</v>
      </c>
      <c r="AD57" s="121">
        <f t="shared" si="28"/>
        <v>13.285714285714286</v>
      </c>
      <c r="AE57" s="121">
        <f t="shared" si="28"/>
        <v>5.25</v>
      </c>
      <c r="AF57" s="121">
        <f t="shared" si="28"/>
        <v>7.4</v>
      </c>
      <c r="AG57" s="121">
        <f>17+3/4</f>
        <v>17.75</v>
      </c>
      <c r="AH57" s="51">
        <f>(155+8000+140+300+655)*1.051</f>
        <v>9721.75</v>
      </c>
      <c r="AI57" s="264">
        <f t="shared" si="34"/>
        <v>0</v>
      </c>
      <c r="AJ57" s="264">
        <f t="shared" si="29"/>
        <v>30</v>
      </c>
      <c r="AK57" s="264">
        <f t="shared" si="29"/>
        <v>13</v>
      </c>
      <c r="AL57" s="264">
        <f t="shared" si="29"/>
        <v>42</v>
      </c>
      <c r="AM57" s="264">
        <f t="shared" si="29"/>
        <v>8</v>
      </c>
      <c r="AN57" s="264">
        <f t="shared" si="29"/>
        <v>18</v>
      </c>
      <c r="AO57" s="264">
        <f>U57+AR52</f>
        <v>28</v>
      </c>
      <c r="AP57" s="70">
        <f t="shared" si="37"/>
        <v>139</v>
      </c>
      <c r="AQ57" s="119"/>
    </row>
    <row r="58" spans="1:45" x14ac:dyDescent="0.25">
      <c r="A58" t="s">
        <v>40</v>
      </c>
      <c r="B58" s="16" t="str">
        <f t="shared" si="38"/>
        <v>EXT</v>
      </c>
      <c r="C58" s="20" t="str">
        <f t="shared" si="38"/>
        <v>IMP</v>
      </c>
      <c r="D58" s="20" t="str">
        <f t="shared" si="38"/>
        <v>V. Gomis</v>
      </c>
      <c r="E58" s="20">
        <f t="shared" si="39"/>
        <v>22</v>
      </c>
      <c r="F58" s="20">
        <f t="shared" si="39"/>
        <v>23.5</v>
      </c>
      <c r="G58" s="121">
        <f t="shared" si="39"/>
        <v>0</v>
      </c>
      <c r="H58" s="121">
        <f t="shared" si="26"/>
        <v>10.777777777777779</v>
      </c>
      <c r="I58" s="121">
        <f t="shared" si="26"/>
        <v>3</v>
      </c>
      <c r="J58" s="121">
        <f t="shared" si="26"/>
        <v>12</v>
      </c>
      <c r="K58" s="121">
        <f t="shared" si="26"/>
        <v>5.2</v>
      </c>
      <c r="L58" s="121">
        <f t="shared" si="26"/>
        <v>7</v>
      </c>
      <c r="M58" s="121">
        <f t="shared" si="26"/>
        <v>3</v>
      </c>
      <c r="N58" s="51">
        <f t="shared" si="26"/>
        <v>6732.8360000000002</v>
      </c>
      <c r="O58" s="264">
        <f t="shared" si="26"/>
        <v>0</v>
      </c>
      <c r="P58" s="264">
        <f t="shared" si="27"/>
        <v>44</v>
      </c>
      <c r="Q58" s="264">
        <f t="shared" si="27"/>
        <v>3</v>
      </c>
      <c r="R58" s="264">
        <f t="shared" si="27"/>
        <v>33</v>
      </c>
      <c r="S58" s="264">
        <f t="shared" si="27"/>
        <v>8</v>
      </c>
      <c r="T58" s="264">
        <f t="shared" si="27"/>
        <v>16</v>
      </c>
      <c r="U58" s="264">
        <f t="shared" si="27"/>
        <v>1</v>
      </c>
      <c r="V58" s="70">
        <f>SUM(O58:U58)</f>
        <v>105</v>
      </c>
      <c r="X58" t="s">
        <v>40</v>
      </c>
      <c r="Y58" s="20">
        <v>23</v>
      </c>
      <c r="Z58" s="20">
        <f>F58+(AR52*7)-112</f>
        <v>86.5</v>
      </c>
      <c r="AA58" s="121">
        <f t="shared" si="33"/>
        <v>0</v>
      </c>
      <c r="AB58" s="121">
        <f t="shared" si="28"/>
        <v>10.777777777777779</v>
      </c>
      <c r="AC58" s="121">
        <f t="shared" si="28"/>
        <v>3</v>
      </c>
      <c r="AD58" s="121">
        <f t="shared" si="28"/>
        <v>12</v>
      </c>
      <c r="AE58" s="121">
        <f t="shared" si="28"/>
        <v>5.2</v>
      </c>
      <c r="AF58" s="121">
        <f t="shared" si="28"/>
        <v>7</v>
      </c>
      <c r="AG58" s="121">
        <f>17+1/4</f>
        <v>17.25</v>
      </c>
      <c r="AH58" s="51">
        <f>(1800+138+4470+245)*1.05</f>
        <v>6985.6500000000005</v>
      </c>
      <c r="AI58" s="264">
        <f t="shared" si="34"/>
        <v>0</v>
      </c>
      <c r="AJ58" s="264">
        <f t="shared" si="29"/>
        <v>44</v>
      </c>
      <c r="AK58" s="264">
        <f t="shared" si="29"/>
        <v>3</v>
      </c>
      <c r="AL58" s="264">
        <f t="shared" si="29"/>
        <v>33</v>
      </c>
      <c r="AM58" s="264">
        <f t="shared" si="29"/>
        <v>8</v>
      </c>
      <c r="AN58" s="264">
        <f t="shared" si="29"/>
        <v>16</v>
      </c>
      <c r="AO58" s="264">
        <f>U58+AR52</f>
        <v>26</v>
      </c>
      <c r="AP58" s="70">
        <f>SUM(AI58:AO58)</f>
        <v>130</v>
      </c>
      <c r="AQ58" s="119"/>
    </row>
    <row r="59" spans="1:45" x14ac:dyDescent="0.25">
      <c r="A59" t="s">
        <v>34</v>
      </c>
      <c r="B59" s="16" t="str">
        <f t="shared" si="38"/>
        <v>EXT</v>
      </c>
      <c r="C59" s="20" t="str">
        <f t="shared" si="38"/>
        <v>IMP</v>
      </c>
      <c r="D59" s="20" t="str">
        <f t="shared" si="38"/>
        <v>J.G. Peñuela</v>
      </c>
      <c r="E59" s="20">
        <f t="shared" si="39"/>
        <v>22</v>
      </c>
      <c r="F59" s="20">
        <f t="shared" si="39"/>
        <v>19.5</v>
      </c>
      <c r="G59" s="121">
        <f t="shared" si="39"/>
        <v>0</v>
      </c>
      <c r="H59" s="121">
        <f t="shared" si="26"/>
        <v>9.4285714285714288</v>
      </c>
      <c r="I59" s="121">
        <f t="shared" si="26"/>
        <v>5</v>
      </c>
      <c r="J59" s="121">
        <f t="shared" si="26"/>
        <v>12.285714285714286</v>
      </c>
      <c r="K59" s="121">
        <f t="shared" si="26"/>
        <v>4</v>
      </c>
      <c r="L59" s="121">
        <f t="shared" si="26"/>
        <v>7.4</v>
      </c>
      <c r="M59" s="121">
        <f t="shared" si="26"/>
        <v>3</v>
      </c>
      <c r="N59" s="51">
        <f t="shared" si="26"/>
        <v>6512.22</v>
      </c>
      <c r="O59" s="264">
        <f t="shared" si="26"/>
        <v>0</v>
      </c>
      <c r="P59" s="264">
        <f t="shared" si="27"/>
        <v>33</v>
      </c>
      <c r="Q59" s="264">
        <f t="shared" si="27"/>
        <v>9</v>
      </c>
      <c r="R59" s="264">
        <f t="shared" si="27"/>
        <v>35</v>
      </c>
      <c r="S59" s="264">
        <f t="shared" si="27"/>
        <v>4</v>
      </c>
      <c r="T59" s="264">
        <f t="shared" si="27"/>
        <v>18</v>
      </c>
      <c r="U59" s="264">
        <f t="shared" si="27"/>
        <v>1</v>
      </c>
      <c r="V59" s="70">
        <f>SUM(O59:U59)</f>
        <v>100</v>
      </c>
      <c r="X59" t="s">
        <v>34</v>
      </c>
      <c r="Y59" s="20">
        <v>23</v>
      </c>
      <c r="Z59" s="20">
        <f>F59+(AR52*7)-112</f>
        <v>82.5</v>
      </c>
      <c r="AA59" s="121">
        <f t="shared" si="33"/>
        <v>0</v>
      </c>
      <c r="AB59" s="121">
        <f t="shared" si="28"/>
        <v>9.4285714285714288</v>
      </c>
      <c r="AC59" s="121">
        <f t="shared" si="28"/>
        <v>5</v>
      </c>
      <c r="AD59" s="121">
        <f t="shared" si="28"/>
        <v>12.285714285714286</v>
      </c>
      <c r="AE59" s="121">
        <f t="shared" si="28"/>
        <v>4</v>
      </c>
      <c r="AF59" s="121">
        <f t="shared" si="28"/>
        <v>7.4</v>
      </c>
      <c r="AG59" s="121">
        <f>17+1/4</f>
        <v>17.25</v>
      </c>
      <c r="AH59" s="51">
        <f>(135+5000+125+300+875)*1.05</f>
        <v>6756.75</v>
      </c>
      <c r="AI59" s="264">
        <f t="shared" si="34"/>
        <v>0</v>
      </c>
      <c r="AJ59" s="264">
        <f t="shared" si="29"/>
        <v>33</v>
      </c>
      <c r="AK59" s="264">
        <f t="shared" si="29"/>
        <v>9</v>
      </c>
      <c r="AL59" s="264">
        <f t="shared" si="29"/>
        <v>35</v>
      </c>
      <c r="AM59" s="264">
        <f t="shared" si="29"/>
        <v>4</v>
      </c>
      <c r="AN59" s="264">
        <f t="shared" si="29"/>
        <v>18</v>
      </c>
      <c r="AO59" s="264">
        <f>U59+AR52</f>
        <v>26</v>
      </c>
      <c r="AP59" s="70">
        <f>SUM(AI59:AO59)</f>
        <v>125</v>
      </c>
      <c r="AQ59" s="119"/>
    </row>
    <row r="60" spans="1:45" x14ac:dyDescent="0.25">
      <c r="A60" t="s">
        <v>42</v>
      </c>
      <c r="B60" s="16" t="str">
        <f t="shared" si="38"/>
        <v>DAV</v>
      </c>
      <c r="C60" s="20" t="s">
        <v>0</v>
      </c>
      <c r="D60" s="20" t="s">
        <v>386</v>
      </c>
      <c r="E60" s="20">
        <v>22</v>
      </c>
      <c r="F60" s="20">
        <v>64</v>
      </c>
      <c r="G60" s="121">
        <f t="shared" si="39"/>
        <v>0</v>
      </c>
      <c r="H60" s="121">
        <f t="shared" si="26"/>
        <v>2</v>
      </c>
      <c r="I60" s="121">
        <f t="shared" si="26"/>
        <v>2</v>
      </c>
      <c r="J60" s="121">
        <v>8</v>
      </c>
      <c r="K60" s="121">
        <v>8</v>
      </c>
      <c r="L60" s="121">
        <v>13</v>
      </c>
      <c r="M60" s="121">
        <v>10</v>
      </c>
      <c r="N60" s="51">
        <f>(12930+275+135)*1.023</f>
        <v>13646.819999999998</v>
      </c>
      <c r="O60" s="264">
        <f t="shared" si="26"/>
        <v>0</v>
      </c>
      <c r="P60" s="264">
        <f t="shared" si="27"/>
        <v>0</v>
      </c>
      <c r="Q60" s="264">
        <f t="shared" si="27"/>
        <v>0</v>
      </c>
      <c r="R60" s="264">
        <v>15</v>
      </c>
      <c r="S60" s="264">
        <v>18</v>
      </c>
      <c r="T60" s="264">
        <v>59</v>
      </c>
      <c r="U60" s="264">
        <v>8</v>
      </c>
      <c r="V60" s="70">
        <f t="shared" ref="V60:V62" si="40">SUM(O60:U60)</f>
        <v>100</v>
      </c>
      <c r="X60" t="s">
        <v>42</v>
      </c>
      <c r="Y60" s="20">
        <v>24</v>
      </c>
      <c r="Z60" s="20">
        <f>F60+(AR52*7)-112-112</f>
        <v>15</v>
      </c>
      <c r="AA60" s="121">
        <f t="shared" si="33"/>
        <v>0</v>
      </c>
      <c r="AB60" s="121">
        <f t="shared" si="28"/>
        <v>2</v>
      </c>
      <c r="AC60" s="121">
        <f t="shared" si="28"/>
        <v>2</v>
      </c>
      <c r="AD60" s="121">
        <f t="shared" si="28"/>
        <v>8</v>
      </c>
      <c r="AE60" s="121">
        <f t="shared" si="28"/>
        <v>8</v>
      </c>
      <c r="AF60" s="121">
        <f t="shared" si="28"/>
        <v>13</v>
      </c>
      <c r="AG60" s="121">
        <v>19</v>
      </c>
      <c r="AH60" s="51">
        <f>(12930+275+135)*1.06</f>
        <v>14140.400000000001</v>
      </c>
      <c r="AI60" s="264">
        <f t="shared" si="34"/>
        <v>0</v>
      </c>
      <c r="AJ60" s="264">
        <f t="shared" si="29"/>
        <v>0</v>
      </c>
      <c r="AK60" s="264">
        <f t="shared" si="29"/>
        <v>0</v>
      </c>
      <c r="AL60" s="264">
        <f t="shared" si="29"/>
        <v>15</v>
      </c>
      <c r="AM60" s="264">
        <f t="shared" si="29"/>
        <v>18</v>
      </c>
      <c r="AN60" s="264">
        <f t="shared" si="29"/>
        <v>59</v>
      </c>
      <c r="AO60" s="264">
        <f>U60+AR52</f>
        <v>33</v>
      </c>
      <c r="AP60" s="70">
        <f t="shared" ref="AP60:AP62" si="41">SUM(AI60:AO60)</f>
        <v>125</v>
      </c>
      <c r="AQ60" s="119"/>
    </row>
    <row r="61" spans="1:45" x14ac:dyDescent="0.25">
      <c r="A61" t="s">
        <v>46</v>
      </c>
      <c r="B61" s="16" t="str">
        <f t="shared" si="38"/>
        <v>DAV</v>
      </c>
      <c r="C61" s="20" t="s">
        <v>45</v>
      </c>
      <c r="D61" s="20" t="s">
        <v>386</v>
      </c>
      <c r="E61" s="20">
        <v>22</v>
      </c>
      <c r="F61" s="20">
        <v>64</v>
      </c>
      <c r="G61" s="121">
        <f t="shared" si="39"/>
        <v>0</v>
      </c>
      <c r="H61" s="121">
        <f t="shared" si="26"/>
        <v>2</v>
      </c>
      <c r="I61" s="121">
        <f t="shared" si="26"/>
        <v>2</v>
      </c>
      <c r="J61" s="121">
        <v>8</v>
      </c>
      <c r="K61" s="121">
        <v>8</v>
      </c>
      <c r="L61" s="121">
        <v>13</v>
      </c>
      <c r="M61" s="121">
        <v>10</v>
      </c>
      <c r="N61" s="51">
        <f>(12930+275+135)*1.023</f>
        <v>13646.819999999998</v>
      </c>
      <c r="O61" s="264">
        <f t="shared" si="26"/>
        <v>0</v>
      </c>
      <c r="P61" s="264">
        <f t="shared" si="27"/>
        <v>0</v>
      </c>
      <c r="Q61" s="264">
        <f t="shared" si="27"/>
        <v>0</v>
      </c>
      <c r="R61" s="264">
        <v>15</v>
      </c>
      <c r="S61" s="264">
        <v>18</v>
      </c>
      <c r="T61" s="264">
        <v>59</v>
      </c>
      <c r="U61" s="264">
        <v>8</v>
      </c>
      <c r="V61" s="70">
        <f t="shared" si="40"/>
        <v>100</v>
      </c>
      <c r="X61" t="s">
        <v>46</v>
      </c>
      <c r="Y61" s="20">
        <v>24</v>
      </c>
      <c r="Z61" s="20">
        <f>F61+(AR52*7)-112-112</f>
        <v>15</v>
      </c>
      <c r="AA61" s="121">
        <f t="shared" si="33"/>
        <v>0</v>
      </c>
      <c r="AB61" s="121">
        <f t="shared" si="28"/>
        <v>2</v>
      </c>
      <c r="AC61" s="121">
        <f t="shared" si="28"/>
        <v>2</v>
      </c>
      <c r="AD61" s="121">
        <f t="shared" si="28"/>
        <v>8</v>
      </c>
      <c r="AE61" s="121">
        <f t="shared" si="28"/>
        <v>8</v>
      </c>
      <c r="AF61" s="121">
        <f t="shared" si="28"/>
        <v>13</v>
      </c>
      <c r="AG61" s="121">
        <v>19</v>
      </c>
      <c r="AH61" s="51">
        <f>(12930+275+135)*1.06</f>
        <v>14140.400000000001</v>
      </c>
      <c r="AI61" s="264">
        <f t="shared" si="34"/>
        <v>0</v>
      </c>
      <c r="AJ61" s="264">
        <f t="shared" si="29"/>
        <v>0</v>
      </c>
      <c r="AK61" s="264">
        <f t="shared" si="29"/>
        <v>0</v>
      </c>
      <c r="AL61" s="264">
        <f t="shared" si="29"/>
        <v>15</v>
      </c>
      <c r="AM61" s="264">
        <f t="shared" si="29"/>
        <v>18</v>
      </c>
      <c r="AN61" s="264">
        <f t="shared" si="29"/>
        <v>59</v>
      </c>
      <c r="AO61" s="264">
        <f>U61+AR52</f>
        <v>33</v>
      </c>
      <c r="AP61" s="70">
        <f t="shared" si="41"/>
        <v>125</v>
      </c>
      <c r="AQ61" s="119"/>
    </row>
    <row r="62" spans="1:45" x14ac:dyDescent="0.25">
      <c r="A62" t="s">
        <v>383</v>
      </c>
      <c r="B62" s="16" t="str">
        <f t="shared" si="38"/>
        <v>DAV</v>
      </c>
      <c r="C62" s="20" t="s">
        <v>344</v>
      </c>
      <c r="D62" s="20" t="s">
        <v>386</v>
      </c>
      <c r="E62" s="20">
        <v>22</v>
      </c>
      <c r="F62" s="20">
        <v>64</v>
      </c>
      <c r="G62" s="121">
        <f t="shared" si="39"/>
        <v>0</v>
      </c>
      <c r="H62" s="121">
        <f t="shared" si="26"/>
        <v>2</v>
      </c>
      <c r="I62" s="121">
        <f t="shared" si="26"/>
        <v>2</v>
      </c>
      <c r="J62" s="121">
        <v>8</v>
      </c>
      <c r="K62" s="121">
        <v>8</v>
      </c>
      <c r="L62" s="121">
        <v>13</v>
      </c>
      <c r="M62" s="121">
        <v>10</v>
      </c>
      <c r="N62" s="51">
        <f>(12930+275+135)*1.023</f>
        <v>13646.819999999998</v>
      </c>
      <c r="O62" s="264">
        <f t="shared" si="26"/>
        <v>0</v>
      </c>
      <c r="P62" s="264">
        <f t="shared" si="27"/>
        <v>0</v>
      </c>
      <c r="Q62" s="264">
        <f t="shared" si="27"/>
        <v>0</v>
      </c>
      <c r="R62" s="264">
        <v>15</v>
      </c>
      <c r="S62" s="264">
        <v>18</v>
      </c>
      <c r="T62" s="264">
        <v>59</v>
      </c>
      <c r="U62" s="264">
        <v>8</v>
      </c>
      <c r="V62" s="70">
        <f t="shared" si="40"/>
        <v>100</v>
      </c>
      <c r="X62" t="s">
        <v>383</v>
      </c>
      <c r="Y62" s="20">
        <v>24</v>
      </c>
      <c r="Z62" s="20">
        <f>F62+(AR52*7)-112-112</f>
        <v>15</v>
      </c>
      <c r="AA62" s="121">
        <f t="shared" si="33"/>
        <v>0</v>
      </c>
      <c r="AB62" s="121">
        <f t="shared" si="28"/>
        <v>2</v>
      </c>
      <c r="AC62" s="121">
        <f t="shared" si="28"/>
        <v>2</v>
      </c>
      <c r="AD62" s="121">
        <f t="shared" si="28"/>
        <v>8</v>
      </c>
      <c r="AE62" s="121">
        <f t="shared" si="28"/>
        <v>8</v>
      </c>
      <c r="AF62" s="121">
        <f t="shared" si="28"/>
        <v>13</v>
      </c>
      <c r="AG62" s="121">
        <v>19</v>
      </c>
      <c r="AH62" s="51">
        <f>(12930+275+135)*1.06</f>
        <v>14140.400000000001</v>
      </c>
      <c r="AI62" s="264">
        <f t="shared" si="34"/>
        <v>0</v>
      </c>
      <c r="AJ62" s="264">
        <f t="shared" si="29"/>
        <v>0</v>
      </c>
      <c r="AK62" s="264">
        <f t="shared" si="29"/>
        <v>0</v>
      </c>
      <c r="AL62" s="264">
        <f t="shared" si="29"/>
        <v>15</v>
      </c>
      <c r="AM62" s="264">
        <f t="shared" si="29"/>
        <v>18</v>
      </c>
      <c r="AN62" s="264">
        <f t="shared" si="29"/>
        <v>59</v>
      </c>
      <c r="AO62" s="264">
        <f>U62+AR52</f>
        <v>33</v>
      </c>
      <c r="AP62" s="70">
        <f t="shared" si="41"/>
        <v>125</v>
      </c>
      <c r="AQ62" s="119"/>
    </row>
    <row r="63" spans="1:45" x14ac:dyDescent="0.25">
      <c r="AQ63" s="119"/>
    </row>
    <row r="64" spans="1:45" x14ac:dyDescent="0.25">
      <c r="AQ64" s="119"/>
    </row>
    <row r="65" spans="43:43" x14ac:dyDescent="0.25">
      <c r="AQ65" s="119"/>
    </row>
    <row r="66" spans="43:43" x14ac:dyDescent="0.25">
      <c r="AQ66" s="119"/>
    </row>
    <row r="67" spans="43:43" x14ac:dyDescent="0.25">
      <c r="AQ67" s="119"/>
    </row>
    <row r="68" spans="43:43" x14ac:dyDescent="0.25">
      <c r="AQ68" s="119"/>
    </row>
    <row r="69" spans="43:43" x14ac:dyDescent="0.25">
      <c r="AQ69" s="119"/>
    </row>
    <row r="70" spans="43:43" x14ac:dyDescent="0.25">
      <c r="AQ70" s="119"/>
    </row>
    <row r="71" spans="43:43" x14ac:dyDescent="0.25">
      <c r="AQ71" s="119"/>
    </row>
    <row r="72" spans="43:43" x14ac:dyDescent="0.25">
      <c r="AQ72" s="119"/>
    </row>
    <row r="73" spans="43:43" x14ac:dyDescent="0.25">
      <c r="AQ73" s="119"/>
    </row>
    <row r="74" spans="43:43" x14ac:dyDescent="0.25">
      <c r="AQ74" s="119"/>
    </row>
    <row r="75" spans="43:43" x14ac:dyDescent="0.25">
      <c r="AQ75" s="119"/>
    </row>
    <row r="76" spans="43:43" x14ac:dyDescent="0.25">
      <c r="AQ76" s="119"/>
    </row>
    <row r="77" spans="43:43" x14ac:dyDescent="0.25">
      <c r="AQ77" s="119"/>
    </row>
    <row r="78" spans="43:43" x14ac:dyDescent="0.25">
      <c r="AQ78" s="119"/>
    </row>
    <row r="79" spans="43:43" x14ac:dyDescent="0.25">
      <c r="AQ79" s="119"/>
    </row>
    <row r="80" spans="43:43" x14ac:dyDescent="0.25">
      <c r="AQ80" s="119"/>
    </row>
    <row r="81" spans="43:43" x14ac:dyDescent="0.25">
      <c r="AQ81" s="119"/>
    </row>
    <row r="82" spans="43:43" x14ac:dyDescent="0.25">
      <c r="AQ82" s="119"/>
    </row>
    <row r="83" spans="43:43" x14ac:dyDescent="0.25">
      <c r="AQ83" s="119"/>
    </row>
    <row r="84" spans="43:43" x14ac:dyDescent="0.25">
      <c r="AQ84" s="119"/>
    </row>
    <row r="85" spans="43:43" x14ac:dyDescent="0.25">
      <c r="AQ85" s="119"/>
    </row>
    <row r="86" spans="43:43" x14ac:dyDescent="0.25">
      <c r="AQ86" s="119"/>
    </row>
    <row r="87" spans="43:43" x14ac:dyDescent="0.25">
      <c r="AQ87" s="119"/>
    </row>
    <row r="88" spans="43:43" x14ac:dyDescent="0.25">
      <c r="AQ88" s="119"/>
    </row>
    <row r="89" spans="43:43" x14ac:dyDescent="0.25">
      <c r="AQ89" s="119"/>
    </row>
    <row r="90" spans="43:43" x14ac:dyDescent="0.25">
      <c r="AQ90" s="119"/>
    </row>
    <row r="91" spans="43:43" x14ac:dyDescent="0.25">
      <c r="AQ91" s="119"/>
    </row>
    <row r="92" spans="43:43" x14ac:dyDescent="0.25">
      <c r="AQ92" s="119"/>
    </row>
    <row r="93" spans="43:43" x14ac:dyDescent="0.25">
      <c r="AQ93" s="119"/>
    </row>
    <row r="94" spans="43:43" x14ac:dyDescent="0.25">
      <c r="AQ94" s="119"/>
    </row>
    <row r="95" spans="43:43" x14ac:dyDescent="0.25">
      <c r="AQ95" s="119"/>
    </row>
    <row r="96" spans="43:43" x14ac:dyDescent="0.25">
      <c r="AQ96" s="119"/>
    </row>
    <row r="97" spans="43:43" x14ac:dyDescent="0.25">
      <c r="AQ97" s="119"/>
    </row>
    <row r="98" spans="43:43" x14ac:dyDescent="0.25">
      <c r="AQ98" s="119"/>
    </row>
    <row r="99" spans="43:43" x14ac:dyDescent="0.25">
      <c r="AQ99" s="119"/>
    </row>
    <row r="100" spans="43:43" x14ac:dyDescent="0.25">
      <c r="AQ100" s="119"/>
    </row>
    <row r="101" spans="43:43" x14ac:dyDescent="0.25">
      <c r="AQ101" s="119"/>
    </row>
    <row r="102" spans="43:43" x14ac:dyDescent="0.25">
      <c r="AQ102" s="119"/>
    </row>
    <row r="103" spans="43:43" x14ac:dyDescent="0.25">
      <c r="AQ103" s="119"/>
    </row>
    <row r="104" spans="43:43" x14ac:dyDescent="0.25">
      <c r="AQ104" s="119"/>
    </row>
    <row r="105" spans="43:43" x14ac:dyDescent="0.25">
      <c r="AQ105" s="119"/>
    </row>
    <row r="106" spans="43:43" x14ac:dyDescent="0.25">
      <c r="AQ106" s="119"/>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baseColWidth="10" defaultRowHeight="15" x14ac:dyDescent="0.25"/>
  <cols>
    <col min="1" max="1" width="7.7109375" style="235" bestFit="1" customWidth="1"/>
    <col min="2" max="2" width="7.7109375" style="235" customWidth="1"/>
    <col min="3" max="3" width="17.85546875" style="235" bestFit="1" customWidth="1"/>
    <col min="4" max="4" width="18.28515625" style="235" bestFit="1" customWidth="1"/>
    <col min="5" max="5" width="11.42578125" style="235"/>
    <col min="6" max="6" width="13" style="235" bestFit="1" customWidth="1"/>
    <col min="7" max="8" width="10.28515625" style="235" bestFit="1" customWidth="1"/>
  </cols>
  <sheetData>
    <row r="1" spans="1:11" ht="15.75" x14ac:dyDescent="0.25">
      <c r="A1" s="236" t="s">
        <v>320</v>
      </c>
      <c r="B1" s="236" t="s">
        <v>326</v>
      </c>
      <c r="C1" s="236" t="s">
        <v>321</v>
      </c>
      <c r="D1" s="236" t="s">
        <v>325</v>
      </c>
      <c r="E1" s="236" t="s">
        <v>322</v>
      </c>
      <c r="F1" s="236" t="s">
        <v>317</v>
      </c>
      <c r="G1" s="236" t="s">
        <v>318</v>
      </c>
      <c r="H1" s="236" t="s">
        <v>319</v>
      </c>
    </row>
    <row r="2" spans="1:11" x14ac:dyDescent="0.25">
      <c r="A2" s="235">
        <v>54</v>
      </c>
      <c r="B2" s="235" t="s">
        <v>327</v>
      </c>
      <c r="C2" s="235" t="s">
        <v>323</v>
      </c>
      <c r="D2" s="237">
        <v>0.17499999999999999</v>
      </c>
      <c r="E2" s="71">
        <v>0.3</v>
      </c>
      <c r="F2" s="235">
        <f>Empleados!L5</f>
        <v>-0.31299999999999994</v>
      </c>
      <c r="G2" s="50">
        <f>Empleados!M5</f>
        <v>-5.0079999999999991</v>
      </c>
      <c r="H2" s="50">
        <f>Empleados!N5</f>
        <v>-35.055999999999997</v>
      </c>
    </row>
    <row r="3" spans="1:11" x14ac:dyDescent="0.25">
      <c r="A3" s="235">
        <v>55</v>
      </c>
      <c r="B3" s="235" t="s">
        <v>328</v>
      </c>
      <c r="C3" s="235" t="s">
        <v>323</v>
      </c>
      <c r="D3" s="71">
        <v>0.35</v>
      </c>
      <c r="E3" s="71">
        <v>0.05</v>
      </c>
      <c r="F3" s="235">
        <f>Empleados!L9</f>
        <v>0.1120000000000001</v>
      </c>
      <c r="G3" s="50">
        <f>Empleados!M9</f>
        <v>1.7920000000000016</v>
      </c>
      <c r="H3" s="50">
        <f>Empleados!N9</f>
        <v>12.544000000000011</v>
      </c>
      <c r="K3" s="40">
        <f>SUM(H3:H13)</f>
        <v>163.744</v>
      </c>
    </row>
    <row r="4" spans="1:11" x14ac:dyDescent="0.25">
      <c r="A4" s="235">
        <v>56</v>
      </c>
      <c r="B4" s="235" t="s">
        <v>329</v>
      </c>
      <c r="C4" s="235" t="s">
        <v>324</v>
      </c>
      <c r="D4" s="71">
        <v>0.35</v>
      </c>
      <c r="E4" s="71">
        <v>0.05</v>
      </c>
      <c r="F4" s="235">
        <f>Empleados!L6</f>
        <v>0.16500000000000004</v>
      </c>
      <c r="G4" s="50">
        <f>Empleados!M6</f>
        <v>2.6400000000000006</v>
      </c>
      <c r="H4" s="50">
        <f>Empleados!N6</f>
        <v>18.480000000000004</v>
      </c>
      <c r="J4" s="40">
        <f>SUM(H4:H13)</f>
        <v>151.19999999999999</v>
      </c>
    </row>
    <row r="5" spans="1:11" x14ac:dyDescent="0.25">
      <c r="A5" s="235">
        <v>57</v>
      </c>
      <c r="B5" s="235" t="s">
        <v>330</v>
      </c>
      <c r="C5" s="235" t="s">
        <v>324</v>
      </c>
      <c r="D5" s="71">
        <v>0.35</v>
      </c>
      <c r="E5" s="71">
        <v>0.05</v>
      </c>
      <c r="F5" s="235">
        <f>F4</f>
        <v>0.16500000000000004</v>
      </c>
      <c r="G5" s="50">
        <f t="shared" ref="G5:H5" si="0">G4</f>
        <v>2.6400000000000006</v>
      </c>
      <c r="H5" s="50">
        <f t="shared" si="0"/>
        <v>18.480000000000004</v>
      </c>
      <c r="I5" s="40">
        <f>SUM(H5:H13)</f>
        <v>132.72</v>
      </c>
    </row>
    <row r="6" spans="1:11" x14ac:dyDescent="0.25">
      <c r="A6" s="235">
        <v>58</v>
      </c>
      <c r="B6" s="235" t="s">
        <v>331</v>
      </c>
      <c r="C6" s="235" t="s">
        <v>324</v>
      </c>
      <c r="D6" s="71">
        <v>0.35</v>
      </c>
      <c r="E6" s="71">
        <v>0.05</v>
      </c>
      <c r="F6" s="235">
        <f t="shared" ref="F6:F7" si="1">F5</f>
        <v>0.16500000000000004</v>
      </c>
      <c r="G6" s="50">
        <f t="shared" ref="G6:G7" si="2">G5</f>
        <v>2.6400000000000006</v>
      </c>
      <c r="H6" s="50">
        <f t="shared" ref="H6:H7" si="3">H5</f>
        <v>18.480000000000004</v>
      </c>
    </row>
    <row r="7" spans="1:11" x14ac:dyDescent="0.25">
      <c r="A7" s="235">
        <v>59</v>
      </c>
      <c r="B7" s="235" t="s">
        <v>332</v>
      </c>
      <c r="C7" s="235" t="s">
        <v>324</v>
      </c>
      <c r="D7" s="71">
        <v>0.35</v>
      </c>
      <c r="E7" s="71">
        <v>0.05</v>
      </c>
      <c r="F7" s="235">
        <f t="shared" si="1"/>
        <v>0.16500000000000004</v>
      </c>
      <c r="G7" s="50">
        <f t="shared" si="2"/>
        <v>2.6400000000000006</v>
      </c>
      <c r="H7" s="50">
        <f t="shared" si="3"/>
        <v>18.480000000000004</v>
      </c>
    </row>
    <row r="8" spans="1:11" x14ac:dyDescent="0.25">
      <c r="A8" s="235">
        <v>60</v>
      </c>
      <c r="B8" s="235" t="s">
        <v>333</v>
      </c>
      <c r="C8" s="235" t="s">
        <v>324</v>
      </c>
      <c r="D8" s="71">
        <v>0.35</v>
      </c>
      <c r="E8" s="71">
        <v>0.1</v>
      </c>
      <c r="F8" s="235">
        <f>Empleados!L8</f>
        <v>0.11499999999999999</v>
      </c>
      <c r="G8" s="235">
        <f>Empleados!M8</f>
        <v>1.8399999999999999</v>
      </c>
      <c r="H8" s="235">
        <f>Empleados!N8</f>
        <v>12.879999999999999</v>
      </c>
    </row>
    <row r="9" spans="1:11" x14ac:dyDescent="0.25">
      <c r="A9" s="235">
        <v>61</v>
      </c>
      <c r="B9" s="235" t="s">
        <v>334</v>
      </c>
      <c r="C9" s="235" t="s">
        <v>324</v>
      </c>
      <c r="D9" s="71">
        <v>0.35</v>
      </c>
      <c r="E9" s="71">
        <v>0.1</v>
      </c>
      <c r="F9" s="235">
        <f>F8</f>
        <v>0.11499999999999999</v>
      </c>
      <c r="G9" s="235">
        <f t="shared" ref="G9:H9" si="4">G8</f>
        <v>1.8399999999999999</v>
      </c>
      <c r="H9" s="235">
        <f t="shared" si="4"/>
        <v>12.879999999999999</v>
      </c>
    </row>
    <row r="10" spans="1:11" x14ac:dyDescent="0.25">
      <c r="A10" s="235">
        <v>62</v>
      </c>
      <c r="B10" s="235" t="s">
        <v>335</v>
      </c>
      <c r="C10" s="235" t="s">
        <v>324</v>
      </c>
      <c r="D10" s="71">
        <v>0.35</v>
      </c>
      <c r="E10" s="71">
        <v>0.1</v>
      </c>
      <c r="F10" s="235">
        <f t="shared" ref="F10:F13" si="5">F9</f>
        <v>0.11499999999999999</v>
      </c>
      <c r="G10" s="235">
        <f t="shared" ref="G10:G13" si="6">G9</f>
        <v>1.8399999999999999</v>
      </c>
      <c r="H10" s="235">
        <f t="shared" ref="H10:H13" si="7">H9</f>
        <v>12.879999999999999</v>
      </c>
    </row>
    <row r="11" spans="1:11" x14ac:dyDescent="0.25">
      <c r="A11" s="235">
        <v>63</v>
      </c>
      <c r="B11" s="235" t="s">
        <v>336</v>
      </c>
      <c r="C11" s="235" t="s">
        <v>324</v>
      </c>
      <c r="D11" s="71">
        <v>0.35</v>
      </c>
      <c r="E11" s="71">
        <v>0.1</v>
      </c>
      <c r="F11" s="235">
        <f t="shared" si="5"/>
        <v>0.11499999999999999</v>
      </c>
      <c r="G11" s="235">
        <f t="shared" si="6"/>
        <v>1.8399999999999999</v>
      </c>
      <c r="H11" s="235">
        <f t="shared" si="7"/>
        <v>12.879999999999999</v>
      </c>
    </row>
    <row r="12" spans="1:11" x14ac:dyDescent="0.25">
      <c r="A12" s="235">
        <v>64</v>
      </c>
      <c r="B12" s="235" t="s">
        <v>337</v>
      </c>
      <c r="C12" s="235" t="s">
        <v>324</v>
      </c>
      <c r="D12" s="71">
        <v>0.35</v>
      </c>
      <c r="E12" s="71">
        <v>0.1</v>
      </c>
      <c r="F12" s="235">
        <f t="shared" si="5"/>
        <v>0.11499999999999999</v>
      </c>
      <c r="G12" s="235">
        <f t="shared" si="6"/>
        <v>1.8399999999999999</v>
      </c>
      <c r="H12" s="235">
        <f t="shared" si="7"/>
        <v>12.879999999999999</v>
      </c>
    </row>
    <row r="13" spans="1:11" x14ac:dyDescent="0.25">
      <c r="A13" s="235">
        <v>65</v>
      </c>
      <c r="B13" s="235" t="s">
        <v>338</v>
      </c>
      <c r="C13" s="235" t="s">
        <v>324</v>
      </c>
      <c r="D13" s="71">
        <v>0.35</v>
      </c>
      <c r="E13" s="71">
        <v>0.1</v>
      </c>
      <c r="F13" s="235">
        <f t="shared" si="5"/>
        <v>0.11499999999999999</v>
      </c>
      <c r="G13" s="235">
        <f t="shared" si="6"/>
        <v>1.8399999999999999</v>
      </c>
      <c r="H13" s="235">
        <f t="shared" si="7"/>
        <v>12.879999999999999</v>
      </c>
    </row>
    <row r="14" spans="1:11" x14ac:dyDescent="0.25">
      <c r="A14" s="235">
        <v>66</v>
      </c>
      <c r="B14" s="235" t="s">
        <v>339</v>
      </c>
      <c r="C14" s="235" t="s">
        <v>324</v>
      </c>
      <c r="D14" s="237">
        <v>0.17499999999999999</v>
      </c>
      <c r="E14" s="71">
        <v>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8"/>
  <sheetViews>
    <sheetView zoomScaleNormal="100" workbookViewId="0">
      <pane xSplit="4" ySplit="3" topLeftCell="E4" activePane="bottomRight" state="frozen"/>
      <selection pane="topRight" activeCell="E1" sqref="E1"/>
      <selection pane="bottomLeft" activeCell="A4" sqref="A4"/>
      <selection pane="bottomRight" activeCell="D31" sqref="D30:D31"/>
    </sheetView>
  </sheetViews>
  <sheetFormatPr baseColWidth="10" defaultColWidth="9.140625" defaultRowHeight="15" x14ac:dyDescent="0.25"/>
  <cols>
    <col min="1" max="1" width="4.7109375" bestFit="1" customWidth="1"/>
    <col min="2" max="2" width="4.85546875" bestFit="1" customWidth="1"/>
    <col min="3" max="3" width="6.140625" bestFit="1" customWidth="1"/>
    <col min="4" max="4" width="22"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2"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3">
        <v>42268</v>
      </c>
      <c r="AO1" t="s">
        <v>194</v>
      </c>
    </row>
    <row r="2" spans="1:45" x14ac:dyDescent="0.25">
      <c r="D2" s="33">
        <f ca="1">TODAY()</f>
        <v>43082</v>
      </c>
      <c r="I2" s="35">
        <f>AVERAGE(I18:I24)</f>
        <v>9.6142857142857139</v>
      </c>
      <c r="J2" s="35"/>
      <c r="N2" s="40">
        <f ca="1">AVERAGE(N18:N24)</f>
        <v>0.87689776691136834</v>
      </c>
      <c r="O2" s="35">
        <f>AVERAGE(O18:O24)</f>
        <v>7.1571428571428566</v>
      </c>
      <c r="Q2" s="35">
        <f>AVERAGE(Q18:Q24)</f>
        <v>5.4285714285714288</v>
      </c>
      <c r="R2" s="127">
        <f>AVERAGE(R18:R24)</f>
        <v>0.87757598710701523</v>
      </c>
      <c r="S2" s="127">
        <f>AVERAGE(S18:S24)</f>
        <v>0.94543205419198995</v>
      </c>
      <c r="T2" s="41">
        <f>SUM(T18:T24)</f>
        <v>798330</v>
      </c>
      <c r="U2" s="41">
        <f>SUM(U18:U24)</f>
        <v>-36860</v>
      </c>
      <c r="V2" s="41">
        <f>SUM(V18:V24)</f>
        <v>156000</v>
      </c>
      <c r="W2" s="42">
        <f>T2/V2</f>
        <v>5.1174999999999997</v>
      </c>
      <c r="AD2" s="40">
        <f>AVERAGE(AD18:AD24)</f>
        <v>15.065396825396826</v>
      </c>
      <c r="AE2" s="36">
        <f>AVERAGE(AE18:AE24)</f>
        <v>1676.7142857142858</v>
      </c>
      <c r="AF2" s="36"/>
      <c r="AK2" s="35"/>
      <c r="AL2" s="35"/>
      <c r="AM2" s="35"/>
      <c r="AN2" s="35"/>
      <c r="AO2" s="35">
        <f>AVERAGE(AO18:AO25)</f>
        <v>1.75</v>
      </c>
      <c r="AP2" s="35"/>
      <c r="AQ2" s="35">
        <f>AVERAGE(AQ18:AQ25)</f>
        <v>1.75</v>
      </c>
    </row>
    <row r="3" spans="1:45" x14ac:dyDescent="0.25">
      <c r="A3" s="11" t="s">
        <v>1</v>
      </c>
      <c r="B3" s="11" t="s">
        <v>2</v>
      </c>
      <c r="C3" s="12" t="s">
        <v>195</v>
      </c>
      <c r="D3" s="13" t="s">
        <v>180</v>
      </c>
      <c r="E3" s="11" t="s">
        <v>4</v>
      </c>
      <c r="F3" s="11" t="s">
        <v>5</v>
      </c>
      <c r="G3" s="11" t="s">
        <v>6</v>
      </c>
      <c r="H3" s="11" t="s">
        <v>7</v>
      </c>
      <c r="I3" s="11" t="s">
        <v>8</v>
      </c>
      <c r="J3" s="11" t="s">
        <v>183</v>
      </c>
      <c r="K3" s="14" t="s">
        <v>51</v>
      </c>
      <c r="L3" s="14" t="s">
        <v>50</v>
      </c>
      <c r="M3" s="11" t="s">
        <v>191</v>
      </c>
      <c r="N3" s="11" t="s">
        <v>102</v>
      </c>
      <c r="O3" s="11" t="s">
        <v>9</v>
      </c>
      <c r="P3" s="11" t="s">
        <v>10</v>
      </c>
      <c r="Q3" s="11" t="s">
        <v>11</v>
      </c>
      <c r="R3" s="53" t="s">
        <v>100</v>
      </c>
      <c r="S3" s="53" t="s">
        <v>101</v>
      </c>
      <c r="T3" s="11" t="s">
        <v>12</v>
      </c>
      <c r="U3" s="11" t="s">
        <v>220</v>
      </c>
      <c r="V3" s="11" t="s">
        <v>13</v>
      </c>
      <c r="W3" s="11" t="s">
        <v>14</v>
      </c>
      <c r="X3" s="11" t="s">
        <v>15</v>
      </c>
      <c r="Y3" s="11" t="s">
        <v>16</v>
      </c>
      <c r="Z3" s="11" t="s">
        <v>17</v>
      </c>
      <c r="AA3" s="11" t="s">
        <v>18</v>
      </c>
      <c r="AB3" s="11" t="s">
        <v>19</v>
      </c>
      <c r="AC3" s="11" t="s">
        <v>20</v>
      </c>
      <c r="AD3" s="11" t="s">
        <v>6</v>
      </c>
      <c r="AE3" s="11" t="s">
        <v>21</v>
      </c>
      <c r="AF3" s="11" t="s">
        <v>345</v>
      </c>
      <c r="AG3" s="15" t="s">
        <v>26</v>
      </c>
      <c r="AH3" s="15" t="s">
        <v>27</v>
      </c>
      <c r="AI3" s="15" t="s">
        <v>184</v>
      </c>
      <c r="AJ3" s="15" t="s">
        <v>185</v>
      </c>
      <c r="AK3" s="15" t="s">
        <v>22</v>
      </c>
      <c r="AL3" s="15" t="s">
        <v>23</v>
      </c>
      <c r="AM3" s="15" t="s">
        <v>24</v>
      </c>
      <c r="AN3" s="15" t="s">
        <v>25</v>
      </c>
      <c r="AO3" s="11" t="s">
        <v>192</v>
      </c>
      <c r="AP3" s="11" t="s">
        <v>188</v>
      </c>
      <c r="AQ3" s="11" t="s">
        <v>189</v>
      </c>
      <c r="AR3" s="11" t="s">
        <v>190</v>
      </c>
      <c r="AS3" s="37" t="s">
        <v>340</v>
      </c>
    </row>
    <row r="4" spans="1:45" x14ac:dyDescent="0.25">
      <c r="A4" s="16" t="s">
        <v>428</v>
      </c>
      <c r="B4" s="16" t="s">
        <v>429</v>
      </c>
      <c r="C4" s="132">
        <f t="shared" ref="C4" ca="1" si="0">((33*112)-(E4*112)-(F4))/112</f>
        <v>15.616071428571429</v>
      </c>
      <c r="D4" s="31" t="s">
        <v>354</v>
      </c>
      <c r="E4" s="18">
        <v>17</v>
      </c>
      <c r="F4" s="3">
        <f ca="1">8-159+16-570-5+D2-D1-2-12-49+9-11+44-40</f>
        <v>43</v>
      </c>
      <c r="G4" s="20" t="s">
        <v>187</v>
      </c>
      <c r="H4" s="5">
        <v>3</v>
      </c>
      <c r="I4" s="30">
        <v>1</v>
      </c>
      <c r="J4" s="24">
        <f t="shared" ref="J4" si="1">LOG(I4)*4/3</f>
        <v>0</v>
      </c>
      <c r="K4" s="7">
        <f t="shared" ref="K4" si="2">(H4)*(H4)*(I4)</f>
        <v>9</v>
      </c>
      <c r="L4" s="7">
        <f t="shared" ref="L4" si="3">(H4+1)*(H4+1)*I4</f>
        <v>16</v>
      </c>
      <c r="M4" s="146">
        <v>43046</v>
      </c>
      <c r="N4" s="147">
        <f t="shared" ref="N4" ca="1" si="4">IF((TODAY()-M4)&gt;335,1,((TODAY()-M4)^0.64)/(336^0.64))</f>
        <v>0.23942884084114555</v>
      </c>
      <c r="O4" s="21">
        <v>5.5</v>
      </c>
      <c r="P4" s="22">
        <f t="shared" ref="P4" si="5">O4*10+19</f>
        <v>74</v>
      </c>
      <c r="Q4" s="28">
        <v>5</v>
      </c>
      <c r="R4" s="126">
        <f t="shared" ref="R4" si="6">(Q4/7)^0.5</f>
        <v>0.84515425472851657</v>
      </c>
      <c r="S4" s="126">
        <f t="shared" ref="S4" si="7">IF(Q4=7,1,((Q4+0.99)/7)^0.5)</f>
        <v>0.92504826128926143</v>
      </c>
      <c r="T4" s="32">
        <v>530</v>
      </c>
      <c r="U4" s="32">
        <f t="shared" ref="U4" si="8">T4-AS4</f>
        <v>-10</v>
      </c>
      <c r="V4" s="32">
        <v>250</v>
      </c>
      <c r="W4" s="9">
        <f t="shared" ref="W4" si="9">T4/V4</f>
        <v>2.12</v>
      </c>
      <c r="X4" s="23">
        <v>0</v>
      </c>
      <c r="Y4" s="24">
        <v>4</v>
      </c>
      <c r="Z4" s="23">
        <v>4</v>
      </c>
      <c r="AA4" s="24">
        <v>3</v>
      </c>
      <c r="AB4" s="23">
        <f>4+0.25+(0.25*0.16*3/90)</f>
        <v>4.2513333333333332</v>
      </c>
      <c r="AC4" s="24">
        <v>3</v>
      </c>
      <c r="AD4" s="23">
        <v>0.4</v>
      </c>
      <c r="AE4" s="10">
        <v>360</v>
      </c>
      <c r="AF4" s="10">
        <v>1991</v>
      </c>
      <c r="AG4" s="25">
        <f t="shared" ref="AG4" ca="1" si="10">(AD4+1+(LOG(I4)*4/3)+N4)*(Q4/7)^0.5</f>
        <v>1.3855702601615341</v>
      </c>
      <c r="AH4" s="25">
        <f t="shared" ref="AH4" ca="1" si="11">(AD4+1+N4+(LOG(I4)*4/3))*(IF(Q4=7, (Q4/7)^0.5, ((Q4+1)/7)^0.5))</f>
        <v>1.5178161729975477</v>
      </c>
      <c r="AI4" s="131">
        <f t="shared" ref="AI4" ca="1" si="12">(Z4+N4+(LOG(I4)*4/3))*(Q4/7)^0.5</f>
        <v>3.582971322455677</v>
      </c>
      <c r="AJ4" s="131">
        <f t="shared" ref="AJ4" ca="1" si="13">(Z4+N4+(LOG(I4)*4/3))*(IF(Q4=7, (Q4/7)^0.5, ((Q4+1)/7)^0.5))</f>
        <v>3.9249484324061812</v>
      </c>
      <c r="AK4" s="9">
        <f t="shared" ref="AK4" ca="1" si="14">(((Y4+LOG(I4)*4/3+N4)+(AB4+LOG(I4)*4/3+N4)*2)/8)*(Q4/7)^0.5</f>
        <v>1.3967181049263206</v>
      </c>
      <c r="AL4" s="9">
        <f t="shared" ref="AL4" ca="1" si="15">(AD4+LOG(I4)*4/3+N4)*0.7+(AC4+LOG(I4)*4/3+N4)*0.3</f>
        <v>1.4194288408411455</v>
      </c>
      <c r="AM4" s="9">
        <f t="shared" ref="AM4" ca="1" si="16">(0.5*(AC4+LOG(I4)*4/3+N4)+ 0.3*(AD4+LOG(I4)*4/3+N4))/10</f>
        <v>0.18115430726729162</v>
      </c>
      <c r="AN4" s="9">
        <f t="shared" ref="AN4" ca="1" si="17">(0.4*(Y4+LOG(I4)*4/3+N4)+0.3*(AD4+LOG(I4)*4/3+N4))/10</f>
        <v>0.18876001885888019</v>
      </c>
      <c r="AO4" s="22">
        <v>1</v>
      </c>
      <c r="AP4" s="22">
        <v>1</v>
      </c>
      <c r="AQ4" s="22">
        <v>3</v>
      </c>
      <c r="AR4" s="145">
        <f t="shared" ref="AR4" si="18">IF(AP4=4,IF(AQ4=0,0.137+0.0697,0.137+0.02),IF(AP4=3,IF(AQ4=0,0.0958+0.0697,0.0958+0.02),IF(AP4=2,IF(AQ4=0,0.0415+0.0697,0.0415+0.02),IF(AP4=1,IF(AQ4=0,0.0294+0.0697,0.0294+0.02),IF(AP4=0,IF(AQ4=0,0.0063+0.0697,0.0063+0.02))))))</f>
        <v>4.9399999999999999E-2</v>
      </c>
      <c r="AS4">
        <v>540</v>
      </c>
    </row>
    <row r="5" spans="1:45" x14ac:dyDescent="0.25">
      <c r="A5" s="16" t="s">
        <v>41</v>
      </c>
      <c r="B5" s="16" t="s">
        <v>221</v>
      </c>
      <c r="C5" s="132">
        <f ca="1">((33*112)-(E5*112)-(F5))/112</f>
        <v>15.589285714285714</v>
      </c>
      <c r="D5" s="263" t="s">
        <v>356</v>
      </c>
      <c r="E5" s="18">
        <v>17</v>
      </c>
      <c r="F5" s="3">
        <f ca="1">8-159+16-570-5+D2-D1-2-31-25</f>
        <v>46</v>
      </c>
      <c r="G5" s="20" t="s">
        <v>344</v>
      </c>
      <c r="H5" s="43">
        <v>6</v>
      </c>
      <c r="I5" s="30">
        <v>1</v>
      </c>
      <c r="J5" s="24">
        <f>LOG(I5)*4/3</f>
        <v>0</v>
      </c>
      <c r="K5" s="7">
        <f>(H5)*(H5)*(I5)</f>
        <v>36</v>
      </c>
      <c r="L5" s="7">
        <f>(H5+1)*(H5+1)*I5</f>
        <v>49</v>
      </c>
      <c r="M5" s="146">
        <v>43051</v>
      </c>
      <c r="N5" s="147">
        <f ca="1">IF((TODAY()-M5)&gt;335,1,((TODAY()-M5)^0.64)/(336^0.64))</f>
        <v>0.2175776824553268</v>
      </c>
      <c r="O5" s="21">
        <v>6</v>
      </c>
      <c r="P5" s="22">
        <f>O5*10+19</f>
        <v>79</v>
      </c>
      <c r="Q5" s="28">
        <v>6</v>
      </c>
      <c r="R5" s="126">
        <f>(Q5/7)^0.5</f>
        <v>0.92582009977255142</v>
      </c>
      <c r="S5" s="126">
        <f>IF(Q5=7,1,((Q5+0.99)/7)^0.5)</f>
        <v>0.99928545900129484</v>
      </c>
      <c r="T5" s="32">
        <v>1640</v>
      </c>
      <c r="U5" s="32">
        <f>T5-AS5</f>
        <v>50</v>
      </c>
      <c r="V5" s="32">
        <v>330</v>
      </c>
      <c r="W5" s="9">
        <f>T5/V5</f>
        <v>4.9696969696969697</v>
      </c>
      <c r="X5" s="23">
        <v>0</v>
      </c>
      <c r="Y5" s="24">
        <v>6</v>
      </c>
      <c r="Z5" s="23">
        <v>3</v>
      </c>
      <c r="AA5" s="24">
        <v>3</v>
      </c>
      <c r="AB5" s="23">
        <f>5+0.2</f>
        <v>5.2</v>
      </c>
      <c r="AC5" s="24">
        <v>2</v>
      </c>
      <c r="AD5" s="23">
        <v>3</v>
      </c>
      <c r="AE5" s="10">
        <v>424</v>
      </c>
      <c r="AF5" s="10">
        <v>2003</v>
      </c>
      <c r="AG5" s="25">
        <f t="shared" ref="AG5:AG10" ca="1" si="19">(AD5+1+(LOG(I5)*4/3)+N5)*(Q5/7)^0.5</f>
        <v>3.9047181907692763</v>
      </c>
      <c r="AH5" s="25">
        <f t="shared" ref="AH5:AH10" ca="1" si="20">(AD5+1+N5+(LOG(I5)*4/3))*(IF(Q5=7, (Q5/7)^0.5, ((Q5+1)/7)^0.5))</f>
        <v>4.2175776824553264</v>
      </c>
      <c r="AI5" s="131">
        <f t="shared" ref="AI5" ca="1" si="21">(Z5+N5+(LOG(I5)*4/3))*(Q5/7)^0.5</f>
        <v>2.9788980909967253</v>
      </c>
      <c r="AJ5" s="131">
        <f t="shared" ref="AJ5" ca="1" si="22">(Z5+N5+(LOG(I5)*4/3))*(IF(Q5=7, (Q5/7)^0.5, ((Q5+1)/7)^0.5))</f>
        <v>3.2175776824553268</v>
      </c>
      <c r="AK5" s="9">
        <f t="shared" ref="AK5" ca="1" si="23">(((Y5+LOG(I5)*4/3+N5)+(AB5+LOG(I5)*4/3+N5)*2)/8)*(Q5/7)^0.5</f>
        <v>1.9734703764133821</v>
      </c>
      <c r="AL5" s="9">
        <f t="shared" ref="AL5:AL10" ca="1" si="24">(AD5+LOG(I5)*4/3+N5)*0.7+(AC5+LOG(I5)*4/3+N5)*0.3</f>
        <v>2.917577682455327</v>
      </c>
      <c r="AM5" s="9">
        <f t="shared" ref="AM5:AM10" ca="1" si="25">(0.5*(AC5+LOG(I5)*4/3+N5)+ 0.3*(AD5+LOG(I5)*4/3+N5))/10</f>
        <v>0.20740621459642616</v>
      </c>
      <c r="AN5" s="9">
        <f t="shared" ref="AN5:AN10" ca="1" si="26">(0.4*(Y5+LOG(I5)*4/3+N5)+0.3*(AD5+LOG(I5)*4/3+N5))/10</f>
        <v>0.34523043777187284</v>
      </c>
      <c r="AO5" s="22">
        <v>2</v>
      </c>
      <c r="AP5" s="22">
        <v>2</v>
      </c>
      <c r="AQ5" s="22">
        <v>1</v>
      </c>
      <c r="AR5" s="145">
        <f>IF(AP5=4,IF(AQ5=0,0.137+0.0697,0.137+0.02),IF(AP5=3,IF(AQ5=0,0.0958+0.0697,0.0958+0.02),IF(AP5=2,IF(AQ5=0,0.0415+0.0697,0.0415+0.02),IF(AP5=1,IF(AQ5=0,0.0294+0.0697,0.0294+0.02),IF(AP5=0,IF(AQ5=0,0.0063+0.0697,0.0063+0.02))))))</f>
        <v>6.1499999999999999E-2</v>
      </c>
      <c r="AS5">
        <v>1590</v>
      </c>
    </row>
    <row r="6" spans="1:45" x14ac:dyDescent="0.25">
      <c r="A6" s="16" t="s">
        <v>38</v>
      </c>
      <c r="B6" s="16" t="s">
        <v>221</v>
      </c>
      <c r="C6" s="132">
        <f ca="1">((33*112)-(E6*112)-(F6))/112</f>
        <v>15.5</v>
      </c>
      <c r="D6" s="263" t="s">
        <v>415</v>
      </c>
      <c r="E6" s="18">
        <v>17</v>
      </c>
      <c r="F6" s="3">
        <f ca="1">8-159+16-570-5+D2-D1-2-31-15</f>
        <v>56</v>
      </c>
      <c r="G6" s="20" t="s">
        <v>72</v>
      </c>
      <c r="H6" s="5">
        <v>0</v>
      </c>
      <c r="I6" s="30">
        <v>1.2</v>
      </c>
      <c r="J6" s="24">
        <f>LOG(I6)*4/3</f>
        <v>0.10557499473016642</v>
      </c>
      <c r="K6" s="7">
        <f>(H6)*(H6)*(I6)</f>
        <v>0</v>
      </c>
      <c r="L6" s="7">
        <f>(H6+1)*(H6+1)*I6</f>
        <v>1.2</v>
      </c>
      <c r="M6" s="146">
        <v>43081</v>
      </c>
      <c r="N6" s="147">
        <f ca="1">IF((TODAY()-M6)&gt;335,1,((TODAY()-M6)^0.64)/(336^0.64))</f>
        <v>2.4162555382234736E-2</v>
      </c>
      <c r="O6" s="21">
        <v>3.7</v>
      </c>
      <c r="P6" s="22">
        <f>O6*10+19</f>
        <v>56</v>
      </c>
      <c r="Q6" s="28">
        <v>4</v>
      </c>
      <c r="R6" s="126">
        <f>(Q6/7)^0.5</f>
        <v>0.7559289460184544</v>
      </c>
      <c r="S6" s="126">
        <f>IF(Q6=7,1,((Q6+0.99)/7)^0.5)</f>
        <v>0.84430867747355465</v>
      </c>
      <c r="T6" s="32">
        <v>3310</v>
      </c>
      <c r="U6" s="32">
        <f>T6-AS6</f>
        <v>0</v>
      </c>
      <c r="V6" s="32">
        <v>370</v>
      </c>
      <c r="W6" s="9">
        <f>T6/V6</f>
        <v>8.9459459459459456</v>
      </c>
      <c r="X6" s="23">
        <v>0</v>
      </c>
      <c r="Y6" s="24">
        <v>6</v>
      </c>
      <c r="Z6" s="23">
        <v>5</v>
      </c>
      <c r="AA6" s="24">
        <v>6</v>
      </c>
      <c r="AB6" s="23">
        <v>5</v>
      </c>
      <c r="AC6" s="24">
        <v>4</v>
      </c>
      <c r="AD6" s="23">
        <v>0</v>
      </c>
      <c r="AE6" s="10">
        <v>589</v>
      </c>
      <c r="AF6" s="10">
        <v>2152</v>
      </c>
      <c r="AG6" s="25">
        <f t="shared" ca="1" si="19"/>
        <v>0.85400131553393821</v>
      </c>
      <c r="AH6" s="25">
        <f t="shared" ca="1" si="20"/>
        <v>0.95480249720406651</v>
      </c>
      <c r="AI6" s="131">
        <f ca="1">(Z6+N6+(LOG(I6)*4/3))*(Q6/7)^0.5</f>
        <v>3.8777170996077559</v>
      </c>
      <c r="AJ6" s="131">
        <f ca="1">(Z6+N6+(LOG(I6)*4/3))*(IF(Q6=7, (Q6/7)^0.5, ((Q6+1)/7)^0.5))</f>
        <v>4.335419516118133</v>
      </c>
      <c r="AK6" s="9">
        <f ca="1">(((Y6+LOG(I6)*4/3+N6)+(AB6+LOG(I6)*4/3+N6)*2)/8)*(Q6/7)^0.5</f>
        <v>1.5486350306052152</v>
      </c>
      <c r="AL6" s="9">
        <f t="shared" ca="1" si="24"/>
        <v>1.3297375501124014</v>
      </c>
      <c r="AM6" s="9">
        <f t="shared" ca="1" si="25"/>
        <v>0.21037900400899212</v>
      </c>
      <c r="AN6" s="9">
        <f t="shared" ca="1" si="26"/>
        <v>0.24908162850786814</v>
      </c>
      <c r="AO6" s="22">
        <v>1</v>
      </c>
      <c r="AP6" s="22">
        <v>2</v>
      </c>
      <c r="AQ6" s="22">
        <v>2</v>
      </c>
      <c r="AR6" s="145">
        <f>IF(AP6=4,IF(AQ6=0,0.137+0.0697,0.137+0.02),IF(AP6=3,IF(AQ6=0,0.0958+0.0697,0.0958+0.02),IF(AP6=2,IF(AQ6=0,0.0415+0.0697,0.0415+0.02),IF(AP6=1,IF(AQ6=0,0.0294+0.0697,0.0294+0.02),IF(AP6=0,IF(AQ6=0,0.0063+0.0697,0.0063+0.02))))))</f>
        <v>6.1499999999999999E-2</v>
      </c>
      <c r="AS6" s="260">
        <v>3310</v>
      </c>
    </row>
    <row r="7" spans="1:45" x14ac:dyDescent="0.25">
      <c r="A7" s="16" t="s">
        <v>423</v>
      </c>
      <c r="B7" s="26" t="s">
        <v>221</v>
      </c>
      <c r="C7" s="132">
        <f ca="1">((33*112)-(E7*112)-(F7))/112</f>
        <v>15.196428571428571</v>
      </c>
      <c r="D7" s="1" t="s">
        <v>349</v>
      </c>
      <c r="E7" s="2">
        <v>17</v>
      </c>
      <c r="F7" s="3">
        <f ca="1">8-159+16-570-5+D2-D1-2-12</f>
        <v>90</v>
      </c>
      <c r="G7" s="4" t="s">
        <v>72</v>
      </c>
      <c r="H7" s="5">
        <v>2</v>
      </c>
      <c r="I7" s="6">
        <v>0.5</v>
      </c>
      <c r="J7" s="24">
        <f>LOG(I7)*4/3</f>
        <v>-0.40137332755197491</v>
      </c>
      <c r="K7" s="7">
        <f>(H7)*(H7)*(I7)</f>
        <v>2</v>
      </c>
      <c r="L7" s="7">
        <f>(H7+1)*(H7+1)*I7</f>
        <v>4.5</v>
      </c>
      <c r="M7" s="146">
        <v>43046</v>
      </c>
      <c r="N7" s="147">
        <f ca="1">IF((TODAY()-M7)&gt;335,1,((TODAY()-M7)^0.64)/(336^0.64))</f>
        <v>0.23942884084114555</v>
      </c>
      <c r="O7" s="27">
        <v>6.6</v>
      </c>
      <c r="P7" s="22">
        <f>O7*10+19</f>
        <v>85</v>
      </c>
      <c r="Q7" s="28">
        <v>5</v>
      </c>
      <c r="R7" s="126">
        <f>(Q7/7)^0.5</f>
        <v>0.84515425472851657</v>
      </c>
      <c r="S7" s="126">
        <f>IF(Q7=7,1,((Q7+0.99)/7)^0.5)</f>
        <v>0.92504826128926143</v>
      </c>
      <c r="T7" s="32">
        <v>1970</v>
      </c>
      <c r="U7" s="32">
        <f>T7-AS7</f>
        <v>-10</v>
      </c>
      <c r="V7" s="8">
        <v>450</v>
      </c>
      <c r="W7" s="9">
        <f>T7/V7</f>
        <v>4.3777777777777782</v>
      </c>
      <c r="X7" s="23">
        <v>0</v>
      </c>
      <c r="Y7" s="24">
        <v>6</v>
      </c>
      <c r="Z7" s="23">
        <v>4</v>
      </c>
      <c r="AA7" s="24">
        <v>4</v>
      </c>
      <c r="AB7" s="23">
        <f>2.67+0.33+0.33*0.16</f>
        <v>3.0528</v>
      </c>
      <c r="AC7" s="24">
        <v>3</v>
      </c>
      <c r="AD7" s="23">
        <v>6</v>
      </c>
      <c r="AE7" s="10">
        <v>459</v>
      </c>
      <c r="AF7" s="10">
        <v>1975</v>
      </c>
      <c r="AG7" s="25">
        <f t="shared" ca="1" si="19"/>
        <v>5.7792117111261323</v>
      </c>
      <c r="AH7" s="25">
        <f t="shared" ca="1" si="20"/>
        <v>6.3308092375636251</v>
      </c>
      <c r="AI7" s="131">
        <f ca="1">(Z7+N7+(LOG(I7)*4/3))*(Q7/7)^0.5</f>
        <v>3.2437489469405829</v>
      </c>
      <c r="AJ7" s="131">
        <f ca="1">(Z7+N7+(LOG(I7)*4/3))*(IF(Q7=7, (Q7/7)^0.5, ((Q7+1)/7)^0.5))</f>
        <v>3.5533489382459709</v>
      </c>
      <c r="AK7" s="9">
        <f ca="1">(((Y7+LOG(I7)*4/3+N7)+(AB7+LOG(I7)*4/3+N7)*2)/8)*(Q7/7)^0.5</f>
        <v>1.2275618912651349</v>
      </c>
      <c r="AL7" s="9">
        <f t="shared" ca="1" si="24"/>
        <v>4.9380555132891706</v>
      </c>
      <c r="AM7" s="9">
        <f t="shared" ca="1" si="25"/>
        <v>0.31704444106313362</v>
      </c>
      <c r="AN7" s="9">
        <f t="shared" ca="1" si="26"/>
        <v>0.40866388593024194</v>
      </c>
      <c r="AO7" s="22">
        <v>2</v>
      </c>
      <c r="AP7" s="22">
        <v>0</v>
      </c>
      <c r="AQ7" s="22">
        <v>3</v>
      </c>
      <c r="AR7" s="145">
        <f>IF(AP7=4,IF(AQ7=0,0.137+0.0697,0.137+0.02),IF(AP7=3,IF(AQ7=0,0.0958+0.0697,0.0958+0.02),IF(AP7=2,IF(AQ7=0,0.0415+0.0697,0.0415+0.02),IF(AP7=1,IF(AQ7=0,0.0294+0.0697,0.0294+0.02),IF(AP7=0,IF(AQ7=0,0.0063+0.0697,0.0063+0.02))))))</f>
        <v>2.63E-2</v>
      </c>
      <c r="AS7">
        <v>1980</v>
      </c>
    </row>
    <row r="8" spans="1:45" x14ac:dyDescent="0.25">
      <c r="A8" s="16" t="s">
        <v>357</v>
      </c>
      <c r="B8" s="16" t="s">
        <v>221</v>
      </c>
      <c r="C8" s="132">
        <f t="shared" ref="C8" ca="1" si="27">((33*112)-(E8*112)-(F8))/112</f>
        <v>15.625</v>
      </c>
      <c r="D8" s="1" t="s">
        <v>347</v>
      </c>
      <c r="E8" s="2">
        <v>17</v>
      </c>
      <c r="F8" s="3">
        <f ca="1">8-159+16-570-5+D2-D1-2-60</f>
        <v>42</v>
      </c>
      <c r="G8" s="4" t="s">
        <v>344</v>
      </c>
      <c r="H8" s="5">
        <v>3</v>
      </c>
      <c r="I8" s="6">
        <v>1</v>
      </c>
      <c r="J8" s="24">
        <f t="shared" ref="J8" si="28">LOG(I8)*4/3</f>
        <v>0</v>
      </c>
      <c r="K8" s="7">
        <f t="shared" ref="K8" si="29">(H8)*(H8)*(I8)</f>
        <v>9</v>
      </c>
      <c r="L8" s="7">
        <f t="shared" ref="L8" si="30">(H8+1)*(H8+1)*I8</f>
        <v>16</v>
      </c>
      <c r="M8" s="146">
        <v>43045</v>
      </c>
      <c r="N8" s="147">
        <f t="shared" ref="N8" ca="1" si="31">IF((TODAY()-M8)&gt;335,1,((TODAY()-M8)^0.64)/(336^0.64))</f>
        <v>0.24366433469433585</v>
      </c>
      <c r="O8" s="27">
        <v>6.3</v>
      </c>
      <c r="P8" s="22">
        <f t="shared" ref="P8" si="32">O8*10+19</f>
        <v>82</v>
      </c>
      <c r="Q8" s="28">
        <v>6</v>
      </c>
      <c r="R8" s="126">
        <f t="shared" ref="R8" si="33">(Q8/7)^0.5</f>
        <v>0.92582009977255142</v>
      </c>
      <c r="S8" s="126">
        <f t="shared" ref="S8" si="34">IF(Q8=7,1,((Q8+0.99)/7)^0.5)</f>
        <v>0.99928545900129484</v>
      </c>
      <c r="T8" s="32">
        <v>1080</v>
      </c>
      <c r="U8" s="32">
        <f t="shared" ref="U8" si="35">T8-AS8</f>
        <v>120</v>
      </c>
      <c r="V8" s="8">
        <v>330</v>
      </c>
      <c r="W8" s="9">
        <f t="shared" ref="W8" si="36">T8/V8</f>
        <v>3.2727272727272729</v>
      </c>
      <c r="X8" s="23">
        <v>0</v>
      </c>
      <c r="Y8" s="24">
        <v>5</v>
      </c>
      <c r="Z8" s="23">
        <v>3</v>
      </c>
      <c r="AA8" s="24">
        <v>4</v>
      </c>
      <c r="AB8" s="23">
        <f>2+(0.33*0.16)+0.33</f>
        <v>2.3828</v>
      </c>
      <c r="AC8" s="24">
        <v>3</v>
      </c>
      <c r="AD8" s="23">
        <v>3</v>
      </c>
      <c r="AE8" s="10">
        <v>352</v>
      </c>
      <c r="AF8" s="10">
        <v>1936</v>
      </c>
      <c r="AG8" s="25">
        <f t="shared" ca="1" si="19"/>
        <v>3.9288697377479282</v>
      </c>
      <c r="AH8" s="25">
        <f t="shared" ca="1" si="20"/>
        <v>4.2436643346943361</v>
      </c>
      <c r="AI8" s="131">
        <f ca="1">(Z8+N8+(LOG(I8)*4/3))*(Q8/7)^0.5</f>
        <v>3.0030496379753764</v>
      </c>
      <c r="AJ8" s="131">
        <f ca="1">(Z8+N8+(LOG(I8)*4/3))*(IF(Q8=7, (Q8/7)^0.5, ((Q8+1)/7)^0.5))</f>
        <v>3.2436643346943357</v>
      </c>
      <c r="AK8" s="9">
        <f ca="1">(((Y8+LOG(I8)*4/3+N8)+(AB8+LOG(I8)*4/3+N8)*2)/8)*(Q8/7)^0.5</f>
        <v>1.2147445977889992</v>
      </c>
      <c r="AL8" s="9">
        <f t="shared" ca="1" si="24"/>
        <v>3.2436643346943352</v>
      </c>
      <c r="AM8" s="9">
        <f t="shared" ca="1" si="25"/>
        <v>0.25949314677554686</v>
      </c>
      <c r="AN8" s="9">
        <f t="shared" ca="1" si="26"/>
        <v>0.30705650342860358</v>
      </c>
      <c r="AO8" s="22">
        <v>3</v>
      </c>
      <c r="AP8" s="22">
        <v>1</v>
      </c>
      <c r="AQ8" s="22">
        <v>2</v>
      </c>
      <c r="AR8" s="145">
        <f t="shared" ref="AR8" si="37">IF(AP8=4,IF(AQ8=0,0.137+0.0697,0.137+0.02),IF(AP8=3,IF(AQ8=0,0.0958+0.0697,0.0958+0.02),IF(AP8=2,IF(AQ8=0,0.0415+0.0697,0.0415+0.02),IF(AP8=1,IF(AQ8=0,0.0294+0.0697,0.0294+0.02),IF(AP8=0,IF(AQ8=0,0.0063+0.0697,0.0063+0.02))))))</f>
        <v>4.9399999999999999E-2</v>
      </c>
      <c r="AS8">
        <v>960</v>
      </c>
    </row>
    <row r="9" spans="1:45" x14ac:dyDescent="0.25">
      <c r="A9" s="16" t="s">
        <v>341</v>
      </c>
      <c r="B9" s="16" t="s">
        <v>97</v>
      </c>
      <c r="C9" s="132">
        <f ca="1">((33*112)-(E9*112)-(F9))/112</f>
        <v>15.258928571428571</v>
      </c>
      <c r="D9" s="31" t="s">
        <v>343</v>
      </c>
      <c r="E9" s="18">
        <v>17</v>
      </c>
      <c r="F9" s="19">
        <f ca="1">8-159+16-570-5+D2-D1-2-19</f>
        <v>83</v>
      </c>
      <c r="G9" s="20" t="s">
        <v>344</v>
      </c>
      <c r="H9" s="5">
        <v>3</v>
      </c>
      <c r="I9" s="30">
        <v>0.5</v>
      </c>
      <c r="J9" s="24">
        <f>LOG(I9)*4/3</f>
        <v>-0.40137332755197491</v>
      </c>
      <c r="K9" s="7">
        <f>(H9)*(H9)*(I9)</f>
        <v>4.5</v>
      </c>
      <c r="L9" s="7">
        <f>(H9+1)*(H9+1)*I9</f>
        <v>8</v>
      </c>
      <c r="M9" s="146">
        <v>43045</v>
      </c>
      <c r="N9" s="147">
        <f ca="1">IF((TODAY()-M9)&gt;335,1,((TODAY()-M9)^0.64)/(336^0.64))</f>
        <v>0.24366433469433585</v>
      </c>
      <c r="O9" s="21">
        <v>6.5</v>
      </c>
      <c r="P9" s="22">
        <f>O9*10+19</f>
        <v>84</v>
      </c>
      <c r="Q9" s="22">
        <v>6</v>
      </c>
      <c r="R9" s="126">
        <f>(Q9/7)^0.5</f>
        <v>0.92582009977255142</v>
      </c>
      <c r="S9" s="126">
        <f>IF(Q9=7,1,((Q9+0.99)/7)^0.5)</f>
        <v>0.99928545900129484</v>
      </c>
      <c r="T9" s="32">
        <v>1310</v>
      </c>
      <c r="U9" s="32">
        <f>T9-AS9</f>
        <v>80</v>
      </c>
      <c r="V9" s="32">
        <v>370</v>
      </c>
      <c r="W9" s="9">
        <f>T9/V9</f>
        <v>3.5405405405405403</v>
      </c>
      <c r="X9" s="23">
        <v>0</v>
      </c>
      <c r="Y9" s="24">
        <v>3</v>
      </c>
      <c r="Z9" s="23">
        <v>6</v>
      </c>
      <c r="AA9" s="24">
        <v>3</v>
      </c>
      <c r="AB9" s="23">
        <f>3+0.25+0.25</f>
        <v>3.5</v>
      </c>
      <c r="AC9" s="24">
        <v>4</v>
      </c>
      <c r="AD9" s="23">
        <v>3</v>
      </c>
      <c r="AE9" s="10">
        <v>406</v>
      </c>
      <c r="AF9" s="10">
        <v>1932</v>
      </c>
      <c r="AG9" s="25">
        <f t="shared" ca="1" si="19"/>
        <v>3.5572702435877175</v>
      </c>
      <c r="AH9" s="25">
        <f t="shared" ca="1" si="20"/>
        <v>3.8422910071423613</v>
      </c>
      <c r="AI9" s="131">
        <f ca="1">(Z9+N9+(LOG(I9)*4/3))*(Q9/7)^0.5</f>
        <v>5.4089104431328208</v>
      </c>
      <c r="AJ9" s="131">
        <f ca="1">(Z9+N9+(LOG(I9)*4/3))*(IF(Q9=7, (Q9/7)^0.5, ((Q9+1)/7)^0.5))</f>
        <v>5.8422910071423608</v>
      </c>
      <c r="AK9" s="9">
        <f ca="1">(((Y9+LOG(I9)*4/3+N9)+(AB9+LOG(I9)*4/3+N9)*2)/8)*(Q9/7)^0.5</f>
        <v>1.1025213164022563</v>
      </c>
      <c r="AL9" s="9">
        <f t="shared" ca="1" si="24"/>
        <v>3.1422910071423606</v>
      </c>
      <c r="AM9" s="9">
        <f t="shared" ca="1" si="25"/>
        <v>0.27738328057138883</v>
      </c>
      <c r="AN9" s="9">
        <f t="shared" ca="1" si="26"/>
        <v>0.19896037049996526</v>
      </c>
      <c r="AO9" s="22">
        <v>2</v>
      </c>
      <c r="AP9" s="22">
        <v>3</v>
      </c>
      <c r="AQ9" s="22">
        <v>2</v>
      </c>
      <c r="AR9" s="145">
        <f>IF(AP9=4,IF(AQ9=0,0.137+0.0697,0.137+0.02),IF(AP9=3,IF(AQ9=0,0.0958+0.0697,0.0958+0.02),IF(AP9=2,IF(AQ9=0,0.0415+0.0697,0.0415+0.02),IF(AP9=1,IF(AQ9=0,0.0294+0.0697,0.0294+0.02),IF(AP9=0,IF(AQ9=0,0.0063+0.0697,0.0063+0.02))))))</f>
        <v>0.1158</v>
      </c>
      <c r="AS9">
        <v>1230</v>
      </c>
    </row>
    <row r="10" spans="1:45" x14ac:dyDescent="0.25">
      <c r="A10" s="16" t="s">
        <v>426</v>
      </c>
      <c r="B10" s="26" t="s">
        <v>97</v>
      </c>
      <c r="C10" s="132">
        <f ca="1">((33*112)-(E10*112)-(F10))/112</f>
        <v>15.366071428571429</v>
      </c>
      <c r="D10" s="1" t="s">
        <v>348</v>
      </c>
      <c r="E10" s="2">
        <v>17</v>
      </c>
      <c r="F10" s="3">
        <f ca="1">8-159+16-570-5+D2-D1-2-31</f>
        <v>71</v>
      </c>
      <c r="G10" s="4" t="s">
        <v>0</v>
      </c>
      <c r="H10" s="5">
        <v>4</v>
      </c>
      <c r="I10" s="6">
        <v>0.5</v>
      </c>
      <c r="J10" s="24">
        <f>LOG(I10)*4/3</f>
        <v>-0.40137332755197491</v>
      </c>
      <c r="K10" s="7">
        <f>(H10)*(H10)*(I10)</f>
        <v>8</v>
      </c>
      <c r="L10" s="7">
        <f>(H10+1)*(H10+1)*I10</f>
        <v>12.5</v>
      </c>
      <c r="M10" s="146">
        <v>43046</v>
      </c>
      <c r="N10" s="147">
        <f ca="1">IF((TODAY()-M10)&gt;335,1,((TODAY()-M10)^0.64)/(336^0.64))</f>
        <v>0.23942884084114555</v>
      </c>
      <c r="O10" s="27">
        <v>6.4</v>
      </c>
      <c r="P10" s="22">
        <f>O10*10+19</f>
        <v>83</v>
      </c>
      <c r="Q10" s="28">
        <v>5</v>
      </c>
      <c r="R10" s="126">
        <f>(Q10/7)^0.5</f>
        <v>0.84515425472851657</v>
      </c>
      <c r="S10" s="126">
        <f>IF(Q10=7,1,((Q10+0.99)/7)^0.5)</f>
        <v>0.92504826128926143</v>
      </c>
      <c r="T10" s="32">
        <v>1080</v>
      </c>
      <c r="U10" s="32">
        <f>T10-AS10</f>
        <v>30</v>
      </c>
      <c r="V10" s="8">
        <v>330</v>
      </c>
      <c r="W10" s="9">
        <f>T10/V10</f>
        <v>3.2727272727272729</v>
      </c>
      <c r="X10" s="23">
        <v>0</v>
      </c>
      <c r="Y10" s="24">
        <v>2</v>
      </c>
      <c r="Z10" s="23">
        <v>5</v>
      </c>
      <c r="AA10" s="24">
        <v>3</v>
      </c>
      <c r="AB10" s="23">
        <f>2+(0.33*0.16)+(0.33*0.16)</f>
        <v>2.1055999999999999</v>
      </c>
      <c r="AC10" s="24">
        <v>5</v>
      </c>
      <c r="AD10" s="23">
        <v>5</v>
      </c>
      <c r="AE10" s="10">
        <v>367</v>
      </c>
      <c r="AF10" s="10">
        <v>1910</v>
      </c>
      <c r="AG10" s="25">
        <f t="shared" ca="1" si="19"/>
        <v>4.9340574563976158</v>
      </c>
      <c r="AH10" s="25">
        <f t="shared" ca="1" si="20"/>
        <v>5.4049891377910733</v>
      </c>
      <c r="AI10" s="131">
        <f ca="1">(Z10+N10+(LOG(I10)*4/3))*(Q10/7)^0.5</f>
        <v>4.0889032016690994</v>
      </c>
      <c r="AJ10" s="131">
        <f ca="1">(Z10+N10+(LOG(I10)*4/3))*(IF(Q10=7, (Q10/7)^0.5, ((Q10+1)/7)^0.5))</f>
        <v>4.4791690380185223</v>
      </c>
      <c r="AK10" s="9">
        <f ca="1">(((Y10+LOG(I10)*4/3+N10)+(AB10+LOG(I10)*4/3+N10)*2)/8)*(Q10/7)^0.5</f>
        <v>0.60485223638116403</v>
      </c>
      <c r="AL10" s="9">
        <f t="shared" ca="1" si="24"/>
        <v>4.8380555132891701</v>
      </c>
      <c r="AM10" s="9">
        <f t="shared" ca="1" si="25"/>
        <v>0.38704444106313363</v>
      </c>
      <c r="AN10" s="9">
        <f t="shared" ca="1" si="26"/>
        <v>0.21866388593024194</v>
      </c>
      <c r="AO10" s="22">
        <v>4</v>
      </c>
      <c r="AP10" s="22">
        <v>2</v>
      </c>
      <c r="AQ10" s="22">
        <v>2</v>
      </c>
      <c r="AR10" s="145">
        <f>IF(AP10=4,IF(AQ10=0,0.137+0.0697,0.137+0.02),IF(AP10=3,IF(AQ10=0,0.0958+0.0697,0.0958+0.02),IF(AP10=2,IF(AQ10=0,0.0415+0.0697,0.0415+0.02),IF(AP10=1,IF(AQ10=0,0.0294+0.0697,0.0294+0.02),IF(AP10=0,IF(AQ10=0,0.0063+0.0697,0.0063+0.02))))))</f>
        <v>6.1499999999999999E-2</v>
      </c>
      <c r="AS10">
        <v>1050</v>
      </c>
    </row>
    <row r="11" spans="1:45" x14ac:dyDescent="0.25">
      <c r="A11" s="16" t="s">
        <v>430</v>
      </c>
      <c r="B11" s="16" t="s">
        <v>97</v>
      </c>
      <c r="C11" s="132">
        <f t="shared" ref="C11" ca="1" si="38">((33*112)-(E11*112)-(F11))/112</f>
        <v>15.633928571428571</v>
      </c>
      <c r="D11" s="31" t="s">
        <v>350</v>
      </c>
      <c r="E11" s="18">
        <v>17</v>
      </c>
      <c r="F11" s="3">
        <f ca="1">8-159+16-570-5+D2-D1-2-12-49</f>
        <v>41</v>
      </c>
      <c r="G11" s="20" t="s">
        <v>187</v>
      </c>
      <c r="H11" s="5">
        <v>3</v>
      </c>
      <c r="I11" s="30">
        <v>0.5</v>
      </c>
      <c r="J11" s="24">
        <f t="shared" ref="J11" si="39">LOG(I11)*4/3</f>
        <v>-0.40137332755197491</v>
      </c>
      <c r="K11" s="7">
        <f t="shared" ref="K11" si="40">(H11)*(H11)*(I11)</f>
        <v>4.5</v>
      </c>
      <c r="L11" s="7">
        <f t="shared" ref="L11" si="41">(H11+1)*(H11+1)*I11</f>
        <v>8</v>
      </c>
      <c r="M11" s="146">
        <v>43046</v>
      </c>
      <c r="N11" s="147">
        <f t="shared" ref="N11" ca="1" si="42">IF((TODAY()-M11)&gt;335,1,((TODAY()-M11)^0.64)/(336^0.64))</f>
        <v>0.23942884084114555</v>
      </c>
      <c r="O11" s="21">
        <v>5</v>
      </c>
      <c r="P11" s="22">
        <f t="shared" ref="P11" si="43">O11*10+19</f>
        <v>69</v>
      </c>
      <c r="Q11" s="28">
        <v>5</v>
      </c>
      <c r="R11" s="126">
        <f t="shared" ref="R11" si="44">(Q11/7)^0.5</f>
        <v>0.84515425472851657</v>
      </c>
      <c r="S11" s="126">
        <f t="shared" ref="S11" si="45">IF(Q11=7,1,((Q11+0.99)/7)^0.5)</f>
        <v>0.92504826128926143</v>
      </c>
      <c r="T11" s="32">
        <v>630</v>
      </c>
      <c r="U11" s="32">
        <f t="shared" ref="U11" si="46">T11-AS11</f>
        <v>0</v>
      </c>
      <c r="V11" s="32">
        <v>270</v>
      </c>
      <c r="W11" s="9">
        <f t="shared" ref="W11" si="47">T11/V11</f>
        <v>2.3333333333333335</v>
      </c>
      <c r="X11" s="23">
        <v>0</v>
      </c>
      <c r="Y11" s="24">
        <v>3</v>
      </c>
      <c r="Z11" s="23">
        <v>4</v>
      </c>
      <c r="AA11" s="24">
        <v>4</v>
      </c>
      <c r="AB11" s="23">
        <f>3+(0.25*0.16*31/90)+(0.25*0.16*3/90)</f>
        <v>3.0151111111111111</v>
      </c>
      <c r="AC11" s="24">
        <v>4</v>
      </c>
      <c r="AD11" s="23">
        <v>1.3</v>
      </c>
      <c r="AE11" s="10">
        <v>352</v>
      </c>
      <c r="AF11" s="10">
        <v>1986</v>
      </c>
      <c r="AG11" s="25">
        <f t="shared" ref="AG11" ca="1" si="48">(AD11+1+(LOG(I11)*4/3)+N11)*(Q11/7)^0.5</f>
        <v>1.8069867139021047</v>
      </c>
      <c r="AH11" s="25">
        <f t="shared" ref="AH11" ca="1" si="49">(AD11+1+N11+(LOG(I11)*4/3))*(IF(Q11=7, (Q11/7)^0.5, ((Q11+1)/7)^0.5))</f>
        <v>1.9794547686326334</v>
      </c>
      <c r="AI11" s="131">
        <f t="shared" ref="AI11" ca="1" si="50">(Z11+N11+(LOG(I11)*4/3))*(Q11/7)^0.5</f>
        <v>3.2437489469405829</v>
      </c>
      <c r="AJ11" s="131">
        <f t="shared" ref="AJ11" ca="1" si="51">(Z11+N11+(LOG(I11)*4/3))*(IF(Q11=7, (Q11/7)^0.5, ((Q11+1)/7)^0.5))</f>
        <v>3.5533489382459709</v>
      </c>
      <c r="AK11" s="9">
        <f t="shared" ref="AK11" ca="1" si="52">(((Y11+LOG(I11)*4/3+N11)+(AB11+LOG(I11)*4/3+N11)*2)/8)*(Q11/7)^0.5</f>
        <v>0.90266581454183259</v>
      </c>
      <c r="AL11" s="9">
        <f t="shared" ref="AL11" ca="1" si="53">(AD11+LOG(I11)*4/3+N11)*0.7+(AC11+LOG(I11)*4/3+N11)*0.3</f>
        <v>1.9480555132891708</v>
      </c>
      <c r="AM11" s="9">
        <f t="shared" ref="AM11" ca="1" si="54">(0.5*(AC11+LOG(I11)*4/3+N11)+ 0.3*(AD11+LOG(I11)*4/3+N11))/10</f>
        <v>0.22604444106313365</v>
      </c>
      <c r="AN11" s="9">
        <f t="shared" ref="AN11" ca="1" si="55">(0.4*(Y11+LOG(I11)*4/3+N11)+0.3*(AD11+LOG(I11)*4/3+N11))/10</f>
        <v>0.14766388593024193</v>
      </c>
      <c r="AO11" s="22">
        <v>1</v>
      </c>
      <c r="AP11" s="22">
        <v>3</v>
      </c>
      <c r="AQ11" s="22">
        <v>1</v>
      </c>
      <c r="AR11" s="145">
        <f t="shared" ref="AR11" si="56">IF(AP11=4,IF(AQ11=0,0.137+0.0697,0.137+0.02),IF(AP11=3,IF(AQ11=0,0.0958+0.0697,0.0958+0.02),IF(AP11=2,IF(AQ11=0,0.0415+0.0697,0.0415+0.02),IF(AP11=1,IF(AQ11=0,0.0294+0.0697,0.0294+0.02),IF(AP11=0,IF(AQ11=0,0.0063+0.0697,0.0063+0.02))))))</f>
        <v>0.1158</v>
      </c>
      <c r="AS11">
        <v>630</v>
      </c>
    </row>
    <row r="12" spans="1:45" x14ac:dyDescent="0.25">
      <c r="A12" s="16" t="s">
        <v>31</v>
      </c>
      <c r="B12" s="16" t="s">
        <v>73</v>
      </c>
      <c r="C12" s="132">
        <f ca="1">((33*112)-(E12*112)-(F12))/112</f>
        <v>15.625</v>
      </c>
      <c r="D12" s="263" t="s">
        <v>342</v>
      </c>
      <c r="E12" s="18">
        <v>17</v>
      </c>
      <c r="F12" s="19">
        <f ca="1">8-159+16-570-5+D2-D1-62</f>
        <v>42</v>
      </c>
      <c r="G12" s="20" t="s">
        <v>45</v>
      </c>
      <c r="H12" s="5">
        <v>1</v>
      </c>
      <c r="I12" s="30">
        <v>1</v>
      </c>
      <c r="J12" s="24">
        <f>LOG(I12)*4/3</f>
        <v>0</v>
      </c>
      <c r="K12" s="7">
        <f>(H12)*(H12)*(I12)</f>
        <v>1</v>
      </c>
      <c r="L12" s="7">
        <f>(H12+1)*(H12+1)*I12</f>
        <v>4</v>
      </c>
      <c r="M12" s="146">
        <v>43046</v>
      </c>
      <c r="N12" s="147">
        <v>1.5</v>
      </c>
      <c r="O12" s="21">
        <v>6.4</v>
      </c>
      <c r="P12" s="22">
        <f>O12*10+19</f>
        <v>83</v>
      </c>
      <c r="Q12" s="22">
        <v>6</v>
      </c>
      <c r="R12" s="126">
        <f>(Q12/7)^0.5</f>
        <v>0.92582009977255142</v>
      </c>
      <c r="S12" s="126">
        <f>IF(Q12=7,1,((Q12+0.99)/7)^0.5)</f>
        <v>0.99928545900129484</v>
      </c>
      <c r="T12" s="32">
        <v>2030</v>
      </c>
      <c r="U12" s="32">
        <f t="shared" ref="U12" si="57">T12-AS12</f>
        <v>90</v>
      </c>
      <c r="V12" s="32">
        <v>350</v>
      </c>
      <c r="W12" s="9">
        <f>T12/V12</f>
        <v>5.8</v>
      </c>
      <c r="X12" s="23">
        <v>0</v>
      </c>
      <c r="Y12" s="24">
        <v>2</v>
      </c>
      <c r="Z12" s="23">
        <v>5.7</v>
      </c>
      <c r="AA12" s="24">
        <v>5.5</v>
      </c>
      <c r="AB12" s="23">
        <f>4.75+0.25+0.25</f>
        <v>5.25</v>
      </c>
      <c r="AC12" s="24">
        <v>3</v>
      </c>
      <c r="AD12" s="23">
        <v>5</v>
      </c>
      <c r="AE12" s="10">
        <v>520</v>
      </c>
      <c r="AF12" s="10">
        <v>2004</v>
      </c>
      <c r="AG12" s="25">
        <f t="shared" ref="AG12" si="58">(AD12+1+(LOG(I12)*4/3)+N12)*(Q12/7)^0.5</f>
        <v>6.9436507482941359</v>
      </c>
      <c r="AH12" s="25">
        <f t="shared" ref="AH12" si="59">(AD12+1+N12+(LOG(I12)*4/3))*(IF(Q12=7, (Q12/7)^0.5, ((Q12+1)/7)^0.5))</f>
        <v>7.5</v>
      </c>
      <c r="AI12" s="131">
        <f t="shared" ref="AI12" si="60">(Z12+N12+(LOG(I12)*4/3))*(Q12/7)^0.5</f>
        <v>6.6659047183623708</v>
      </c>
      <c r="AJ12" s="131">
        <f t="shared" ref="AJ12" si="61">(Z12+N12+(LOG(I12)*4/3))*(IF(Q12=7, (Q12/7)^0.5, ((Q12+1)/7)^0.5))</f>
        <v>7.2</v>
      </c>
      <c r="AK12" s="9">
        <f t="shared" ref="AK12" si="62">(((Y12+LOG(I12)*4/3+N12)+(AB12+LOG(I12)*4/3+N12)*2)/8)*(Q12/7)^0.5</f>
        <v>1.9673677120166717</v>
      </c>
      <c r="AL12" s="9">
        <f t="shared" ref="AL12" si="63">(AD12+LOG(I12)*4/3+N12)*0.7+(AC12+LOG(I12)*4/3+N12)*0.3</f>
        <v>5.8999999999999995</v>
      </c>
      <c r="AM12" s="9">
        <f t="shared" ref="AM12" si="64">(0.5*(AC12+LOG(I12)*4/3+N12)+ 0.3*(AD12+LOG(I12)*4/3+N12))/10</f>
        <v>0.42000000000000004</v>
      </c>
      <c r="AN12" s="9">
        <f t="shared" ref="AN12" si="65">(0.4*(Y12+LOG(I12)*4/3+N12)+0.3*(AD12+LOG(I12)*4/3+N12))/10</f>
        <v>0.33500000000000002</v>
      </c>
      <c r="AO12" s="22">
        <v>4</v>
      </c>
      <c r="AP12" s="22">
        <v>3</v>
      </c>
      <c r="AQ12" s="22">
        <v>2</v>
      </c>
      <c r="AR12" s="145">
        <f>IF(AP12=4,IF(AQ12=0,0.137+0.0697,0.137+0.02),IF(AP12=3,IF(AQ12=0,0.0958+0.0697,0.0958+0.02),IF(AP12=2,IF(AQ12=0,0.0415+0.0697,0.0415+0.02),IF(AP12=1,IF(AQ12=0,0.0294+0.0697,0.0294+0.02),IF(AP12=0,IF(AQ12=0,0.0063+0.0697,0.0063+0.02))))))</f>
        <v>0.1158</v>
      </c>
      <c r="AS12">
        <v>1940</v>
      </c>
    </row>
    <row r="13" spans="1:45" x14ac:dyDescent="0.25">
      <c r="A13" s="16" t="s">
        <v>36</v>
      </c>
      <c r="B13" s="16" t="s">
        <v>73</v>
      </c>
      <c r="C13" s="132">
        <f ca="1">((33*112)-(E13*112)-(F13))/112</f>
        <v>15.625</v>
      </c>
      <c r="D13" s="263" t="s">
        <v>358</v>
      </c>
      <c r="E13" s="18">
        <v>17</v>
      </c>
      <c r="F13" s="3">
        <f ca="1">8-159+16-570-5+D2-D1-2-31-25-4</f>
        <v>42</v>
      </c>
      <c r="G13" s="20" t="s">
        <v>344</v>
      </c>
      <c r="H13" s="43">
        <v>6</v>
      </c>
      <c r="I13" s="30">
        <v>0.5</v>
      </c>
      <c r="J13" s="24">
        <f>LOG(I13)*4/3</f>
        <v>-0.40137332755197491</v>
      </c>
      <c r="K13" s="7">
        <f>(H13)*(H13)*(I13)</f>
        <v>18</v>
      </c>
      <c r="L13" s="7">
        <f>(H13+1)*(H13+1)*I13</f>
        <v>24.5</v>
      </c>
      <c r="M13" s="146">
        <v>43054</v>
      </c>
      <c r="N13" s="147">
        <f ca="1">IF((TODAY()-M13)&gt;335,1,((TODAY()-M13)^0.64)/(336^0.64))</f>
        <v>0.20385623665224431</v>
      </c>
      <c r="O13" s="21">
        <v>5.9</v>
      </c>
      <c r="P13" s="22">
        <f>O13*10+19</f>
        <v>78</v>
      </c>
      <c r="Q13" s="28">
        <v>5</v>
      </c>
      <c r="R13" s="126">
        <f>(Q13/7)^0.5</f>
        <v>0.84515425472851657</v>
      </c>
      <c r="S13" s="126">
        <f>IF(Q13=7,1,((Q13+0.99)/7)^0.5)</f>
        <v>0.92504826128926143</v>
      </c>
      <c r="T13" s="32">
        <v>930</v>
      </c>
      <c r="U13" s="32">
        <f>T13-AS13</f>
        <v>80</v>
      </c>
      <c r="V13" s="32">
        <v>290</v>
      </c>
      <c r="W13" s="9">
        <f>T13/V13</f>
        <v>3.2068965517241379</v>
      </c>
      <c r="X13" s="23">
        <v>0</v>
      </c>
      <c r="Y13" s="24">
        <v>3</v>
      </c>
      <c r="Z13" s="23">
        <v>5</v>
      </c>
      <c r="AA13" s="24">
        <v>4</v>
      </c>
      <c r="AB13" s="23">
        <v>4</v>
      </c>
      <c r="AC13" s="24">
        <v>3</v>
      </c>
      <c r="AD13" s="23">
        <v>3</v>
      </c>
      <c r="AE13" s="10">
        <v>384</v>
      </c>
      <c r="AF13" s="10">
        <v>1968</v>
      </c>
      <c r="AG13" s="25">
        <f t="shared" ref="AG13" ca="1" si="66">(AD13+1+(LOG(I13)*4/3)+N13)*(Q13/7)^0.5</f>
        <v>3.2136846091585602</v>
      </c>
      <c r="AH13" s="25">
        <f t="shared" ref="AH13" ca="1" si="67">(AD13+1+N13+(LOG(I13)*4/3))*(IF(Q13=7, (Q13/7)^0.5, ((Q13+1)/7)^0.5))</f>
        <v>3.5204151062866331</v>
      </c>
      <c r="AI13" s="131">
        <f t="shared" ref="AI13" ca="1" si="68">(Z13+N13+(LOG(I13)*4/3))*(Q13/7)^0.5</f>
        <v>4.0588388638870763</v>
      </c>
      <c r="AJ13" s="131">
        <f t="shared" ref="AJ13" ca="1" si="69">(Z13+N13+(LOG(I13)*4/3))*(IF(Q13=7, (Q13/7)^0.5, ((Q13+1)/7)^0.5))</f>
        <v>4.4462352060591845</v>
      </c>
      <c r="AK13" s="9">
        <f t="shared" ref="AK13" ca="1" si="70">(((Y13+LOG(I13)*4/3+N13)+(AB13+LOG(I13)*4/3+N13)*2)/8)*(Q13/7)^0.5</f>
        <v>1.0994874465933955</v>
      </c>
      <c r="AL13" s="9">
        <f t="shared" ref="AL13" ca="1" si="71">(AD13+LOG(I13)*4/3+N13)*0.7+(AC13+LOG(I13)*4/3+N13)*0.3</f>
        <v>2.8024829091002696</v>
      </c>
      <c r="AM13" s="9">
        <f t="shared" ref="AM13" ca="1" si="72">(0.5*(AC13+LOG(I13)*4/3+N13)+ 0.3*(AD13+LOG(I13)*4/3+N13))/10</f>
        <v>0.22419863272802157</v>
      </c>
      <c r="AN13" s="9">
        <f t="shared" ref="AN13" ca="1" si="73">(0.4*(Y13+LOG(I13)*4/3+N13)+0.3*(AD13+LOG(I13)*4/3+N13))/10</f>
        <v>0.19617380363701886</v>
      </c>
      <c r="AO13" s="22">
        <v>2</v>
      </c>
      <c r="AP13" s="22">
        <v>2</v>
      </c>
      <c r="AQ13" s="22">
        <v>1</v>
      </c>
      <c r="AR13" s="145">
        <f>IF(AP13=4,IF(AQ13=0,0.137+0.0697,0.137+0.02),IF(AP13=3,IF(AQ13=0,0.0958+0.0697,0.0958+0.02),IF(AP13=2,IF(AQ13=0,0.0415+0.0697,0.0415+0.02),IF(AP13=1,IF(AQ13=0,0.0294+0.0697,0.0294+0.02),IF(AP13=0,IF(AQ13=0,0.0063+0.0697,0.0063+0.02))))))</f>
        <v>6.1499999999999999E-2</v>
      </c>
      <c r="AS13" s="239">
        <v>850</v>
      </c>
    </row>
    <row r="14" spans="1:45" x14ac:dyDescent="0.25">
      <c r="A14" s="16" t="s">
        <v>424</v>
      </c>
      <c r="B14" s="16" t="s">
        <v>73</v>
      </c>
      <c r="C14" s="132">
        <f t="shared" ref="C14" ca="1" si="74">((33*112)-(E14*112)-(F14))/112</f>
        <v>15.553571428571429</v>
      </c>
      <c r="D14" s="31" t="s">
        <v>351</v>
      </c>
      <c r="E14" s="18">
        <v>17</v>
      </c>
      <c r="F14" s="3">
        <f ca="1">8-159+16-570-5+D2-D1-2-12-49+9</f>
        <v>50</v>
      </c>
      <c r="G14" s="20" t="s">
        <v>45</v>
      </c>
      <c r="H14" s="5">
        <v>3</v>
      </c>
      <c r="I14" s="30">
        <v>1</v>
      </c>
      <c r="J14" s="24">
        <f t="shared" ref="J14" si="75">LOG(I14)*4/3</f>
        <v>0</v>
      </c>
      <c r="K14" s="7">
        <f t="shared" ref="K14" si="76">(H14)*(H14)*(I14)</f>
        <v>9</v>
      </c>
      <c r="L14" s="7">
        <f t="shared" ref="L14" si="77">(H14+1)*(H14+1)*I14</f>
        <v>16</v>
      </c>
      <c r="M14" s="146">
        <v>43046</v>
      </c>
      <c r="N14" s="147">
        <f t="shared" ref="N14" ca="1" si="78">IF((TODAY()-M14)&gt;335,1,((TODAY()-M14)^0.64)/(336^0.64))</f>
        <v>0.23942884084114555</v>
      </c>
      <c r="O14" s="21">
        <v>6.3</v>
      </c>
      <c r="P14" s="22">
        <f t="shared" ref="P14" si="79">O14*10+19</f>
        <v>82</v>
      </c>
      <c r="Q14" s="28">
        <v>5</v>
      </c>
      <c r="R14" s="126">
        <f t="shared" ref="R14" si="80">(Q14/7)^0.5</f>
        <v>0.84515425472851657</v>
      </c>
      <c r="S14" s="126">
        <f t="shared" ref="S14" si="81">IF(Q14=7,1,((Q14+0.99)/7)^0.5)</f>
        <v>0.92504826128926143</v>
      </c>
      <c r="T14" s="32">
        <v>610</v>
      </c>
      <c r="U14" s="32">
        <f t="shared" ref="U14" si="82">T14-AS14</f>
        <v>40</v>
      </c>
      <c r="V14" s="32">
        <v>270</v>
      </c>
      <c r="W14" s="9">
        <f t="shared" ref="W14" si="83">T14/V14</f>
        <v>2.2592592592592591</v>
      </c>
      <c r="X14" s="23">
        <v>0</v>
      </c>
      <c r="Y14" s="24">
        <v>4</v>
      </c>
      <c r="Z14" s="23">
        <v>2</v>
      </c>
      <c r="AA14" s="24">
        <v>5</v>
      </c>
      <c r="AB14" s="23">
        <f>3+(0.25*0.16)+0.25</f>
        <v>3.29</v>
      </c>
      <c r="AC14" s="24">
        <v>4</v>
      </c>
      <c r="AD14" s="23">
        <v>4</v>
      </c>
      <c r="AE14" s="10">
        <v>369</v>
      </c>
      <c r="AF14" s="10">
        <v>1942</v>
      </c>
      <c r="AG14" s="25">
        <f t="shared" ref="AG14" ca="1" si="84">(AD14+1+(LOG(I14)*4/3)+N14)*(Q14/7)^0.5</f>
        <v>4.4281255771841934</v>
      </c>
      <c r="AH14" s="25">
        <f t="shared" ref="AH14" ca="1" si="85">(AD14+1+N14+(LOG(I14)*4/3))*(IF(Q14=7, (Q14/7)^0.5, ((Q14+1)/7)^0.5))</f>
        <v>4.8507685321787326</v>
      </c>
      <c r="AI14" s="131">
        <f t="shared" ref="AI14" ca="1" si="86">(Z14+N14+(LOG(I14)*4/3))*(Q14/7)^0.5</f>
        <v>1.892662812998644</v>
      </c>
      <c r="AJ14" s="131">
        <f t="shared" ref="AJ14" ca="1" si="87">(Z14+N14+(LOG(I14)*4/3))*(IF(Q14=7, (Q14/7)^0.5, ((Q14+1)/7)^0.5))</f>
        <v>2.0733082328610783</v>
      </c>
      <c r="AK14" s="9">
        <f t="shared" ref="AK14" ca="1" si="88">(((Y14+LOG(I14)*4/3+N14)+(AB14+LOG(I14)*4/3+N14)*2)/8)*(Q14/7)^0.5</f>
        <v>1.1935993657065673</v>
      </c>
      <c r="AL14" s="9">
        <f t="shared" ref="AL14" ca="1" si="89">(AD14+LOG(I14)*4/3+N14)*0.7+(AC14+LOG(I14)*4/3+N14)*0.3</f>
        <v>4.2394288408411454</v>
      </c>
      <c r="AM14" s="9">
        <f t="shared" ref="AM14" ca="1" si="90">(0.5*(AC14+LOG(I14)*4/3+N14)+ 0.3*(AD14+LOG(I14)*4/3+N14))/10</f>
        <v>0.33915430726729162</v>
      </c>
      <c r="AN14" s="9">
        <f t="shared" ref="AN14" ca="1" si="91">(0.4*(Y14+LOG(I14)*4/3+N14)+0.3*(AD14+LOG(I14)*4/3+N14))/10</f>
        <v>0.2967600188588802</v>
      </c>
      <c r="AO14" s="22">
        <v>3</v>
      </c>
      <c r="AP14" s="22">
        <v>4</v>
      </c>
      <c r="AQ14" s="22">
        <v>3</v>
      </c>
      <c r="AR14" s="145">
        <f t="shared" ref="AR14" si="92">IF(AP14=4,IF(AQ14=0,0.137+0.0697,0.137+0.02),IF(AP14=3,IF(AQ14=0,0.0958+0.0697,0.0958+0.02),IF(AP14=2,IF(AQ14=0,0.0415+0.0697,0.0415+0.02),IF(AP14=1,IF(AQ14=0,0.0294+0.0697,0.0294+0.02),IF(AP14=0,IF(AQ14=0,0.0063+0.0697,0.0063+0.02))))))</f>
        <v>0.157</v>
      </c>
      <c r="AS14">
        <v>570</v>
      </c>
    </row>
    <row r="15" spans="1:45" x14ac:dyDescent="0.25">
      <c r="A15" s="16" t="s">
        <v>355</v>
      </c>
      <c r="B15" s="26" t="s">
        <v>44</v>
      </c>
      <c r="C15" s="132">
        <f t="shared" ref="C15" ca="1" si="93">((33*112)-(E15*112)-(F15))/112</f>
        <v>15.642857142857142</v>
      </c>
      <c r="D15" s="1" t="s">
        <v>346</v>
      </c>
      <c r="E15" s="2">
        <v>17</v>
      </c>
      <c r="F15" s="3">
        <f ca="1">8-159+16-570-5+D2-D1-2-62</f>
        <v>40</v>
      </c>
      <c r="G15" s="4" t="s">
        <v>0</v>
      </c>
      <c r="H15" s="5">
        <v>4</v>
      </c>
      <c r="I15" s="6">
        <v>1</v>
      </c>
      <c r="J15" s="24">
        <f t="shared" ref="J15" si="94">LOG(I15)*4/3</f>
        <v>0</v>
      </c>
      <c r="K15" s="7">
        <f t="shared" ref="K15" si="95">(H15)*(H15)*(I15)</f>
        <v>16</v>
      </c>
      <c r="L15" s="7">
        <f t="shared" ref="L15" si="96">(H15+1)*(H15+1)*I15</f>
        <v>25</v>
      </c>
      <c r="M15" s="146">
        <v>43045</v>
      </c>
      <c r="N15" s="147">
        <f ca="1">IF((TODAY()-M15)&gt;335,1,((TODAY()-M15)^0.64)/(336^0.64))</f>
        <v>0.24366433469433585</v>
      </c>
      <c r="O15" s="27">
        <v>6.3</v>
      </c>
      <c r="P15" s="22">
        <f t="shared" ref="P15" si="97">O15*10+19</f>
        <v>82</v>
      </c>
      <c r="Q15" s="28">
        <v>4</v>
      </c>
      <c r="R15" s="126">
        <f t="shared" ref="R15" si="98">(Q15/7)^0.5</f>
        <v>0.7559289460184544</v>
      </c>
      <c r="S15" s="126">
        <f t="shared" ref="S15" si="99">IF(Q15=7,1,((Q15+0.99)/7)^0.5)</f>
        <v>0.84430867747355465</v>
      </c>
      <c r="T15" s="32">
        <v>850</v>
      </c>
      <c r="U15" s="32">
        <f>T15-AS15</f>
        <v>10</v>
      </c>
      <c r="V15" s="8">
        <v>310</v>
      </c>
      <c r="W15" s="9">
        <f t="shared" ref="W15" si="100">T15/V15</f>
        <v>2.7419354838709675</v>
      </c>
      <c r="X15" s="23">
        <v>1</v>
      </c>
      <c r="Y15" s="24">
        <v>4</v>
      </c>
      <c r="Z15" s="23">
        <v>2</v>
      </c>
      <c r="AA15" s="24">
        <v>3</v>
      </c>
      <c r="AB15" s="23">
        <f>3.75+0.25+0.25</f>
        <v>4.25</v>
      </c>
      <c r="AC15" s="24">
        <v>5</v>
      </c>
      <c r="AD15" s="23">
        <v>6</v>
      </c>
      <c r="AE15" s="10">
        <v>407</v>
      </c>
      <c r="AF15" s="10">
        <v>1994</v>
      </c>
      <c r="AG15" s="25">
        <f ca="1">(AD15+1+(LOG(I15)*4/3)+N15)*(Q15/7)^0.5</f>
        <v>5.4756955458369578</v>
      </c>
      <c r="AH15" s="25">
        <f ca="1">(AD15+1+N15+(LOG(I15)*4/3))*(IF(Q15=7, (Q15/7)^0.5, ((Q15+1)/7)^0.5))</f>
        <v>6.1220137322921273</v>
      </c>
      <c r="AI15" s="131">
        <f ca="1">(Z15+N15+(LOG(I15)*4/3))*(Q15/7)^0.5</f>
        <v>1.6960508157446859</v>
      </c>
      <c r="AJ15" s="131">
        <f ca="1">(Z15+N15+(LOG(I15)*4/3))*(IF(Q15=7, (Q15/7)^0.5, ((Q15+1)/7)^0.5))</f>
        <v>1.8962424586495443</v>
      </c>
      <c r="AK15" s="9">
        <f ca="1">(((Y15+LOG(I15)*4/3+N15)+(AB15+LOG(I15)*4/3+N15)*2)/8)*(Q15/7)^0.5</f>
        <v>1.2502113245442514</v>
      </c>
      <c r="AL15" s="9">
        <f ca="1">(AD15+LOG(I15)*4/3+N15)*0.7+(AC15+LOG(I15)*4/3+N15)*0.3</f>
        <v>5.9436643346943363</v>
      </c>
      <c r="AM15" s="9">
        <f ca="1">(0.5*(AC15+LOG(I15)*4/3+N15)+ 0.3*(AD15+LOG(I15)*4/3+N15))/10</f>
        <v>0.44949314677554691</v>
      </c>
      <c r="AN15" s="9">
        <f ca="1">(0.4*(Y15+LOG(I15)*4/3+N15)+0.3*(AD15+LOG(I15)*4/3+N15))/10</f>
        <v>0.35705650342860357</v>
      </c>
      <c r="AO15" s="22">
        <v>1</v>
      </c>
      <c r="AP15" s="22">
        <v>1</v>
      </c>
      <c r="AQ15" s="22">
        <v>2</v>
      </c>
      <c r="AR15" s="145">
        <f>IF(AP15=4,IF(AQ15=0,0.137+0.0697,0.137+0.02),IF(AP15=3,IF(AQ15=0,0.0958+0.0697,0.0958+0.02),IF(AP15=2,IF(AQ15=0,0.0415+0.0697,0.0415+0.02),IF(AP15=1,IF(AQ15=0,0.0294+0.0697,0.0294+0.02),IF(AP15=0,IF(AQ15=0,0.0063+0.0697,0.0063+0.02))))))</f>
        <v>4.9399999999999999E-2</v>
      </c>
      <c r="AS15">
        <v>840</v>
      </c>
    </row>
    <row r="16" spans="1:45" x14ac:dyDescent="0.25">
      <c r="A16" s="16" t="s">
        <v>425</v>
      </c>
      <c r="B16" s="16" t="s">
        <v>44</v>
      </c>
      <c r="C16" s="132">
        <f t="shared" ref="C16" ca="1" si="101">((33*112)-(E16*112)-(F16))/112</f>
        <v>15.258928571428571</v>
      </c>
      <c r="D16" s="31" t="s">
        <v>353</v>
      </c>
      <c r="E16" s="18">
        <v>17</v>
      </c>
      <c r="F16" s="3">
        <f ca="1">8-159+16-570-5+D2-D1-2-12-49+9-11+44</f>
        <v>83</v>
      </c>
      <c r="G16" s="20" t="s">
        <v>72</v>
      </c>
      <c r="H16" s="5">
        <v>3</v>
      </c>
      <c r="I16" s="30">
        <v>0.5</v>
      </c>
      <c r="J16" s="24">
        <f t="shared" ref="J16" si="102">LOG(I16)*4/3</f>
        <v>-0.40137332755197491</v>
      </c>
      <c r="K16" s="7">
        <f t="shared" ref="K16" si="103">(H16)*(H16)*(I16)</f>
        <v>4.5</v>
      </c>
      <c r="L16" s="7">
        <f t="shared" ref="L16" si="104">(H16+1)*(H16+1)*I16</f>
        <v>8</v>
      </c>
      <c r="M16" s="146">
        <v>43046</v>
      </c>
      <c r="N16" s="147">
        <f t="shared" ref="N16" ca="1" si="105">IF((TODAY()-M16)&gt;335,1,((TODAY()-M16)^0.64)/(336^0.64))</f>
        <v>0.23942884084114555</v>
      </c>
      <c r="O16" s="21">
        <v>6.3</v>
      </c>
      <c r="P16" s="22">
        <f t="shared" ref="P16" si="106">O16*10+19</f>
        <v>82</v>
      </c>
      <c r="Q16" s="28">
        <v>7</v>
      </c>
      <c r="R16" s="126">
        <f t="shared" ref="R16" si="107">(Q16/7)^0.5</f>
        <v>1</v>
      </c>
      <c r="S16" s="126">
        <f t="shared" ref="S16" si="108">IF(Q16=7,1,((Q16+0.99)/7)^0.5)</f>
        <v>1</v>
      </c>
      <c r="T16" s="32">
        <v>2040</v>
      </c>
      <c r="U16" s="32">
        <f t="shared" ref="U16" si="109">T16-AS16</f>
        <v>80</v>
      </c>
      <c r="V16" s="32">
        <v>370</v>
      </c>
      <c r="W16" s="9">
        <f t="shared" ref="W16" si="110">T16/V16</f>
        <v>5.5135135135135132</v>
      </c>
      <c r="X16" s="23">
        <v>0</v>
      </c>
      <c r="Y16" s="24">
        <v>5</v>
      </c>
      <c r="Z16" s="23">
        <v>2</v>
      </c>
      <c r="AA16" s="24">
        <v>3</v>
      </c>
      <c r="AB16" s="23">
        <f>4+0.25+0.25</f>
        <v>4.5</v>
      </c>
      <c r="AC16" s="24">
        <v>6</v>
      </c>
      <c r="AD16" s="23">
        <v>3</v>
      </c>
      <c r="AE16" s="10">
        <v>451</v>
      </c>
      <c r="AF16" s="10">
        <v>1977</v>
      </c>
      <c r="AG16" s="25">
        <f t="shared" ref="AG16" ca="1" si="111">(AD16+1+(LOG(I16)*4/3)+N16)*(Q16/7)^0.5</f>
        <v>3.8380555132891705</v>
      </c>
      <c r="AH16" s="25">
        <f t="shared" ref="AH16" ca="1" si="112">(AD16+1+N16+(LOG(I16)*4/3))*(IF(Q16=7, (Q16/7)^0.5, ((Q16+1)/7)^0.5))</f>
        <v>3.8380555132891705</v>
      </c>
      <c r="AI16" s="131">
        <f t="shared" ref="AI16" ca="1" si="113">(Z16+N16+(LOG(I16)*4/3))*(Q16/7)^0.5</f>
        <v>1.8380555132891705</v>
      </c>
      <c r="AJ16" s="131">
        <f t="shared" ref="AJ16" ca="1" si="114">(Z16+N16+(LOG(I16)*4/3))*(IF(Q16=7, (Q16/7)^0.5, ((Q16+1)/7)^0.5))</f>
        <v>1.8380555132891705</v>
      </c>
      <c r="AK16" s="9">
        <f t="shared" ref="AK16" ca="1" si="115">(((Y16+LOG(I16)*4/3+N16)+(AB16+LOG(I16)*4/3+N16)*2)/8)*(Q16/7)^0.5</f>
        <v>1.6892708174834388</v>
      </c>
      <c r="AL16" s="9">
        <f t="shared" ref="AL16" ca="1" si="116">(AD16+LOG(I16)*4/3+N16)*0.7+(AC16+LOG(I16)*4/3+N16)*0.3</f>
        <v>3.7380555132891704</v>
      </c>
      <c r="AM16" s="9">
        <f t="shared" ref="AM16" ca="1" si="117">(0.5*(AC16+LOG(I16)*4/3+N16)+ 0.3*(AD16+LOG(I16)*4/3+N16))/10</f>
        <v>0.37704444106313362</v>
      </c>
      <c r="AN16" s="9">
        <f t="shared" ref="AN16" ca="1" si="118">(0.4*(Y16+LOG(I16)*4/3+N16)+0.3*(AD16+LOG(I16)*4/3+N16))/10</f>
        <v>0.27866388593024194</v>
      </c>
      <c r="AO16" s="22">
        <v>2</v>
      </c>
      <c r="AP16" s="22">
        <v>3</v>
      </c>
      <c r="AQ16" s="22">
        <v>1</v>
      </c>
      <c r="AR16" s="145">
        <f t="shared" ref="AR16" si="119">IF(AP16=4,IF(AQ16=0,0.137+0.0697,0.137+0.02),IF(AP16=3,IF(AQ16=0,0.0958+0.0697,0.0958+0.02),IF(AP16=2,IF(AQ16=0,0.0415+0.0697,0.0415+0.02),IF(AP16=1,IF(AQ16=0,0.0294+0.0697,0.0294+0.02),IF(AP16=0,IF(AQ16=0,0.0063+0.0697,0.0063+0.02))))))</f>
        <v>0.1158</v>
      </c>
      <c r="AS16">
        <v>1960</v>
      </c>
    </row>
    <row r="17" spans="1:45" x14ac:dyDescent="0.25">
      <c r="A17" s="16" t="s">
        <v>427</v>
      </c>
      <c r="B17" s="16" t="s">
        <v>44</v>
      </c>
      <c r="C17" s="132">
        <f t="shared" ref="C17" ca="1" si="120">((33*112)-(E17*112)-(F17))/112</f>
        <v>15.651785714285714</v>
      </c>
      <c r="D17" s="31" t="s">
        <v>352</v>
      </c>
      <c r="E17" s="18">
        <v>17</v>
      </c>
      <c r="F17" s="3">
        <f ca="1">8-159+16-570-5+D2-D1-2-12-49+9-11</f>
        <v>39</v>
      </c>
      <c r="G17" s="20" t="s">
        <v>344</v>
      </c>
      <c r="H17" s="5">
        <v>4</v>
      </c>
      <c r="I17" s="30">
        <v>0.5</v>
      </c>
      <c r="J17" s="24">
        <f t="shared" ref="J17" si="121">LOG(I17)*4/3</f>
        <v>-0.40137332755197491</v>
      </c>
      <c r="K17" s="7">
        <f t="shared" ref="K17" si="122">(H17)*(H17)*(I17)</f>
        <v>8</v>
      </c>
      <c r="L17" s="7">
        <f t="shared" ref="L17" si="123">(H17+1)*(H17+1)*I17</f>
        <v>12.5</v>
      </c>
      <c r="M17" s="146">
        <v>43046</v>
      </c>
      <c r="N17" s="147">
        <f t="shared" ref="N17" ca="1" si="124">IF((TODAY()-M17)&gt;335,1,((TODAY()-M17)^0.64)/(336^0.64))</f>
        <v>0.23942884084114555</v>
      </c>
      <c r="O17" s="21">
        <v>6.2</v>
      </c>
      <c r="P17" s="22">
        <f t="shared" ref="P17" si="125">O17*10+19</f>
        <v>81</v>
      </c>
      <c r="Q17" s="28">
        <v>6</v>
      </c>
      <c r="R17" s="126">
        <f t="shared" ref="R17" si="126">(Q17/7)^0.5</f>
        <v>0.92582009977255142</v>
      </c>
      <c r="S17" s="126">
        <f t="shared" ref="S17" si="127">IF(Q17=7,1,((Q17+0.99)/7)^0.5)</f>
        <v>0.99928545900129484</v>
      </c>
      <c r="T17" s="32">
        <v>640</v>
      </c>
      <c r="U17" s="32">
        <f t="shared" ref="U17" si="128">T17-AS17</f>
        <v>50</v>
      </c>
      <c r="V17" s="32">
        <v>290</v>
      </c>
      <c r="W17" s="9">
        <f t="shared" ref="W17" si="129">T17/V17</f>
        <v>2.2068965517241379</v>
      </c>
      <c r="X17" s="23">
        <v>0</v>
      </c>
      <c r="Y17" s="24">
        <v>4</v>
      </c>
      <c r="Z17" s="23">
        <v>2</v>
      </c>
      <c r="AA17" s="24">
        <v>2</v>
      </c>
      <c r="AB17" s="23">
        <f>3+(0.25*0.16)+(0.25*0.16*3/90)</f>
        <v>3.0413333333333332</v>
      </c>
      <c r="AC17" s="24">
        <v>5</v>
      </c>
      <c r="AD17" s="23">
        <v>2.5</v>
      </c>
      <c r="AE17" s="10">
        <v>334</v>
      </c>
      <c r="AF17" s="10">
        <v>1923</v>
      </c>
      <c r="AG17" s="25">
        <f t="shared" ref="AG17" ca="1" si="130">(AD17+1+(LOG(I17)*4/3)+N17)*(Q17/7)^0.5</f>
        <v>3.0904388883596954</v>
      </c>
      <c r="AH17" s="25">
        <f t="shared" ref="AH17" ca="1" si="131">(AD17+1+N17+(LOG(I17)*4/3))*(IF(Q17=7, (Q17/7)^0.5, ((Q17+1)/7)^0.5))</f>
        <v>3.3380555132891705</v>
      </c>
      <c r="AI17" s="131">
        <f t="shared" ref="AI17" ca="1" si="132">(Z17+N17+(LOG(I17)*4/3))*(Q17/7)^0.5</f>
        <v>1.701708738700868</v>
      </c>
      <c r="AJ17" s="131">
        <f t="shared" ref="AJ17" ca="1" si="133">(Z17+N17+(LOG(I17)*4/3))*(IF(Q17=7, (Q17/7)^0.5, ((Q17+1)/7)^0.5))</f>
        <v>1.8380555132891705</v>
      </c>
      <c r="AK17" s="9">
        <f t="shared" ref="AK17" ca="1" si="134">(((Y17+LOG(I17)*4/3+N17)+(AB17+LOG(I17)*4/3+N17)*2)/8)*(Q17/7)^0.5</f>
        <v>1.1106176345967509</v>
      </c>
      <c r="AL17" s="9">
        <f t="shared" ref="AL17" ca="1" si="135">(AD17+LOG(I17)*4/3+N17)*0.7+(AC17+LOG(I17)*4/3+N17)*0.3</f>
        <v>3.0880555132891701</v>
      </c>
      <c r="AM17" s="9">
        <f t="shared" ref="AM17" ca="1" si="136">(0.5*(AC17+LOG(I17)*4/3+N17)+ 0.3*(AD17+LOG(I17)*4/3+N17))/10</f>
        <v>0.31204444106313362</v>
      </c>
      <c r="AN17" s="9">
        <f t="shared" ref="AN17" ca="1" si="137">(0.4*(Y17+LOG(I17)*4/3+N17)+0.3*(AD17+LOG(I17)*4/3+N17))/10</f>
        <v>0.22366388593024195</v>
      </c>
      <c r="AO17" s="22">
        <v>1</v>
      </c>
      <c r="AP17" s="22">
        <v>2</v>
      </c>
      <c r="AQ17" s="22">
        <v>1</v>
      </c>
      <c r="AR17" s="145">
        <f t="shared" ref="AR17" si="138">IF(AP17=4,IF(AQ17=0,0.137+0.0697,0.137+0.02),IF(AP17=3,IF(AQ17=0,0.0958+0.0697,0.0958+0.02),IF(AP17=2,IF(AQ17=0,0.0415+0.0697,0.0415+0.02),IF(AP17=1,IF(AQ17=0,0.0294+0.0697,0.0294+0.02),IF(AP17=0,IF(AQ17=0,0.0063+0.0697,0.0063+0.02))))))</f>
        <v>6.1499999999999999E-2</v>
      </c>
      <c r="AS17">
        <v>590</v>
      </c>
    </row>
    <row r="18" spans="1:45" x14ac:dyDescent="0.25">
      <c r="A18" s="16" t="s">
        <v>416</v>
      </c>
      <c r="B18" s="16" t="s">
        <v>30</v>
      </c>
      <c r="C18" s="132">
        <f t="shared" ref="C18:C24" ca="1" si="139">((33*112)-(E18*112)-(F18))/112</f>
        <v>0.8482142857142857</v>
      </c>
      <c r="D18" s="261" t="s">
        <v>240</v>
      </c>
      <c r="E18" s="18">
        <v>32</v>
      </c>
      <c r="F18" s="19">
        <f ca="1">72+D2-D1-112-112-112-112-112+17-112-112+10-112</f>
        <v>17</v>
      </c>
      <c r="G18" s="20" t="s">
        <v>72</v>
      </c>
      <c r="H18" s="5">
        <v>3</v>
      </c>
      <c r="I18" s="30">
        <v>9.6999999999999993</v>
      </c>
      <c r="J18" s="24">
        <f t="shared" ref="J18:J24" si="140">LOG(I18)*4/3</f>
        <v>1.3156956456883264</v>
      </c>
      <c r="K18" s="7">
        <f t="shared" ref="K18:K22" si="141">(H18)*(H18)*(I18)</f>
        <v>87.3</v>
      </c>
      <c r="L18" s="7">
        <f t="shared" ref="L18:L22" si="142">(H18+1)*(H18+1)*I18</f>
        <v>155.19999999999999</v>
      </c>
      <c r="M18" s="146">
        <v>42828</v>
      </c>
      <c r="N18" s="147">
        <f t="shared" ref="N18:N24" ca="1" si="143">IF((TODAY()-M18)&gt;335,1,((TODAY()-M18)^0.64)/(336^0.64))</f>
        <v>0.83605806590558429</v>
      </c>
      <c r="O18" s="21">
        <v>7.1</v>
      </c>
      <c r="P18" s="22">
        <f t="shared" ref="P18" si="144">O18*10+19</f>
        <v>90</v>
      </c>
      <c r="Q18" s="22">
        <v>5</v>
      </c>
      <c r="R18" s="126">
        <f t="shared" ref="R18:R24" si="145">(Q18/7)^0.5</f>
        <v>0.84515425472851657</v>
      </c>
      <c r="S18" s="126">
        <f t="shared" ref="S18:S24" si="146">IF(Q18=7,1,((Q18+0.99)/7)^0.5)</f>
        <v>0.92504826128926143</v>
      </c>
      <c r="T18" s="32">
        <v>54910</v>
      </c>
      <c r="U18" s="32">
        <f t="shared" ref="U18:U24" si="147">T18-AS18</f>
        <v>-3910</v>
      </c>
      <c r="V18" s="32">
        <v>15156</v>
      </c>
      <c r="W18" s="9">
        <f t="shared" ref="W18:W20" si="148">T18/V18</f>
        <v>3.622987595671681</v>
      </c>
      <c r="X18" s="23">
        <v>0</v>
      </c>
      <c r="Y18" s="24">
        <v>14</v>
      </c>
      <c r="Z18" s="23">
        <f>7+0.1+0.01</f>
        <v>7.1099999999999994</v>
      </c>
      <c r="AA18" s="24">
        <f>11+1/14*0.5</f>
        <v>11.035714285714286</v>
      </c>
      <c r="AB18" s="23">
        <f>7+0.01+0.01+0.01+0.01+0.01</f>
        <v>7.0499999999999989</v>
      </c>
      <c r="AC18" s="24">
        <f>2+0.01</f>
        <v>2.0099999999999998</v>
      </c>
      <c r="AD18" s="23">
        <f>15+1/6+1/6+1/6+1/6+1/6</f>
        <v>15.83333333333333</v>
      </c>
      <c r="AE18" s="10">
        <v>1650</v>
      </c>
      <c r="AF18" s="10"/>
      <c r="AG18" s="25">
        <f t="shared" ref="AG18:AG24" ca="1" si="149">(AD18+1+(LOG(I18)*4/3)+N18)*(Q18/7)^0.5</f>
        <v>16.045327092411494</v>
      </c>
      <c r="AH18" s="25">
        <f t="shared" ref="AH18:AH24" ca="1" si="150">(AD18+1+N18+(LOG(I18)*4/3))*(IF(Q18=7, (Q18/7)^0.5, ((Q18+1)/7)^0.5))</f>
        <v>17.576775182125107</v>
      </c>
      <c r="AI18" s="131">
        <f t="shared" ref="AI18:AI24" ca="1" si="151">(Z18+N18+(LOG(I18)*4/3))*(Q18/7)^0.5</f>
        <v>7.8276105556012228</v>
      </c>
      <c r="AJ18" s="131">
        <f t="shared" ref="AJ18:AJ24" ca="1" si="152">(Z18+N18+(LOG(I18)*4/3))*(IF(Q18=7, (Q18/7)^0.5, ((Q18+1)/7)^0.5))</f>
        <v>8.5747177453366721</v>
      </c>
      <c r="AK18" s="9">
        <f t="shared" ref="AK18:AK24" ca="1" si="153">(((Y18+LOG(I18)*4/3+N18)+(AB18+LOG(I18)*4/3+N18)*2)/8)*(Q18/7)^0.5</f>
        <v>3.6505657464144661</v>
      </c>
      <c r="AL18" s="9">
        <f t="shared" ref="AL18:AL24" ca="1" si="154">(AD18+LOG(I18)*4/3+N18)*0.7+(AC18+LOG(I18)*4/3+N18)*0.3</f>
        <v>13.83808704492724</v>
      </c>
      <c r="AM18" s="9">
        <f t="shared" ref="AM18:AM24" ca="1" si="155">(0.5*(AC18+LOG(I18)*4/3+N18)+ 0.3*(AD18+LOG(I18)*4/3+N18))/10</f>
        <v>0.74764029692751277</v>
      </c>
      <c r="AN18" s="9">
        <f t="shared" ref="AN18:AN24" ca="1" si="156">(0.4*(Y18+LOG(I18)*4/3+N18)+0.3*(AD18+LOG(I18)*4/3+N18))/10</f>
        <v>1.1856227598115736</v>
      </c>
      <c r="AO18" s="22">
        <v>2</v>
      </c>
      <c r="AP18" s="22">
        <v>1</v>
      </c>
      <c r="AQ18" s="22">
        <v>3</v>
      </c>
      <c r="AR18" s="145">
        <f t="shared" ref="AR18:AR24" si="157">IF(AP18=4,IF(AQ18=0,0.137+0.0697,0.137+0.02),IF(AP18=3,IF(AQ18=0,0.0958+0.0697,0.0958+0.02),IF(AP18=2,IF(AQ18=0,0.0415+0.0697,0.0415+0.02),IF(AP18=1,IF(AQ18=0,0.0294+0.0697,0.0294+0.02),IF(AP18=0,IF(AQ18=0,0.0063+0.0697,0.0063+0.02))))))</f>
        <v>4.9399999999999999E-2</v>
      </c>
      <c r="AS18">
        <v>58820</v>
      </c>
    </row>
    <row r="19" spans="1:45" x14ac:dyDescent="0.25">
      <c r="A19" s="16" t="s">
        <v>417</v>
      </c>
      <c r="B19" s="16" t="s">
        <v>30</v>
      </c>
      <c r="C19" s="132">
        <f t="shared" ca="1" si="139"/>
        <v>1.5446428571428572</v>
      </c>
      <c r="D19" s="262" t="s">
        <v>242</v>
      </c>
      <c r="E19" s="2">
        <v>31</v>
      </c>
      <c r="F19" s="3">
        <f ca="1">8-659+D2-D1-112</f>
        <v>51</v>
      </c>
      <c r="G19" s="4"/>
      <c r="H19" s="5">
        <v>2</v>
      </c>
      <c r="I19" s="6">
        <v>8.9</v>
      </c>
      <c r="J19" s="24">
        <f t="shared" si="140"/>
        <v>1.265853342193217</v>
      </c>
      <c r="K19" s="7">
        <f t="shared" ref="K19" si="158">(H19)*(H19)*(I19)</f>
        <v>35.6</v>
      </c>
      <c r="L19" s="7">
        <f t="shared" ref="L19" si="159">(H19+1)*(H19+1)*I19</f>
        <v>80.100000000000009</v>
      </c>
      <c r="M19" s="146">
        <v>42948</v>
      </c>
      <c r="N19" s="147">
        <f t="shared" ca="1" si="143"/>
        <v>0.555251746708049</v>
      </c>
      <c r="O19" s="27">
        <v>6.9</v>
      </c>
      <c r="P19" s="22">
        <f t="shared" ref="P19:P20" si="160">O19*10+19</f>
        <v>88</v>
      </c>
      <c r="Q19" s="28">
        <v>7</v>
      </c>
      <c r="R19" s="126">
        <f t="shared" ref="R19" si="161">(Q19/7)^0.5</f>
        <v>1</v>
      </c>
      <c r="S19" s="126">
        <f t="shared" ref="S19" si="162">IF(Q19=7,1,((Q19+0.99)/7)^0.5)</f>
        <v>1</v>
      </c>
      <c r="T19" s="32">
        <v>92350</v>
      </c>
      <c r="U19" s="32">
        <f t="shared" si="147"/>
        <v>810</v>
      </c>
      <c r="V19" s="8">
        <v>21540</v>
      </c>
      <c r="W19" s="9">
        <f t="shared" si="148"/>
        <v>4.287372330547818</v>
      </c>
      <c r="X19" s="23">
        <v>0</v>
      </c>
      <c r="Y19" s="24">
        <v>14</v>
      </c>
      <c r="Z19" s="23">
        <f>5+0.02</f>
        <v>5.0199999999999996</v>
      </c>
      <c r="AA19" s="24">
        <f>10+0.01</f>
        <v>10.01</v>
      </c>
      <c r="AB19" s="23">
        <f>9+0.01+0.01+0.01+0.01</f>
        <v>9.0399999999999991</v>
      </c>
      <c r="AC19" s="24">
        <f>1+0.01</f>
        <v>1.01</v>
      </c>
      <c r="AD19" s="23">
        <f>13.6+0.2+0.2+0.2*11/90+0.2</f>
        <v>14.224444444444442</v>
      </c>
      <c r="AE19" s="10">
        <v>1570</v>
      </c>
      <c r="AF19" s="10"/>
      <c r="AG19" s="25">
        <f t="shared" ca="1" si="149"/>
        <v>17.045549533345707</v>
      </c>
      <c r="AH19" s="25">
        <f t="shared" ca="1" si="150"/>
        <v>17.045549533345707</v>
      </c>
      <c r="AI19" s="131">
        <f t="shared" ca="1" si="151"/>
        <v>6.8411050889012657</v>
      </c>
      <c r="AJ19" s="131">
        <f t="shared" ca="1" si="152"/>
        <v>6.8411050889012657</v>
      </c>
      <c r="AK19" s="9">
        <f t="shared" ca="1" si="153"/>
        <v>4.692914408337975</v>
      </c>
      <c r="AL19" s="9">
        <f t="shared" ca="1" si="154"/>
        <v>12.081216200012376</v>
      </c>
      <c r="AM19" s="9">
        <f t="shared" ca="1" si="155"/>
        <v>0.62292174044543458</v>
      </c>
      <c r="AN19" s="9">
        <f t="shared" ca="1" si="156"/>
        <v>1.1142106895564219</v>
      </c>
      <c r="AO19" s="22">
        <v>2</v>
      </c>
      <c r="AP19" s="22">
        <v>3</v>
      </c>
      <c r="AQ19" s="22">
        <v>2</v>
      </c>
      <c r="AR19" s="145">
        <f t="shared" ref="AR19:AR21" si="163">IF(AP19=4,IF(AQ19=0,0.137+0.0697,0.137+0.02),IF(AP19=3,IF(AQ19=0,0.0958+0.0697,0.0958+0.02),IF(AP19=2,IF(AQ19=0,0.0415+0.0697,0.0415+0.02),IF(AP19=1,IF(AQ19=0,0.0294+0.0697,0.0294+0.02),IF(AP19=0,IF(AQ19=0,0.0063+0.0697,0.0063+0.02))))))</f>
        <v>0.1158</v>
      </c>
      <c r="AS19">
        <v>91540</v>
      </c>
    </row>
    <row r="20" spans="1:45" x14ac:dyDescent="0.25">
      <c r="A20" s="16" t="s">
        <v>418</v>
      </c>
      <c r="B20" s="26" t="s">
        <v>30</v>
      </c>
      <c r="C20" s="132">
        <f t="shared" ca="1" si="139"/>
        <v>1.6964285714285714</v>
      </c>
      <c r="D20" s="262" t="s">
        <v>241</v>
      </c>
      <c r="E20" s="2">
        <v>31</v>
      </c>
      <c r="F20" s="3">
        <f ca="1">8-659-17+D2-D1-112</f>
        <v>34</v>
      </c>
      <c r="G20" s="4"/>
      <c r="H20" s="5">
        <v>3</v>
      </c>
      <c r="I20" s="6">
        <v>8.3000000000000007</v>
      </c>
      <c r="J20" s="24">
        <f t="shared" si="140"/>
        <v>1.2254374565014319</v>
      </c>
      <c r="K20" s="7">
        <f t="shared" ref="K20" si="164">(H20)*(H20)*(I20)</f>
        <v>74.7</v>
      </c>
      <c r="L20" s="7">
        <f t="shared" ref="L20" si="165">(H20+1)*(H20+1)*I20</f>
        <v>132.80000000000001</v>
      </c>
      <c r="M20" s="146">
        <v>42869</v>
      </c>
      <c r="N20" s="147">
        <f t="shared" ca="1" si="143"/>
        <v>0.74697455576594451</v>
      </c>
      <c r="O20" s="27">
        <v>7</v>
      </c>
      <c r="P20" s="22">
        <f t="shared" si="160"/>
        <v>89</v>
      </c>
      <c r="Q20" s="28">
        <v>6</v>
      </c>
      <c r="R20" s="126">
        <f t="shared" ref="R20" si="166">(Q20/7)^0.5</f>
        <v>0.92582009977255142</v>
      </c>
      <c r="S20" s="126">
        <f t="shared" ref="S20" si="167">IF(Q20=7,1,((Q20+0.99)/7)^0.5)</f>
        <v>0.99928545900129484</v>
      </c>
      <c r="T20" s="32">
        <v>68090</v>
      </c>
      <c r="U20" s="32">
        <f t="shared" si="147"/>
        <v>2110</v>
      </c>
      <c r="V20" s="8">
        <v>20832</v>
      </c>
      <c r="W20" s="9">
        <f t="shared" si="148"/>
        <v>3.2685291858678958</v>
      </c>
      <c r="X20" s="23">
        <v>0</v>
      </c>
      <c r="Y20" s="24">
        <v>14</v>
      </c>
      <c r="Z20" s="23">
        <f>3+0.02</f>
        <v>3.02</v>
      </c>
      <c r="AA20" s="24">
        <f>3+0.01</f>
        <v>3.01</v>
      </c>
      <c r="AB20" s="23">
        <f>10+0.01</f>
        <v>10.01</v>
      </c>
      <c r="AC20" s="24">
        <v>3</v>
      </c>
      <c r="AD20" s="23">
        <f>17+1/6+1/6+1/6</f>
        <v>17.500000000000004</v>
      </c>
      <c r="AE20" s="10">
        <v>1493</v>
      </c>
      <c r="AF20" s="10"/>
      <c r="AG20" s="25">
        <f t="shared" ca="1" si="149"/>
        <v>18.953770531782165</v>
      </c>
      <c r="AH20" s="25">
        <f t="shared" ca="1" si="150"/>
        <v>20.47241201226738</v>
      </c>
      <c r="AI20" s="131">
        <f t="shared" ca="1" si="151"/>
        <v>4.6220753873030667</v>
      </c>
      <c r="AJ20" s="131">
        <f t="shared" ca="1" si="152"/>
        <v>4.9924120122673763</v>
      </c>
      <c r="AK20" s="9">
        <f t="shared" ca="1" si="153"/>
        <v>4.621836981529011</v>
      </c>
      <c r="AL20" s="9">
        <f t="shared" ca="1" si="154"/>
        <v>15.122412012267377</v>
      </c>
      <c r="AM20" s="9">
        <f t="shared" ca="1" si="155"/>
        <v>0.83279296098139022</v>
      </c>
      <c r="AN20" s="9">
        <f t="shared" ca="1" si="156"/>
        <v>1.2230688408587167</v>
      </c>
      <c r="AO20" s="22">
        <v>1</v>
      </c>
      <c r="AP20" s="22">
        <v>2</v>
      </c>
      <c r="AQ20" s="22">
        <v>3</v>
      </c>
      <c r="AR20" s="145">
        <f t="shared" si="163"/>
        <v>6.1499999999999999E-2</v>
      </c>
      <c r="AS20">
        <v>65980</v>
      </c>
    </row>
    <row r="21" spans="1:45" x14ac:dyDescent="0.25">
      <c r="A21" s="16" t="s">
        <v>419</v>
      </c>
      <c r="B21" s="26" t="s">
        <v>30</v>
      </c>
      <c r="C21" s="132">
        <f t="shared" ca="1" si="139"/>
        <v>0.23214285714285715</v>
      </c>
      <c r="D21" s="262" t="s">
        <v>239</v>
      </c>
      <c r="E21" s="2">
        <v>32</v>
      </c>
      <c r="F21" s="3">
        <f ca="1">51+D2-D1-112-27-112+36+37-112-112-41-112-112-112</f>
        <v>86</v>
      </c>
      <c r="G21" s="4" t="s">
        <v>0</v>
      </c>
      <c r="H21" s="5">
        <v>3</v>
      </c>
      <c r="I21" s="6">
        <v>10.9</v>
      </c>
      <c r="J21" s="24">
        <f t="shared" ref="J21" si="168">LOG(I21)*4/3</f>
        <v>1.383235330587498</v>
      </c>
      <c r="K21" s="7">
        <f>(H21)*(H21)*(I21)</f>
        <v>98.100000000000009</v>
      </c>
      <c r="L21" s="7">
        <f>(H21+1)*(H21+1)*I21</f>
        <v>174.4</v>
      </c>
      <c r="M21" s="146">
        <v>42742</v>
      </c>
      <c r="N21" s="147">
        <f ca="1">IF((TODAY()-M21)&gt;335,1,((TODAY()-M21)^0.64)/(336^0.64))</f>
        <v>1</v>
      </c>
      <c r="O21" s="27">
        <v>6.9</v>
      </c>
      <c r="P21" s="22">
        <f>O21*10+19</f>
        <v>88</v>
      </c>
      <c r="Q21" s="28">
        <v>4</v>
      </c>
      <c r="R21" s="126">
        <f t="shared" ref="R21" si="169">(Q21/7)^0.5</f>
        <v>0.7559289460184544</v>
      </c>
      <c r="S21" s="126">
        <f t="shared" ref="S21" si="170">IF(Q21=7,1,((Q21+0.99)/7)^0.5)</f>
        <v>0.84430867747355465</v>
      </c>
      <c r="T21" s="32">
        <v>74560</v>
      </c>
      <c r="U21" s="32">
        <f t="shared" si="147"/>
        <v>-4490</v>
      </c>
      <c r="V21" s="8">
        <v>21960</v>
      </c>
      <c r="W21" s="9">
        <f>T21/V21</f>
        <v>3.3952641165755919</v>
      </c>
      <c r="X21" s="23">
        <v>0</v>
      </c>
      <c r="Y21" s="24">
        <f>15+1/35</f>
        <v>15.028571428571428</v>
      </c>
      <c r="Z21" s="23">
        <v>12</v>
      </c>
      <c r="AA21" s="24">
        <f>2+0.01</f>
        <v>2.0099999999999998</v>
      </c>
      <c r="AB21" s="23">
        <f>7+1/7+0.01+0.01+0.01+0.01</f>
        <v>7.1828571428571424</v>
      </c>
      <c r="AC21" s="24">
        <v>3.99</v>
      </c>
      <c r="AD21" s="23">
        <f>15+0.2</f>
        <v>15.2</v>
      </c>
      <c r="AE21" s="10">
        <v>1825</v>
      </c>
      <c r="AF21" s="10"/>
      <c r="AG21" s="25">
        <f t="shared" ca="1" si="149"/>
        <v>14.047605497063913</v>
      </c>
      <c r="AH21" s="25">
        <f t="shared" ca="1" si="150"/>
        <v>15.705700406267315</v>
      </c>
      <c r="AI21" s="131">
        <f t="shared" ca="1" si="151"/>
        <v>10.872703923786403</v>
      </c>
      <c r="AJ21" s="131">
        <f t="shared" ca="1" si="152"/>
        <v>12.156052536407545</v>
      </c>
      <c r="AK21" s="9">
        <f t="shared" ca="1" si="153"/>
        <v>3.4530826417075202</v>
      </c>
      <c r="AL21" s="9">
        <f t="shared" ca="1" si="154"/>
        <v>14.220235330587499</v>
      </c>
      <c r="AM21" s="9">
        <f t="shared" ca="1" si="155"/>
        <v>0.84615882644699991</v>
      </c>
      <c r="AN21" s="9">
        <f t="shared" ca="1" si="156"/>
        <v>1.2239693302839822</v>
      </c>
      <c r="AO21" s="22">
        <v>3</v>
      </c>
      <c r="AP21" s="22">
        <v>2</v>
      </c>
      <c r="AQ21" s="22">
        <v>2</v>
      </c>
      <c r="AR21" s="145">
        <f t="shared" si="163"/>
        <v>6.1499999999999999E-2</v>
      </c>
      <c r="AS21">
        <v>79050</v>
      </c>
    </row>
    <row r="22" spans="1:45" x14ac:dyDescent="0.25">
      <c r="A22" s="16" t="s">
        <v>420</v>
      </c>
      <c r="B22" s="16" t="s">
        <v>73</v>
      </c>
      <c r="C22" s="132">
        <f t="shared" ca="1" si="139"/>
        <v>-0.13392857142857142</v>
      </c>
      <c r="D22" s="261" t="s">
        <v>238</v>
      </c>
      <c r="E22" s="18">
        <v>33</v>
      </c>
      <c r="F22" s="3">
        <f ca="1">-35+D2-D1-67-112-112-112+87-112-112-112-112</f>
        <v>15</v>
      </c>
      <c r="G22" s="20" t="s">
        <v>0</v>
      </c>
      <c r="H22" s="5">
        <v>1</v>
      </c>
      <c r="I22" s="30">
        <v>10.199999999999999</v>
      </c>
      <c r="J22" s="24">
        <f t="shared" si="140"/>
        <v>1.34480022901589</v>
      </c>
      <c r="K22" s="7">
        <f t="shared" si="141"/>
        <v>10.199999999999999</v>
      </c>
      <c r="L22" s="7">
        <f t="shared" si="142"/>
        <v>40.799999999999997</v>
      </c>
      <c r="M22" s="146">
        <v>42712</v>
      </c>
      <c r="N22" s="147">
        <f t="shared" ca="1" si="143"/>
        <v>1</v>
      </c>
      <c r="O22" s="27">
        <v>6.9</v>
      </c>
      <c r="P22" s="22">
        <f t="shared" ref="P22" si="171">O22*10+19</f>
        <v>88</v>
      </c>
      <c r="Q22" s="22">
        <v>5</v>
      </c>
      <c r="R22" s="126">
        <f t="shared" si="145"/>
        <v>0.84515425472851657</v>
      </c>
      <c r="S22" s="126">
        <f t="shared" si="146"/>
        <v>0.92504826128926143</v>
      </c>
      <c r="T22" s="32">
        <v>59370</v>
      </c>
      <c r="U22" s="32">
        <f t="shared" si="147"/>
        <v>-20760</v>
      </c>
      <c r="V22" s="32">
        <v>14196</v>
      </c>
      <c r="W22" s="9">
        <f t="shared" ref="W22" si="172">T22/V22</f>
        <v>4.1821639898562974</v>
      </c>
      <c r="X22" s="23">
        <v>0</v>
      </c>
      <c r="Y22" s="24">
        <f>1+1/27</f>
        <v>1.037037037037037</v>
      </c>
      <c r="Z22" s="23">
        <f>13+1/15*0.5+1/15*0.5+1/15*0.5+1/15*0.6+1/22/0.5</f>
        <v>13.230909090909091</v>
      </c>
      <c r="AA22" s="24">
        <f>14+1/15*79/90</f>
        <v>14.058518518518518</v>
      </c>
      <c r="AB22" s="23">
        <f>10+1/8+1/8+1/8+1/8+0.1+0.1*40/90+0.1*20/90+0.1+0.09+0.08</f>
        <v>10.936666666666666</v>
      </c>
      <c r="AC22" s="24">
        <v>2.95</v>
      </c>
      <c r="AD22" s="23">
        <v>11</v>
      </c>
      <c r="AE22" s="10">
        <v>1514</v>
      </c>
      <c r="AF22" s="10"/>
      <c r="AG22" s="25">
        <f t="shared" ca="1" si="149"/>
        <v>12.123568946783378</v>
      </c>
      <c r="AH22" s="25">
        <f t="shared" ca="1" si="150"/>
        <v>13.28070437924481</v>
      </c>
      <c r="AI22" s="131">
        <f t="shared" ca="1" si="151"/>
        <v>13.163877002149206</v>
      </c>
      <c r="AJ22" s="131">
        <f t="shared" ca="1" si="152"/>
        <v>14.420304756601205</v>
      </c>
      <c r="AK22" s="9">
        <f t="shared" ca="1" si="153"/>
        <v>3.1634938332560245</v>
      </c>
      <c r="AL22" s="9">
        <f t="shared" ca="1" si="154"/>
        <v>10.929800229015889</v>
      </c>
      <c r="AM22" s="9">
        <f t="shared" ca="1" si="155"/>
        <v>0.66508401832127118</v>
      </c>
      <c r="AN22" s="9">
        <f t="shared" ca="1" si="156"/>
        <v>0.5356174975125938</v>
      </c>
      <c r="AO22" s="22">
        <v>3</v>
      </c>
      <c r="AP22" s="22">
        <v>2</v>
      </c>
      <c r="AQ22" s="22">
        <v>0</v>
      </c>
      <c r="AR22" s="145">
        <f t="shared" si="157"/>
        <v>0.11119999999999999</v>
      </c>
      <c r="AS22">
        <v>80130</v>
      </c>
    </row>
    <row r="23" spans="1:45" x14ac:dyDescent="0.25">
      <c r="A23" s="16" t="s">
        <v>421</v>
      </c>
      <c r="B23" s="26" t="s">
        <v>44</v>
      </c>
      <c r="C23" s="132">
        <f t="shared" ca="1" si="139"/>
        <v>2.7232142857142856</v>
      </c>
      <c r="D23" s="262" t="s">
        <v>71</v>
      </c>
      <c r="E23" s="2">
        <v>30</v>
      </c>
      <c r="F23" s="3">
        <f ca="1">1+D2-D1-112-112-112-112-112-112-112</f>
        <v>31</v>
      </c>
      <c r="G23" s="20" t="s">
        <v>45</v>
      </c>
      <c r="H23" s="5">
        <v>1</v>
      </c>
      <c r="I23" s="6">
        <v>9.8000000000000007</v>
      </c>
      <c r="J23" s="24">
        <f t="shared" si="140"/>
        <v>1.3216347675899931</v>
      </c>
      <c r="K23" s="7">
        <f t="shared" ref="K23:K24" si="173">(H23)*(H23)*(I23)</f>
        <v>9.8000000000000007</v>
      </c>
      <c r="L23" s="7">
        <f t="shared" ref="L23:L24" si="174">(H23+1)*(H23+1)*I23</f>
        <v>39.200000000000003</v>
      </c>
      <c r="M23" s="146">
        <v>42278</v>
      </c>
      <c r="N23" s="147">
        <f t="shared" ca="1" si="143"/>
        <v>1</v>
      </c>
      <c r="O23" s="27">
        <v>7.5</v>
      </c>
      <c r="P23" s="22">
        <f t="shared" ref="P23:P24" si="175">O23*10+19</f>
        <v>94</v>
      </c>
      <c r="Q23" s="28">
        <v>6</v>
      </c>
      <c r="R23" s="126">
        <f t="shared" si="145"/>
        <v>0.92582009977255142</v>
      </c>
      <c r="S23" s="126">
        <f t="shared" si="146"/>
        <v>0.99928545900129484</v>
      </c>
      <c r="T23" s="32">
        <v>204430</v>
      </c>
      <c r="U23" s="32">
        <f t="shared" si="147"/>
        <v>-570</v>
      </c>
      <c r="V23" s="8">
        <v>30996</v>
      </c>
      <c r="W23" s="9">
        <f t="shared" ref="W23:W24" si="176">T23/V23</f>
        <v>6.595367144147632</v>
      </c>
      <c r="X23" s="23">
        <v>0</v>
      </c>
      <c r="Y23" s="24">
        <f>3+1/5</f>
        <v>3.2</v>
      </c>
      <c r="Z23" s="23">
        <f>14+(1/15)+1/15+1/15+1/15+1/15+1/15</f>
        <v>14.399999999999999</v>
      </c>
      <c r="AA23" s="24">
        <f>2+0.3</f>
        <v>2.2999999999999998</v>
      </c>
      <c r="AB23" s="23">
        <f>11.3+0.11+0.11+0.11+0.11+(0.11*54/90)+0.11+0.11+0.1+0.1+0.1+0.1+0.1+0.09+0.09+0.09+0.08+0.08+0.08+0.08+0.08+0.08+0.08+0.08+0.08+0.08+0.08+0.08+0.08+0.08+0.08+0.06+0.06+0.05+0.05+0.05</f>
        <v>14.266</v>
      </c>
      <c r="AC23" s="24">
        <f>4.1+0.25+0.25+0.25+0.25+0.24+0.24+0.24+0.23+0.23+(0.05*36/90)+0.22+0.2+0.2+0.2+0.18+0.18+0.18+0.18+0.18+0.18+0.18+0.14+0.12+0.12+0.12+0.12+0.1</f>
        <v>9.0999999999999961</v>
      </c>
      <c r="AD23" s="23">
        <f>15.7+0.2+0.2+0.2</f>
        <v>16.299999999999997</v>
      </c>
      <c r="AE23" s="10">
        <v>1881</v>
      </c>
      <c r="AF23" s="10"/>
      <c r="AG23" s="25">
        <f t="shared" ca="1" si="149"/>
        <v>18.166103858230731</v>
      </c>
      <c r="AH23" s="25">
        <f t="shared" ca="1" si="150"/>
        <v>19.621634767589992</v>
      </c>
      <c r="AI23" s="131">
        <f t="shared" ca="1" si="151"/>
        <v>15.481225568890332</v>
      </c>
      <c r="AJ23" s="131">
        <f t="shared" ca="1" si="152"/>
        <v>16.721634767589993</v>
      </c>
      <c r="AK23" s="9">
        <f t="shared" ca="1" si="153"/>
        <v>4.4782964753099224</v>
      </c>
      <c r="AL23" s="9">
        <f t="shared" ca="1" si="154"/>
        <v>16.461634767589992</v>
      </c>
      <c r="AM23" s="9">
        <f t="shared" ca="1" si="155"/>
        <v>1.1297307814071993</v>
      </c>
      <c r="AN23" s="9">
        <f t="shared" ca="1" si="156"/>
        <v>0.77951443373129947</v>
      </c>
      <c r="AO23" s="22">
        <v>2</v>
      </c>
      <c r="AP23" s="22">
        <v>2</v>
      </c>
      <c r="AQ23" s="22">
        <v>2</v>
      </c>
      <c r="AR23" s="145">
        <f t="shared" si="157"/>
        <v>6.1499999999999999E-2</v>
      </c>
      <c r="AS23">
        <v>205000</v>
      </c>
    </row>
    <row r="24" spans="1:45" x14ac:dyDescent="0.25">
      <c r="A24" s="16" t="s">
        <v>422</v>
      </c>
      <c r="B24" s="16" t="s">
        <v>44</v>
      </c>
      <c r="C24" s="132">
        <f t="shared" ca="1" si="139"/>
        <v>3.2142857142857144</v>
      </c>
      <c r="D24" s="262" t="s">
        <v>49</v>
      </c>
      <c r="E24" s="2">
        <v>29</v>
      </c>
      <c r="F24" s="3">
        <f ca="1">58++D2-D1-112-112-112-112-112-112-112</f>
        <v>88</v>
      </c>
      <c r="G24" s="4" t="s">
        <v>45</v>
      </c>
      <c r="H24" s="5">
        <v>1</v>
      </c>
      <c r="I24" s="6">
        <v>9.5</v>
      </c>
      <c r="J24" s="24">
        <f t="shared" si="140"/>
        <v>1.3036314737184636</v>
      </c>
      <c r="K24" s="7">
        <f t="shared" si="173"/>
        <v>9.5</v>
      </c>
      <c r="L24" s="7">
        <f t="shared" si="174"/>
        <v>38</v>
      </c>
      <c r="M24" s="146">
        <v>42267</v>
      </c>
      <c r="N24" s="147">
        <f t="shared" ca="1" si="143"/>
        <v>1</v>
      </c>
      <c r="O24" s="27">
        <v>7.8</v>
      </c>
      <c r="P24" s="22">
        <f t="shared" si="175"/>
        <v>97</v>
      </c>
      <c r="Q24" s="28">
        <v>5</v>
      </c>
      <c r="R24" s="126">
        <f t="shared" si="145"/>
        <v>0.84515425472851657</v>
      </c>
      <c r="S24" s="126">
        <f t="shared" si="146"/>
        <v>0.92504826128926143</v>
      </c>
      <c r="T24" s="32">
        <v>244620</v>
      </c>
      <c r="U24" s="32">
        <f t="shared" si="147"/>
        <v>-10050</v>
      </c>
      <c r="V24" s="8">
        <v>31320</v>
      </c>
      <c r="W24" s="9">
        <f t="shared" si="176"/>
        <v>7.8103448275862073</v>
      </c>
      <c r="X24" s="23">
        <v>0</v>
      </c>
      <c r="Y24" s="24">
        <f>2+1/26</f>
        <v>2.0384615384615383</v>
      </c>
      <c r="Z24" s="23">
        <f>13+(1/13)+1/13+1/13+1/13+1/13+1/13+1/13*0.5</f>
        <v>13.499999999999998</v>
      </c>
      <c r="AA24" s="24">
        <f>4+1/5*0.5</f>
        <v>4.0999999999999996</v>
      </c>
      <c r="AB24" s="23">
        <f>11.45+0.11+0.11+0.11+0.11+0.11+0.11+0.11+0.1+0.1+0.1+0.1+0.1+0.1+0.1+0.1+0.08+0.08+0.08+0.08+0.07+0.07+0.07+0.07*80/90+0.07+0.07+0.07+0.07+0.07+0.06+0.06+0.06+0.06+0.05+0.05+0.05</f>
        <v>14.352222222222222</v>
      </c>
      <c r="AC24" s="24">
        <f>5.21+(72/90)*0.24+0.23+0.23+0.23+0.23+0.23+0.23+0.22+0.22+0.2+0.2+0.19+0.19+0.18+0.18+0.18+0.17+0.17+0.16+0.14+0.14+0.14+0.11+0.11+0.11+0.11+0.11+1/12</f>
        <v>10.095333333333334</v>
      </c>
      <c r="AD24" s="23">
        <f>14+0.25+0.25+0.25+0.25+0.2+0.2</f>
        <v>15.399999999999999</v>
      </c>
      <c r="AE24" s="10">
        <v>1804</v>
      </c>
      <c r="AF24" s="10"/>
      <c r="AG24" s="25">
        <f t="shared" ca="1" si="149"/>
        <v>15.807453718887354</v>
      </c>
      <c r="AH24" s="25">
        <f t="shared" ca="1" si="150"/>
        <v>17.316197957107061</v>
      </c>
      <c r="AI24" s="131">
        <f t="shared" ca="1" si="151"/>
        <v>13.356506380174654</v>
      </c>
      <c r="AJ24" s="131">
        <f t="shared" ca="1" si="152"/>
        <v>14.631319667766659</v>
      </c>
      <c r="AK24" s="9">
        <f t="shared" ca="1" si="153"/>
        <v>3.9779087022738504</v>
      </c>
      <c r="AL24" s="9">
        <f t="shared" ca="1" si="154"/>
        <v>16.112231473718463</v>
      </c>
      <c r="AM24" s="9">
        <f t="shared" ca="1" si="155"/>
        <v>1.1510571845641437</v>
      </c>
      <c r="AN24" s="9">
        <f t="shared" ca="1" si="156"/>
        <v>0.7047926646987539</v>
      </c>
      <c r="AO24" s="22">
        <v>1</v>
      </c>
      <c r="AP24" s="22">
        <v>1</v>
      </c>
      <c r="AQ24" s="22">
        <v>2</v>
      </c>
      <c r="AR24" s="145">
        <f t="shared" si="157"/>
        <v>4.9399999999999999E-2</v>
      </c>
      <c r="AS24">
        <v>254670</v>
      </c>
    </row>
    <row r="25" spans="1:45" x14ac:dyDescent="0.25">
      <c r="A25" s="16"/>
      <c r="B25" s="16"/>
      <c r="C25" s="132"/>
      <c r="D25" s="31" t="s">
        <v>193</v>
      </c>
      <c r="E25" s="18"/>
      <c r="F25" s="19"/>
      <c r="G25" s="20"/>
      <c r="H25" s="5"/>
      <c r="I25" s="30"/>
      <c r="J25" s="24"/>
      <c r="K25" s="7"/>
      <c r="L25" s="7"/>
      <c r="M25" s="146"/>
      <c r="N25" s="147"/>
      <c r="O25" s="21"/>
      <c r="P25" s="22"/>
      <c r="Q25" s="22"/>
      <c r="R25" s="126"/>
      <c r="S25" s="126"/>
      <c r="T25" s="32"/>
      <c r="U25" s="32"/>
      <c r="V25" s="32"/>
      <c r="W25" s="9"/>
      <c r="X25" s="23"/>
      <c r="Y25" s="24"/>
      <c r="Z25" s="23"/>
      <c r="AA25" s="24"/>
      <c r="AB25" s="23"/>
      <c r="AC25" s="24"/>
      <c r="AD25" s="23"/>
      <c r="AE25" s="10"/>
      <c r="AF25" s="10"/>
      <c r="AG25" s="25"/>
      <c r="AH25" s="25"/>
      <c r="AI25" s="131"/>
      <c r="AJ25" s="131"/>
      <c r="AK25" s="9"/>
      <c r="AL25" s="9"/>
      <c r="AM25" s="9"/>
      <c r="AN25" s="9"/>
      <c r="AO25" s="22">
        <v>0</v>
      </c>
      <c r="AP25" s="22">
        <v>4</v>
      </c>
      <c r="AQ25" s="22">
        <v>0</v>
      </c>
      <c r="AR25" s="145">
        <f>IF(AP25=4,IF(AQ25=0,0.137+0.0697,0.137+0.02),IF(AP25=3,IF(AQ25=0,0.0958+0.0697,0.0958+0.02),IF(AP25=2,IF(AQ25=0,0.0415+0.0697,0.0415+0.02),IF(AP25=1,IF(AQ25=0,0.0294+0.0697,0.0294+0.02),IF(AP25=0,IF(AQ25=0,0.0063+0.0697,0.0063+0.02))))))</f>
        <v>0.20669999999999999</v>
      </c>
    </row>
    <row r="26" spans="1:45" x14ac:dyDescent="0.25">
      <c r="V26" s="75"/>
    </row>
    <row r="28" spans="1:45" x14ac:dyDescent="0.25">
      <c r="V28" s="75"/>
    </row>
  </sheetData>
  <conditionalFormatting sqref="U2">
    <cfRule type="dataBar" priority="408">
      <dataBar>
        <cfvo type="min"/>
        <cfvo type="max"/>
        <color rgb="FF63C384"/>
      </dataBar>
      <extLst>
        <ext xmlns:x14="http://schemas.microsoft.com/office/spreadsheetml/2009/9/main" uri="{B025F937-C7B1-47D3-B67F-A62EFF666E3E}">
          <x14:id>{1A3317A4-2E15-4A61-81B2-0B5998394877}</x14:id>
        </ext>
      </extLst>
    </cfRule>
  </conditionalFormatting>
  <conditionalFormatting sqref="I4:I25">
    <cfRule type="cellIs" dxfId="40" priority="37" operator="lessThan">
      <formula>6</formula>
    </cfRule>
  </conditionalFormatting>
  <conditionalFormatting sqref="N4:N25">
    <cfRule type="cellIs" dxfId="39" priority="36" operator="lessThan">
      <formula>0.75</formula>
    </cfRule>
  </conditionalFormatting>
  <conditionalFormatting sqref="P4:P25">
    <cfRule type="cellIs" dxfId="38" priority="34" operator="greaterThan">
      <formula>90</formula>
    </cfRule>
    <cfRule type="cellIs" dxfId="37" priority="35" operator="lessThan">
      <formula>85</formula>
    </cfRule>
  </conditionalFormatting>
  <conditionalFormatting sqref="X25:AD25 X4:AD17">
    <cfRule type="colorScale" priority="4729">
      <colorScale>
        <cfvo type="min"/>
        <cfvo type="max"/>
        <color rgb="FFFCFCFF"/>
        <color rgb="FFF8696B"/>
      </colorScale>
    </cfRule>
  </conditionalFormatting>
  <conditionalFormatting sqref="C4:C25">
    <cfRule type="colorScale" priority="4774">
      <colorScale>
        <cfvo type="min"/>
        <cfvo type="max"/>
        <color rgb="FFFFEF9C"/>
        <color rgb="FF63BE7B"/>
      </colorScale>
    </cfRule>
  </conditionalFormatting>
  <conditionalFormatting sqref="R4:S25">
    <cfRule type="colorScale" priority="4776">
      <colorScale>
        <cfvo type="min"/>
        <cfvo type="percentile" val="50"/>
        <cfvo type="max"/>
        <color rgb="FFF8696B"/>
        <color rgb="FFFFEB84"/>
        <color rgb="FF63BE7B"/>
      </colorScale>
    </cfRule>
  </conditionalFormatting>
  <conditionalFormatting sqref="T4:T25">
    <cfRule type="dataBar" priority="4778">
      <dataBar>
        <cfvo type="min"/>
        <cfvo type="max"/>
        <color rgb="FF63C384"/>
      </dataBar>
      <extLst>
        <ext xmlns:x14="http://schemas.microsoft.com/office/spreadsheetml/2009/9/main" uri="{B025F937-C7B1-47D3-B67F-A62EFF666E3E}">
          <x14:id>{F860546A-4F1E-4989-99AD-7501305A84EB}</x14:id>
        </ext>
      </extLst>
    </cfRule>
  </conditionalFormatting>
  <conditionalFormatting sqref="V4:V25">
    <cfRule type="dataBar" priority="4780">
      <dataBar>
        <cfvo type="min"/>
        <cfvo type="max"/>
        <color rgb="FFFF555A"/>
      </dataBar>
      <extLst>
        <ext xmlns:x14="http://schemas.microsoft.com/office/spreadsheetml/2009/9/main" uri="{B025F937-C7B1-47D3-B67F-A62EFF666E3E}">
          <x14:id>{10C27641-B545-40C6-AB33-61DE0C4A3523}</x14:id>
        </ext>
      </extLst>
    </cfRule>
  </conditionalFormatting>
  <conditionalFormatting sqref="U4:U25">
    <cfRule type="dataBar" priority="4782">
      <dataBar>
        <cfvo type="min"/>
        <cfvo type="max"/>
        <color rgb="FF63C384"/>
      </dataBar>
      <extLst>
        <ext xmlns:x14="http://schemas.microsoft.com/office/spreadsheetml/2009/9/main" uri="{B025F937-C7B1-47D3-B67F-A62EFF666E3E}">
          <x14:id>{865F7CB9-FE3D-4143-AA80-12651D5E426D}</x14:id>
        </ext>
      </extLst>
    </cfRule>
  </conditionalFormatting>
  <conditionalFormatting sqref="W4:W25">
    <cfRule type="dataBar" priority="4784">
      <dataBar>
        <cfvo type="min"/>
        <cfvo type="max"/>
        <color rgb="FFFFB628"/>
      </dataBar>
      <extLst>
        <ext xmlns:x14="http://schemas.microsoft.com/office/spreadsheetml/2009/9/main" uri="{B025F937-C7B1-47D3-B67F-A62EFF666E3E}">
          <x14:id>{BC0019C4-5DF2-4032-8F76-A8A2E8FCCC3F}</x14:id>
        </ext>
      </extLst>
    </cfRule>
  </conditionalFormatting>
  <conditionalFormatting sqref="X18:AD24">
    <cfRule type="cellIs" dxfId="36" priority="4786" operator="greaterThan">
      <formula>10</formula>
    </cfRule>
    <cfRule type="colorScale" priority="4787">
      <colorScale>
        <cfvo type="min"/>
        <cfvo type="max"/>
        <color rgb="FFFFEF9C"/>
        <color rgb="FF63BE7B"/>
      </colorScale>
    </cfRule>
  </conditionalFormatting>
  <conditionalFormatting sqref="AE4:AF25">
    <cfRule type="dataBar" priority="4790">
      <dataBar>
        <cfvo type="min"/>
        <cfvo type="max"/>
        <color rgb="FF638EC6"/>
      </dataBar>
      <extLst>
        <ext xmlns:x14="http://schemas.microsoft.com/office/spreadsheetml/2009/9/main" uri="{B025F937-C7B1-47D3-B67F-A62EFF666E3E}">
          <x14:id>{16A029B8-9A6F-4902-9C8F-35D0EA6E393A}</x14:id>
        </ext>
      </extLst>
    </cfRule>
  </conditionalFormatting>
  <conditionalFormatting sqref="AG4:AH25">
    <cfRule type="colorScale" priority="4792">
      <colorScale>
        <cfvo type="min"/>
        <cfvo type="percentile" val="50"/>
        <cfvo type="max"/>
        <color rgb="FFF8696B"/>
        <color rgb="FFFFEB84"/>
        <color rgb="FF63BE7B"/>
      </colorScale>
    </cfRule>
  </conditionalFormatting>
  <conditionalFormatting sqref="AI4:AJ25">
    <cfRule type="colorScale" priority="4794">
      <colorScale>
        <cfvo type="min"/>
        <cfvo type="percentile" val="50"/>
        <cfvo type="max"/>
        <color rgb="FFF8696B"/>
        <color rgb="FFFFEB84"/>
        <color rgb="FF63BE7B"/>
      </colorScale>
    </cfRule>
  </conditionalFormatting>
  <conditionalFormatting sqref="AK4:AK25">
    <cfRule type="colorScale" priority="4796">
      <colorScale>
        <cfvo type="min"/>
        <cfvo type="percentile" val="50"/>
        <cfvo type="max"/>
        <color rgb="FFF8696B"/>
        <color rgb="FFFFEB84"/>
        <color rgb="FF63BE7B"/>
      </colorScale>
    </cfRule>
  </conditionalFormatting>
  <conditionalFormatting sqref="AL4:AL25">
    <cfRule type="colorScale" priority="4798">
      <colorScale>
        <cfvo type="min"/>
        <cfvo type="percentile" val="50"/>
        <cfvo type="max"/>
        <color rgb="FFF8696B"/>
        <color rgb="FFFFEB84"/>
        <color rgb="FF63BE7B"/>
      </colorScale>
    </cfRule>
  </conditionalFormatting>
  <conditionalFormatting sqref="AM4:AN25">
    <cfRule type="colorScale" priority="4800">
      <colorScale>
        <cfvo type="min"/>
        <cfvo type="percentile" val="50"/>
        <cfvo type="max"/>
        <color rgb="FFF8696B"/>
        <color rgb="FFFFEB84"/>
        <color rgb="FF63BE7B"/>
      </colorScale>
    </cfRule>
  </conditionalFormatting>
  <conditionalFormatting sqref="AR4:AR25">
    <cfRule type="colorScale" priority="4802">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F860546A-4F1E-4989-99AD-7501305A84EB}">
            <x14:dataBar minLength="0" maxLength="100" border="1" negativeBarBorderColorSameAsPositive="0">
              <x14:cfvo type="autoMin"/>
              <x14:cfvo type="autoMax"/>
              <x14:borderColor rgb="FF63C384"/>
              <x14:negativeFillColor rgb="FFFF0000"/>
              <x14:negativeBorderColor rgb="FFFF0000"/>
              <x14:axisColor rgb="FF000000"/>
            </x14:dataBar>
          </x14:cfRule>
          <xm:sqref>T4:T25</xm:sqref>
        </x14:conditionalFormatting>
        <x14:conditionalFormatting xmlns:xm="http://schemas.microsoft.com/office/excel/2006/main">
          <x14:cfRule type="dataBar" id="{10C27641-B545-40C6-AB33-61DE0C4A3523}">
            <x14:dataBar minLength="0" maxLength="100" border="1" negativeBarBorderColorSameAsPositive="0">
              <x14:cfvo type="autoMin"/>
              <x14:cfvo type="autoMax"/>
              <x14:borderColor rgb="FFFF555A"/>
              <x14:negativeFillColor rgb="FFFF0000"/>
              <x14:negativeBorderColor rgb="FFFF0000"/>
              <x14:axisColor rgb="FF000000"/>
            </x14:dataBar>
          </x14:cfRule>
          <xm:sqref>V4:V25</xm:sqref>
        </x14:conditionalFormatting>
        <x14:conditionalFormatting xmlns:xm="http://schemas.microsoft.com/office/excel/2006/main">
          <x14:cfRule type="dataBar" id="{865F7CB9-FE3D-4143-AA80-12651D5E426D}">
            <x14:dataBar minLength="0" maxLength="100" border="1" negativeBarBorderColorSameAsPositive="0">
              <x14:cfvo type="autoMin"/>
              <x14:cfvo type="autoMax"/>
              <x14:borderColor rgb="FF63C384"/>
              <x14:negativeFillColor rgb="FFFF0000"/>
              <x14:negativeBorderColor rgb="FFFF0000"/>
              <x14:axisColor rgb="FF000000"/>
            </x14:dataBar>
          </x14:cfRule>
          <xm:sqref>U4:U25</xm:sqref>
        </x14:conditionalFormatting>
        <x14:conditionalFormatting xmlns:xm="http://schemas.microsoft.com/office/excel/2006/main">
          <x14:cfRule type="dataBar" id="{BC0019C4-5DF2-4032-8F76-A8A2E8FCCC3F}">
            <x14:dataBar minLength="0" maxLength="100" border="1" negativeBarBorderColorSameAsPositive="0">
              <x14:cfvo type="autoMin"/>
              <x14:cfvo type="autoMax"/>
              <x14:borderColor rgb="FFFFB628"/>
              <x14:negativeFillColor rgb="FFFF0000"/>
              <x14:negativeBorderColor rgb="FFFF0000"/>
              <x14:axisColor rgb="FF000000"/>
            </x14:dataBar>
          </x14:cfRule>
          <xm:sqref>W4:W25</xm:sqref>
        </x14:conditionalFormatting>
        <x14:conditionalFormatting xmlns:xm="http://schemas.microsoft.com/office/excel/2006/main">
          <x14:cfRule type="dataBar" id="{16A029B8-9A6F-4902-9C8F-35D0EA6E393A}">
            <x14:dataBar minLength="0" maxLength="100" border="1" negativeBarBorderColorSameAsPositive="0">
              <x14:cfvo type="autoMin"/>
              <x14:cfvo type="autoMax"/>
              <x14:borderColor rgb="FF638EC6"/>
              <x14:negativeFillColor rgb="FFFF0000"/>
              <x14:negativeBorderColor rgb="FFFF0000"/>
              <x14:axisColor rgb="FF000000"/>
            </x14:dataBar>
          </x14:cfRule>
          <xm:sqref>AE4:AF25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Z31"/>
  <sheetViews>
    <sheetView zoomScale="90" zoomScaleNormal="90" workbookViewId="0">
      <selection activeCell="D7" sqref="D7"/>
    </sheetView>
  </sheetViews>
  <sheetFormatPr baseColWidth="10"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 min="21" max="21" width="7.7109375" bestFit="1" customWidth="1"/>
    <col min="22" max="22" width="22" bestFit="1" customWidth="1"/>
    <col min="23" max="24" width="6" bestFit="1" customWidth="1"/>
    <col min="25" max="26" width="4.85546875" bestFit="1" customWidth="1"/>
  </cols>
  <sheetData>
    <row r="1" spans="1:26" x14ac:dyDescent="0.25">
      <c r="A1" s="33">
        <v>43062</v>
      </c>
      <c r="E1" s="246" t="s">
        <v>387</v>
      </c>
      <c r="F1" s="247" t="s">
        <v>388</v>
      </c>
      <c r="G1" s="248"/>
      <c r="H1" s="248"/>
      <c r="I1" s="249" t="s">
        <v>387</v>
      </c>
      <c r="J1" s="250" t="s">
        <v>388</v>
      </c>
      <c r="K1" s="98"/>
      <c r="P1" s="246" t="s">
        <v>387</v>
      </c>
      <c r="Q1" s="247" t="s">
        <v>388</v>
      </c>
      <c r="R1" s="246"/>
      <c r="S1" s="247"/>
      <c r="V1" s="119"/>
      <c r="W1" s="246" t="s">
        <v>387</v>
      </c>
      <c r="X1" s="247" t="s">
        <v>388</v>
      </c>
      <c r="Y1" s="246"/>
      <c r="Z1" s="247"/>
    </row>
    <row r="2" spans="1:26" x14ac:dyDescent="0.25">
      <c r="A2" s="251" t="s">
        <v>3</v>
      </c>
      <c r="B2" s="251" t="s">
        <v>389</v>
      </c>
      <c r="C2" s="251" t="s">
        <v>390</v>
      </c>
      <c r="D2" s="251" t="s">
        <v>18</v>
      </c>
      <c r="E2" s="246" t="s">
        <v>8</v>
      </c>
      <c r="F2" s="247" t="s">
        <v>8</v>
      </c>
      <c r="G2" s="248" t="s">
        <v>7</v>
      </c>
      <c r="H2" s="248" t="s">
        <v>7</v>
      </c>
      <c r="I2" s="249" t="s">
        <v>391</v>
      </c>
      <c r="J2" s="250" t="s">
        <v>391</v>
      </c>
      <c r="K2" s="98"/>
      <c r="P2" s="246" t="s">
        <v>8</v>
      </c>
      <c r="Q2" s="247" t="s">
        <v>8</v>
      </c>
      <c r="R2" s="246" t="s">
        <v>7</v>
      </c>
      <c r="S2" s="247" t="s">
        <v>7</v>
      </c>
      <c r="V2" s="119"/>
      <c r="W2" s="246" t="s">
        <v>8</v>
      </c>
      <c r="X2" s="247" t="s">
        <v>8</v>
      </c>
      <c r="Y2" s="246" t="s">
        <v>7</v>
      </c>
      <c r="Z2" s="247" t="s">
        <v>7</v>
      </c>
    </row>
    <row r="3" spans="1:26" x14ac:dyDescent="0.25">
      <c r="A3" s="252" t="e">
        <f>PLANTILLA!#REF!</f>
        <v>#REF!</v>
      </c>
      <c r="B3" s="253" t="e">
        <f>PLANTILLA!#REF!</f>
        <v>#REF!</v>
      </c>
      <c r="C3" s="253" t="e">
        <f>PLANTILLA!#REF!</f>
        <v>#REF!</v>
      </c>
      <c r="D3" s="254" t="e">
        <f>PLANTILLA!#REF!</f>
        <v>#REF!</v>
      </c>
      <c r="E3" s="255" t="e">
        <f>D3</f>
        <v>#REF!</v>
      </c>
      <c r="F3" s="255" t="e">
        <f>E3+0.1</f>
        <v>#REF!</v>
      </c>
      <c r="G3" s="255" t="e">
        <f>C3</f>
        <v>#REF!</v>
      </c>
      <c r="H3" s="255" t="e">
        <f t="shared" ref="H3" si="0">G3+0.99</f>
        <v>#REF!</v>
      </c>
      <c r="I3" s="256" t="e">
        <f t="shared" ref="I3:J3" si="1">G3*G3*E3</f>
        <v>#REF!</v>
      </c>
      <c r="J3" s="256" t="e">
        <f t="shared" si="1"/>
        <v>#REF!</v>
      </c>
      <c r="K3" s="257"/>
      <c r="N3" s="56" t="s">
        <v>391</v>
      </c>
      <c r="O3" t="e">
        <f>A15</f>
        <v>#REF!</v>
      </c>
      <c r="P3" s="258" t="e">
        <f>E15</f>
        <v>#REF!</v>
      </c>
      <c r="Q3" s="258" t="e">
        <f t="shared" ref="Q3:S3" si="2">F15</f>
        <v>#REF!</v>
      </c>
      <c r="R3" s="258" t="e">
        <f t="shared" si="2"/>
        <v>#REF!</v>
      </c>
      <c r="S3" s="258" t="e">
        <f t="shared" si="2"/>
        <v>#REF!</v>
      </c>
      <c r="U3" s="56" t="s">
        <v>391</v>
      </c>
      <c r="V3" s="119" t="str">
        <f>A8</f>
        <v>Ibiur Altxakoa</v>
      </c>
      <c r="W3" s="258">
        <f>E8</f>
        <v>10.9</v>
      </c>
      <c r="X3" s="258">
        <f t="shared" ref="X3:Z3" si="3">F8</f>
        <v>11</v>
      </c>
      <c r="Y3" s="258">
        <f t="shared" si="3"/>
        <v>3</v>
      </c>
      <c r="Z3" s="258">
        <f t="shared" si="3"/>
        <v>3.99</v>
      </c>
    </row>
    <row r="4" spans="1:26" x14ac:dyDescent="0.25">
      <c r="A4" s="252" t="str">
        <f>PLANTILLA!D18</f>
        <v>Mario Omarini</v>
      </c>
      <c r="B4" s="253">
        <f>PLANTILLA!E18</f>
        <v>32</v>
      </c>
      <c r="C4" s="253">
        <f>PLANTILLA!H18</f>
        <v>3</v>
      </c>
      <c r="D4" s="254">
        <f>PLANTILLA!I18</f>
        <v>9.6999999999999993</v>
      </c>
      <c r="E4" s="255">
        <f t="shared" ref="E4:E31" si="4">D4</f>
        <v>9.6999999999999993</v>
      </c>
      <c r="F4" s="255">
        <f t="shared" ref="F4:F31" si="5">E4+0.1</f>
        <v>9.7999999999999989</v>
      </c>
      <c r="G4" s="255">
        <f t="shared" ref="G4:G31" si="6">C4</f>
        <v>3</v>
      </c>
      <c r="H4" s="255">
        <f t="shared" ref="H4:H31" si="7">G4+0.99</f>
        <v>3.99</v>
      </c>
      <c r="I4" s="256">
        <f t="shared" ref="I4:I31" si="8">G4*G4*E4</f>
        <v>87.3</v>
      </c>
      <c r="J4" s="256">
        <f t="shared" ref="J4:J31" si="9">H4*H4*F4</f>
        <v>156.01697999999999</v>
      </c>
      <c r="K4" s="257"/>
      <c r="O4" t="e">
        <f>A5</f>
        <v>#REF!</v>
      </c>
      <c r="P4" s="258" t="e">
        <f>E5</f>
        <v>#REF!</v>
      </c>
      <c r="Q4" s="258" t="e">
        <f t="shared" ref="Q4:S4" si="10">F5</f>
        <v>#REF!</v>
      </c>
      <c r="R4" s="258" t="e">
        <f t="shared" si="10"/>
        <v>#REF!</v>
      </c>
      <c r="S4" s="258" t="e">
        <f t="shared" si="10"/>
        <v>#REF!</v>
      </c>
      <c r="V4" s="119" t="str">
        <f>A4</f>
        <v>Mario Omarini</v>
      </c>
      <c r="W4" s="258">
        <f>E4</f>
        <v>9.6999999999999993</v>
      </c>
      <c r="X4" s="258">
        <f t="shared" ref="X4:Z4" si="11">F4</f>
        <v>9.7999999999999989</v>
      </c>
      <c r="Y4" s="258">
        <f t="shared" si="11"/>
        <v>3</v>
      </c>
      <c r="Z4" s="258">
        <f t="shared" si="11"/>
        <v>3.99</v>
      </c>
    </row>
    <row r="5" spans="1:26" x14ac:dyDescent="0.25">
      <c r="A5" s="252" t="e">
        <f>PLANTILLA!#REF!</f>
        <v>#REF!</v>
      </c>
      <c r="B5" s="253" t="e">
        <f>PLANTILLA!#REF!</f>
        <v>#REF!</v>
      </c>
      <c r="C5" s="253" t="e">
        <f>PLANTILLA!#REF!</f>
        <v>#REF!</v>
      </c>
      <c r="D5" s="254" t="e">
        <f>PLANTILLA!#REF!</f>
        <v>#REF!</v>
      </c>
      <c r="E5" s="255" t="e">
        <f t="shared" si="4"/>
        <v>#REF!</v>
      </c>
      <c r="F5" s="255" t="e">
        <f t="shared" si="5"/>
        <v>#REF!</v>
      </c>
      <c r="G5" s="255" t="e">
        <f t="shared" si="6"/>
        <v>#REF!</v>
      </c>
      <c r="H5" s="255" t="e">
        <f t="shared" si="7"/>
        <v>#REF!</v>
      </c>
      <c r="I5" s="256" t="e">
        <f t="shared" si="8"/>
        <v>#REF!</v>
      </c>
      <c r="J5" s="256" t="e">
        <f t="shared" si="9"/>
        <v>#REF!</v>
      </c>
      <c r="K5" s="257"/>
      <c r="L5" s="159"/>
      <c r="O5" t="str">
        <f>A8</f>
        <v>Ibiur Altxakoa</v>
      </c>
      <c r="P5" s="258">
        <f>E8</f>
        <v>10.9</v>
      </c>
      <c r="Q5" s="258">
        <f t="shared" ref="Q5:S5" si="12">F8</f>
        <v>11</v>
      </c>
      <c r="R5" s="258">
        <f t="shared" si="12"/>
        <v>3</v>
      </c>
      <c r="S5" s="258">
        <f t="shared" si="12"/>
        <v>3.99</v>
      </c>
      <c r="V5" s="119" t="e">
        <f>A12</f>
        <v>#REF!</v>
      </c>
      <c r="W5" s="258" t="e">
        <f>E12</f>
        <v>#REF!</v>
      </c>
      <c r="X5" s="258" t="e">
        <f t="shared" ref="X5:Z5" si="13">F12</f>
        <v>#REF!</v>
      </c>
      <c r="Y5" s="258" t="e">
        <f t="shared" si="13"/>
        <v>#REF!</v>
      </c>
      <c r="Z5" s="258" t="e">
        <f t="shared" si="13"/>
        <v>#REF!</v>
      </c>
    </row>
    <row r="6" spans="1:26" x14ac:dyDescent="0.25">
      <c r="A6" s="252" t="str">
        <f>PLANTILLA!D19</f>
        <v>Mateuz Brzostowski</v>
      </c>
      <c r="B6" s="253">
        <f>PLANTILLA!E19</f>
        <v>31</v>
      </c>
      <c r="C6" s="253">
        <f>PLANTILLA!H19</f>
        <v>2</v>
      </c>
      <c r="D6" s="254">
        <f>PLANTILLA!I19</f>
        <v>8.9</v>
      </c>
      <c r="E6" s="255">
        <f t="shared" si="4"/>
        <v>8.9</v>
      </c>
      <c r="F6" s="255">
        <f t="shared" si="5"/>
        <v>9</v>
      </c>
      <c r="G6" s="255">
        <f t="shared" si="6"/>
        <v>2</v>
      </c>
      <c r="H6" s="255">
        <f t="shared" si="7"/>
        <v>2.99</v>
      </c>
      <c r="I6" s="256">
        <f t="shared" si="8"/>
        <v>35.6</v>
      </c>
      <c r="J6" s="256">
        <f t="shared" si="9"/>
        <v>80.460900000000009</v>
      </c>
      <c r="K6" s="257"/>
      <c r="O6" t="str">
        <f>A4</f>
        <v>Mario Omarini</v>
      </c>
      <c r="P6" s="258">
        <f>E4</f>
        <v>9.6999999999999993</v>
      </c>
      <c r="Q6" s="258">
        <f t="shared" ref="Q6:S6" si="14">F4</f>
        <v>9.7999999999999989</v>
      </c>
      <c r="R6" s="258">
        <f t="shared" si="14"/>
        <v>3</v>
      </c>
      <c r="S6" s="258">
        <f t="shared" si="14"/>
        <v>3.99</v>
      </c>
      <c r="V6" s="119" t="e">
        <f>A9</f>
        <v>#REF!</v>
      </c>
      <c r="W6" s="258" t="e">
        <f>E9</f>
        <v>#REF!</v>
      </c>
      <c r="X6" s="258" t="e">
        <f t="shared" ref="X6:Z6" si="15">F9</f>
        <v>#REF!</v>
      </c>
      <c r="Y6" s="258" t="e">
        <f t="shared" si="15"/>
        <v>#REF!</v>
      </c>
      <c r="Z6" s="258" t="e">
        <f t="shared" si="15"/>
        <v>#REF!</v>
      </c>
    </row>
    <row r="7" spans="1:26" x14ac:dyDescent="0.25">
      <c r="A7" s="252" t="str">
        <f>PLANTILLA!D20</f>
        <v>Andrea Califano</v>
      </c>
      <c r="B7" s="253">
        <f>PLANTILLA!E20</f>
        <v>31</v>
      </c>
      <c r="C7" s="253">
        <f>PLANTILLA!H20</f>
        <v>3</v>
      </c>
      <c r="D7" s="254">
        <f>PLANTILLA!I20</f>
        <v>8.3000000000000007</v>
      </c>
      <c r="E7" s="255">
        <f t="shared" si="4"/>
        <v>8.3000000000000007</v>
      </c>
      <c r="F7" s="255">
        <f t="shared" si="5"/>
        <v>8.4</v>
      </c>
      <c r="G7" s="255">
        <f t="shared" si="6"/>
        <v>3</v>
      </c>
      <c r="H7" s="255">
        <f t="shared" si="7"/>
        <v>3.99</v>
      </c>
      <c r="I7" s="256">
        <f t="shared" si="8"/>
        <v>74.7</v>
      </c>
      <c r="J7" s="256">
        <f t="shared" si="9"/>
        <v>133.72884000000002</v>
      </c>
      <c r="K7" s="257"/>
      <c r="O7" t="e">
        <f>A3</f>
        <v>#REF!</v>
      </c>
      <c r="P7" s="258" t="e">
        <f>E3</f>
        <v>#REF!</v>
      </c>
      <c r="Q7" s="258" t="e">
        <f t="shared" ref="Q7:S7" si="16">F3</f>
        <v>#REF!</v>
      </c>
      <c r="R7" s="258" t="e">
        <f t="shared" si="16"/>
        <v>#REF!</v>
      </c>
      <c r="S7" s="258" t="e">
        <f t="shared" si="16"/>
        <v>#REF!</v>
      </c>
      <c r="V7" s="119" t="str">
        <f>A17</f>
        <v>Rasheed Da'na</v>
      </c>
      <c r="W7" s="258">
        <f>E17</f>
        <v>9.5</v>
      </c>
      <c r="X7" s="258">
        <f t="shared" ref="X7:Z7" si="17">F17</f>
        <v>9.6</v>
      </c>
      <c r="Y7" s="258">
        <f t="shared" si="17"/>
        <v>1</v>
      </c>
      <c r="Z7" s="258">
        <f t="shared" si="17"/>
        <v>1.99</v>
      </c>
    </row>
    <row r="8" spans="1:26" x14ac:dyDescent="0.25">
      <c r="A8" s="252" t="str">
        <f>PLANTILLA!D21</f>
        <v>Ibiur Altxakoa</v>
      </c>
      <c r="B8" s="253">
        <f>PLANTILLA!E21</f>
        <v>32</v>
      </c>
      <c r="C8" s="253">
        <f>PLANTILLA!H21</f>
        <v>3</v>
      </c>
      <c r="D8" s="254">
        <f>PLANTILLA!I21</f>
        <v>10.9</v>
      </c>
      <c r="E8" s="255">
        <f t="shared" si="4"/>
        <v>10.9</v>
      </c>
      <c r="F8" s="255">
        <f t="shared" si="5"/>
        <v>11</v>
      </c>
      <c r="G8" s="255">
        <f t="shared" si="6"/>
        <v>3</v>
      </c>
      <c r="H8" s="255">
        <f t="shared" si="7"/>
        <v>3.99</v>
      </c>
      <c r="I8" s="256">
        <f t="shared" si="8"/>
        <v>98.100000000000009</v>
      </c>
      <c r="J8" s="256">
        <f t="shared" si="9"/>
        <v>175.12110000000001</v>
      </c>
      <c r="K8" s="257"/>
      <c r="O8" t="str">
        <f>A13</f>
        <v>Morgan Thomas</v>
      </c>
      <c r="P8" s="258">
        <f>E13</f>
        <v>10.199999999999999</v>
      </c>
      <c r="Q8" s="258">
        <f t="shared" ref="Q8:S8" si="18">F13</f>
        <v>10.299999999999999</v>
      </c>
      <c r="R8" s="258">
        <f t="shared" si="18"/>
        <v>1</v>
      </c>
      <c r="S8" s="258">
        <f t="shared" si="18"/>
        <v>1.99</v>
      </c>
      <c r="V8" s="119" t="str">
        <f>A7</f>
        <v>Andrea Califano</v>
      </c>
      <c r="W8" s="258">
        <f>E7</f>
        <v>8.3000000000000007</v>
      </c>
      <c r="X8" s="258">
        <f t="shared" ref="X8:Z8" si="19">F7</f>
        <v>8.4</v>
      </c>
      <c r="Y8" s="258">
        <f t="shared" si="19"/>
        <v>3</v>
      </c>
      <c r="Z8" s="258">
        <f t="shared" si="19"/>
        <v>3.99</v>
      </c>
    </row>
    <row r="9" spans="1:26" x14ac:dyDescent="0.25">
      <c r="A9" s="252" t="e">
        <f>PLANTILLA!#REF!</f>
        <v>#REF!</v>
      </c>
      <c r="B9" s="253" t="e">
        <f>PLANTILLA!#REF!</f>
        <v>#REF!</v>
      </c>
      <c r="C9" s="253" t="e">
        <f>PLANTILLA!#REF!</f>
        <v>#REF!</v>
      </c>
      <c r="D9" s="254" t="e">
        <f>PLANTILLA!#REF!</f>
        <v>#REF!</v>
      </c>
      <c r="E9" s="255" t="e">
        <f t="shared" si="4"/>
        <v>#REF!</v>
      </c>
      <c r="F9" s="255" t="e">
        <f t="shared" si="5"/>
        <v>#REF!</v>
      </c>
      <c r="G9" s="255" t="e">
        <f t="shared" si="6"/>
        <v>#REF!</v>
      </c>
      <c r="H9" s="255" t="e">
        <f t="shared" si="7"/>
        <v>#REF!</v>
      </c>
      <c r="I9" s="256" t="e">
        <f t="shared" si="8"/>
        <v>#REF!</v>
      </c>
      <c r="J9" s="256" t="e">
        <f t="shared" si="9"/>
        <v>#REF!</v>
      </c>
      <c r="K9" s="257"/>
      <c r="O9" t="str">
        <f>A16</f>
        <v>Adam Moss</v>
      </c>
      <c r="P9" s="258">
        <f>E16</f>
        <v>9.8000000000000007</v>
      </c>
      <c r="Q9" s="258">
        <f t="shared" ref="Q9:S9" si="20">F16</f>
        <v>9.9</v>
      </c>
      <c r="R9" s="258">
        <f t="shared" si="20"/>
        <v>1</v>
      </c>
      <c r="S9" s="258">
        <f t="shared" si="20"/>
        <v>1.99</v>
      </c>
      <c r="V9" s="119" t="e">
        <f>A14</f>
        <v>#REF!</v>
      </c>
      <c r="W9" s="258" t="e">
        <f>E14</f>
        <v>#REF!</v>
      </c>
      <c r="X9" s="258" t="e">
        <f t="shared" ref="X9:Z9" si="21">F14</f>
        <v>#REF!</v>
      </c>
      <c r="Y9" s="258" t="e">
        <f t="shared" si="21"/>
        <v>#REF!</v>
      </c>
      <c r="Z9" s="258" t="e">
        <f t="shared" si="21"/>
        <v>#REF!</v>
      </c>
    </row>
    <row r="10" spans="1:26" x14ac:dyDescent="0.25">
      <c r="A10" s="252" t="e">
        <f>PLANTILLA!#REF!</f>
        <v>#REF!</v>
      </c>
      <c r="B10" s="253" t="e">
        <f>PLANTILLA!#REF!</f>
        <v>#REF!</v>
      </c>
      <c r="C10" s="253" t="e">
        <f>PLANTILLA!#REF!</f>
        <v>#REF!</v>
      </c>
      <c r="D10" s="254" t="e">
        <f>PLANTILLA!#REF!</f>
        <v>#REF!</v>
      </c>
      <c r="E10" s="255" t="e">
        <f t="shared" si="4"/>
        <v>#REF!</v>
      </c>
      <c r="F10" s="255" t="e">
        <f t="shared" si="5"/>
        <v>#REF!</v>
      </c>
      <c r="G10" s="255" t="e">
        <f t="shared" si="6"/>
        <v>#REF!</v>
      </c>
      <c r="H10" s="255" t="e">
        <f t="shared" si="7"/>
        <v>#REF!</v>
      </c>
      <c r="I10" s="256" t="e">
        <f t="shared" si="8"/>
        <v>#REF!</v>
      </c>
      <c r="J10" s="256" t="e">
        <f t="shared" si="9"/>
        <v>#REF!</v>
      </c>
      <c r="K10" s="257"/>
      <c r="O10" t="e">
        <f>A14</f>
        <v>#REF!</v>
      </c>
      <c r="P10" s="258" t="e">
        <f>E14</f>
        <v>#REF!</v>
      </c>
      <c r="Q10" s="258" t="e">
        <f t="shared" ref="Q10:S10" si="22">F14</f>
        <v>#REF!</v>
      </c>
      <c r="R10" s="258" t="e">
        <f t="shared" si="22"/>
        <v>#REF!</v>
      </c>
      <c r="S10" s="258" t="e">
        <f t="shared" si="22"/>
        <v>#REF!</v>
      </c>
      <c r="V10" s="119" t="str">
        <f>A13</f>
        <v>Morgan Thomas</v>
      </c>
      <c r="W10" s="258">
        <f>E13</f>
        <v>10.199999999999999</v>
      </c>
      <c r="X10" s="258">
        <f t="shared" ref="X10:Z10" si="23">F13</f>
        <v>10.299999999999999</v>
      </c>
      <c r="Y10" s="258">
        <f t="shared" si="23"/>
        <v>1</v>
      </c>
      <c r="Z10" s="258">
        <f t="shared" si="23"/>
        <v>1.99</v>
      </c>
    </row>
    <row r="11" spans="1:26" x14ac:dyDescent="0.25">
      <c r="A11" s="252" t="e">
        <f>PLANTILLA!#REF!</f>
        <v>#REF!</v>
      </c>
      <c r="B11" s="253" t="e">
        <f>PLANTILLA!#REF!</f>
        <v>#REF!</v>
      </c>
      <c r="C11" s="253" t="e">
        <f>PLANTILLA!#REF!</f>
        <v>#REF!</v>
      </c>
      <c r="D11" s="254" t="e">
        <f>PLANTILLA!#REF!</f>
        <v>#REF!</v>
      </c>
      <c r="E11" s="255" t="e">
        <f t="shared" si="4"/>
        <v>#REF!</v>
      </c>
      <c r="F11" s="255" t="e">
        <f t="shared" si="5"/>
        <v>#REF!</v>
      </c>
      <c r="G11" s="255" t="e">
        <f t="shared" si="6"/>
        <v>#REF!</v>
      </c>
      <c r="H11" s="255" t="e">
        <f t="shared" si="7"/>
        <v>#REF!</v>
      </c>
      <c r="I11" s="256" t="e">
        <f t="shared" si="8"/>
        <v>#REF!</v>
      </c>
      <c r="J11" s="256" t="e">
        <f t="shared" si="9"/>
        <v>#REF!</v>
      </c>
      <c r="K11" s="257"/>
      <c r="O11" t="e">
        <f>A10</f>
        <v>#REF!</v>
      </c>
      <c r="P11" s="258" t="e">
        <f>E10</f>
        <v>#REF!</v>
      </c>
      <c r="Q11" s="258" t="e">
        <f t="shared" ref="Q11:S11" si="24">F10</f>
        <v>#REF!</v>
      </c>
      <c r="R11" s="258" t="e">
        <f t="shared" si="24"/>
        <v>#REF!</v>
      </c>
      <c r="S11" s="258" t="e">
        <f t="shared" si="24"/>
        <v>#REF!</v>
      </c>
      <c r="V11" s="119" t="str">
        <f>A16</f>
        <v>Adam Moss</v>
      </c>
      <c r="W11" s="258">
        <f>E16</f>
        <v>9.8000000000000007</v>
      </c>
      <c r="X11" s="258">
        <f t="shared" ref="X11:Z11" si="25">F16</f>
        <v>9.9</v>
      </c>
      <c r="Y11" s="258">
        <f t="shared" si="25"/>
        <v>1</v>
      </c>
      <c r="Z11" s="258">
        <f t="shared" si="25"/>
        <v>1.99</v>
      </c>
    </row>
    <row r="12" spans="1:26" x14ac:dyDescent="0.25">
      <c r="A12" s="252" t="e">
        <f>PLANTILLA!#REF!</f>
        <v>#REF!</v>
      </c>
      <c r="B12" s="253" t="e">
        <f>PLANTILLA!#REF!</f>
        <v>#REF!</v>
      </c>
      <c r="C12" s="253" t="e">
        <f>PLANTILLA!#REF!</f>
        <v>#REF!</v>
      </c>
      <c r="D12" s="254" t="e">
        <f>PLANTILLA!#REF!</f>
        <v>#REF!</v>
      </c>
      <c r="E12" s="255" t="e">
        <f t="shared" si="4"/>
        <v>#REF!</v>
      </c>
      <c r="F12" s="255" t="e">
        <f t="shared" si="5"/>
        <v>#REF!</v>
      </c>
      <c r="G12" s="255" t="e">
        <f t="shared" si="6"/>
        <v>#REF!</v>
      </c>
      <c r="H12" s="255" t="e">
        <f t="shared" si="7"/>
        <v>#REF!</v>
      </c>
      <c r="I12" s="256" t="e">
        <f t="shared" si="8"/>
        <v>#REF!</v>
      </c>
      <c r="J12" s="256" t="e">
        <f t="shared" si="9"/>
        <v>#REF!</v>
      </c>
      <c r="K12" s="257"/>
      <c r="O12" t="str">
        <f>A17</f>
        <v>Rasheed Da'na</v>
      </c>
      <c r="P12" s="258">
        <f>E17</f>
        <v>9.5</v>
      </c>
      <c r="Q12" s="258">
        <f t="shared" ref="Q12:S12" si="26">F17</f>
        <v>9.6</v>
      </c>
      <c r="R12" s="258">
        <f t="shared" si="26"/>
        <v>1</v>
      </c>
      <c r="S12" s="258">
        <f t="shared" si="26"/>
        <v>1.99</v>
      </c>
      <c r="V12" s="119" t="e">
        <f>A15</f>
        <v>#REF!</v>
      </c>
      <c r="W12" s="258" t="e">
        <f>E15</f>
        <v>#REF!</v>
      </c>
      <c r="X12" s="258" t="e">
        <f t="shared" ref="X12:Z12" si="27">F15</f>
        <v>#REF!</v>
      </c>
      <c r="Y12" s="258" t="e">
        <f t="shared" si="27"/>
        <v>#REF!</v>
      </c>
      <c r="Z12" s="258" t="e">
        <f t="shared" si="27"/>
        <v>#REF!</v>
      </c>
    </row>
    <row r="13" spans="1:26" x14ac:dyDescent="0.25">
      <c r="A13" s="252" t="str">
        <f>PLANTILLA!D22</f>
        <v>Morgan Thomas</v>
      </c>
      <c r="B13" s="253">
        <f>PLANTILLA!E22</f>
        <v>33</v>
      </c>
      <c r="C13" s="253">
        <f>PLANTILLA!H22</f>
        <v>1</v>
      </c>
      <c r="D13" s="254">
        <f>PLANTILLA!I22</f>
        <v>10.199999999999999</v>
      </c>
      <c r="E13" s="255">
        <f t="shared" si="4"/>
        <v>10.199999999999999</v>
      </c>
      <c r="F13" s="255">
        <f t="shared" si="5"/>
        <v>10.299999999999999</v>
      </c>
      <c r="G13" s="255">
        <f t="shared" si="6"/>
        <v>1</v>
      </c>
      <c r="H13" s="255">
        <f t="shared" si="7"/>
        <v>1.99</v>
      </c>
      <c r="I13" s="256">
        <f t="shared" si="8"/>
        <v>10.199999999999999</v>
      </c>
      <c r="J13" s="256">
        <f t="shared" si="9"/>
        <v>40.789029999999997</v>
      </c>
      <c r="K13" s="257"/>
      <c r="O13" t="e">
        <f>A12</f>
        <v>#REF!</v>
      </c>
      <c r="P13" s="258" t="e">
        <f>E12</f>
        <v>#REF!</v>
      </c>
      <c r="Q13" s="258" t="e">
        <f t="shared" ref="Q13:S13" si="28">F12</f>
        <v>#REF!</v>
      </c>
      <c r="R13" s="258" t="e">
        <f t="shared" si="28"/>
        <v>#REF!</v>
      </c>
      <c r="S13" s="258" t="e">
        <f t="shared" si="28"/>
        <v>#REF!</v>
      </c>
      <c r="V13" s="119" t="str">
        <f>A22</f>
        <v>Santiago Serra</v>
      </c>
      <c r="W13" s="258">
        <f>E22</f>
        <v>1</v>
      </c>
      <c r="X13" s="258">
        <f t="shared" ref="X13:Z13" si="29">F22</f>
        <v>1.1000000000000001</v>
      </c>
      <c r="Y13" s="258">
        <f t="shared" si="29"/>
        <v>4</v>
      </c>
      <c r="Z13" s="258">
        <f t="shared" si="29"/>
        <v>4.99</v>
      </c>
    </row>
    <row r="14" spans="1:26" x14ac:dyDescent="0.25">
      <c r="A14" s="252" t="e">
        <f>PLANTILLA!#REF!</f>
        <v>#REF!</v>
      </c>
      <c r="B14" s="253" t="e">
        <f>PLANTILLA!#REF!</f>
        <v>#REF!</v>
      </c>
      <c r="C14" s="253" t="e">
        <f>PLANTILLA!#REF!</f>
        <v>#REF!</v>
      </c>
      <c r="D14" s="254" t="e">
        <f>PLANTILLA!#REF!</f>
        <v>#REF!</v>
      </c>
      <c r="E14" s="255" t="e">
        <f t="shared" si="4"/>
        <v>#REF!</v>
      </c>
      <c r="F14" s="255" t="e">
        <f t="shared" si="5"/>
        <v>#REF!</v>
      </c>
      <c r="G14" s="255" t="e">
        <f t="shared" si="6"/>
        <v>#REF!</v>
      </c>
      <c r="H14" s="255" t="e">
        <f t="shared" si="7"/>
        <v>#REF!</v>
      </c>
      <c r="I14" s="256" t="e">
        <f t="shared" si="8"/>
        <v>#REF!</v>
      </c>
      <c r="J14" s="256" t="e">
        <f t="shared" si="9"/>
        <v>#REF!</v>
      </c>
      <c r="K14" s="257"/>
      <c r="P14" s="40" t="e">
        <f>SUM(P4:P13)/10</f>
        <v>#REF!</v>
      </c>
      <c r="Q14" s="40" t="e">
        <f>SUM(Q4:Q13)/10</f>
        <v>#REF!</v>
      </c>
      <c r="R14" s="40"/>
      <c r="S14" s="40"/>
      <c r="V14" s="119"/>
      <c r="W14" s="40" t="e">
        <f>SUM(W4:W13)/10</f>
        <v>#REF!</v>
      </c>
      <c r="X14" s="40" t="e">
        <f>SUM(X4:X13)/10</f>
        <v>#REF!</v>
      </c>
      <c r="Y14" s="40"/>
      <c r="Z14" s="40"/>
    </row>
    <row r="15" spans="1:26" x14ac:dyDescent="0.25">
      <c r="A15" s="252" t="e">
        <f>PLANTILLA!#REF!</f>
        <v>#REF!</v>
      </c>
      <c r="B15" s="253" t="e">
        <f>PLANTILLA!#REF!</f>
        <v>#REF!</v>
      </c>
      <c r="C15" s="253" t="e">
        <f>PLANTILLA!#REF!</f>
        <v>#REF!</v>
      </c>
      <c r="D15" s="254" t="e">
        <f>PLANTILLA!#REF!</f>
        <v>#REF!</v>
      </c>
      <c r="E15" s="255" t="e">
        <f t="shared" si="4"/>
        <v>#REF!</v>
      </c>
      <c r="F15" s="255" t="e">
        <f t="shared" si="5"/>
        <v>#REF!</v>
      </c>
      <c r="G15" s="255" t="e">
        <f t="shared" si="6"/>
        <v>#REF!</v>
      </c>
      <c r="H15" s="255" t="e">
        <f t="shared" si="7"/>
        <v>#REF!</v>
      </c>
      <c r="I15" s="256" t="e">
        <f t="shared" si="8"/>
        <v>#REF!</v>
      </c>
      <c r="J15" s="256" t="e">
        <f t="shared" si="9"/>
        <v>#REF!</v>
      </c>
      <c r="K15" s="257"/>
      <c r="V15" s="119"/>
    </row>
    <row r="16" spans="1:26" x14ac:dyDescent="0.25">
      <c r="A16" s="252" t="str">
        <f>PLANTILLA!D23</f>
        <v>Adam Moss</v>
      </c>
      <c r="B16" s="253">
        <f>PLANTILLA!E23</f>
        <v>30</v>
      </c>
      <c r="C16" s="253">
        <f>PLANTILLA!H23</f>
        <v>1</v>
      </c>
      <c r="D16" s="254">
        <f>PLANTILLA!I23</f>
        <v>9.8000000000000007</v>
      </c>
      <c r="E16" s="255">
        <f t="shared" si="4"/>
        <v>9.8000000000000007</v>
      </c>
      <c r="F16" s="255">
        <f t="shared" si="5"/>
        <v>9.9</v>
      </c>
      <c r="G16" s="255">
        <f t="shared" si="6"/>
        <v>1</v>
      </c>
      <c r="H16" s="255">
        <f t="shared" si="7"/>
        <v>1.99</v>
      </c>
      <c r="I16" s="256">
        <f t="shared" si="8"/>
        <v>9.8000000000000007</v>
      </c>
      <c r="J16" s="256">
        <f t="shared" si="9"/>
        <v>39.204990000000002</v>
      </c>
      <c r="K16" s="257"/>
      <c r="L16" s="80" t="s">
        <v>392</v>
      </c>
      <c r="O16" t="s">
        <v>393</v>
      </c>
      <c r="P16" s="35" t="e">
        <f>SUM(P3:P13)</f>
        <v>#REF!</v>
      </c>
      <c r="Q16" s="35" t="e">
        <f>SUM(Q3:Q13)</f>
        <v>#REF!</v>
      </c>
      <c r="R16" s="35"/>
      <c r="V16" s="119" t="s">
        <v>393</v>
      </c>
      <c r="W16" s="35" t="e">
        <f>SUM(W3:W13)</f>
        <v>#REF!</v>
      </c>
      <c r="X16" s="35" t="e">
        <f>SUM(X3:X13)</f>
        <v>#REF!</v>
      </c>
      <c r="Y16" s="35"/>
    </row>
    <row r="17" spans="1:25" x14ac:dyDescent="0.25">
      <c r="A17" s="252" t="str">
        <f>PLANTILLA!D24</f>
        <v>Rasheed Da'na</v>
      </c>
      <c r="B17" s="253">
        <f>PLANTILLA!E24</f>
        <v>29</v>
      </c>
      <c r="C17" s="253">
        <f>PLANTILLA!H24</f>
        <v>1</v>
      </c>
      <c r="D17" s="254">
        <f>PLANTILLA!I24</f>
        <v>9.5</v>
      </c>
      <c r="E17" s="255">
        <f t="shared" si="4"/>
        <v>9.5</v>
      </c>
      <c r="F17" s="255">
        <f t="shared" si="5"/>
        <v>9.6</v>
      </c>
      <c r="G17" s="255">
        <f t="shared" si="6"/>
        <v>1</v>
      </c>
      <c r="H17" s="255">
        <f t="shared" si="7"/>
        <v>1.99</v>
      </c>
      <c r="I17" s="256">
        <f t="shared" si="8"/>
        <v>9.5</v>
      </c>
      <c r="J17" s="256">
        <f t="shared" si="9"/>
        <v>38.016959999999997</v>
      </c>
      <c r="K17" s="257"/>
      <c r="O17" t="s">
        <v>394</v>
      </c>
      <c r="P17" s="40" t="e">
        <f>P16/17</f>
        <v>#REF!</v>
      </c>
      <c r="Q17" s="40" t="e">
        <f>Q16/17</f>
        <v>#REF!</v>
      </c>
      <c r="R17" s="40"/>
      <c r="V17" s="119" t="s">
        <v>394</v>
      </c>
      <c r="W17" s="40" t="e">
        <f>W16/17</f>
        <v>#REF!</v>
      </c>
      <c r="X17" s="40" t="e">
        <f>X16/17</f>
        <v>#REF!</v>
      </c>
      <c r="Y17" s="40"/>
    </row>
    <row r="18" spans="1:25" x14ac:dyDescent="0.25">
      <c r="A18" s="252" t="str">
        <f>PLANTILLA!D12</f>
        <v>Enrique Cubas</v>
      </c>
      <c r="B18" s="253">
        <f>PLANTILLA!E12</f>
        <v>17</v>
      </c>
      <c r="C18" s="253">
        <f>PLANTILLA!H12</f>
        <v>1</v>
      </c>
      <c r="D18" s="254">
        <f>PLANTILLA!I12</f>
        <v>1</v>
      </c>
      <c r="E18" s="255">
        <f t="shared" si="4"/>
        <v>1</v>
      </c>
      <c r="F18" s="255">
        <f t="shared" si="5"/>
        <v>1.1000000000000001</v>
      </c>
      <c r="G18" s="255">
        <f t="shared" si="6"/>
        <v>1</v>
      </c>
      <c r="H18" s="255">
        <f t="shared" si="7"/>
        <v>1.99</v>
      </c>
      <c r="I18" s="256">
        <f t="shared" si="8"/>
        <v>1</v>
      </c>
      <c r="J18" s="256">
        <f t="shared" si="9"/>
        <v>4.3561100000000001</v>
      </c>
      <c r="K18" s="257"/>
      <c r="L18" s="80" t="s">
        <v>395</v>
      </c>
      <c r="O18" t="s">
        <v>396</v>
      </c>
      <c r="P18" s="35" t="e">
        <f>R3^2</f>
        <v>#REF!</v>
      </c>
      <c r="Q18" s="35" t="e">
        <f>S3^2</f>
        <v>#REF!</v>
      </c>
      <c r="R18" s="35"/>
      <c r="V18" s="119" t="s">
        <v>396</v>
      </c>
      <c r="W18" s="35">
        <f>Y3^2</f>
        <v>9</v>
      </c>
      <c r="X18" s="35">
        <f>Z3^2</f>
        <v>15.920100000000001</v>
      </c>
      <c r="Y18" s="35"/>
    </row>
    <row r="19" spans="1:25" x14ac:dyDescent="0.25">
      <c r="A19" s="252" t="str">
        <f>PLANTILLA!D5</f>
        <v>Valeri Gomis</v>
      </c>
      <c r="B19" s="253">
        <f>PLANTILLA!E5</f>
        <v>17</v>
      </c>
      <c r="C19" s="253">
        <f>PLANTILLA!H5</f>
        <v>6</v>
      </c>
      <c r="D19" s="254">
        <f>PLANTILLA!I5</f>
        <v>1</v>
      </c>
      <c r="E19" s="255">
        <f t="shared" si="4"/>
        <v>1</v>
      </c>
      <c r="F19" s="255">
        <f t="shared" si="5"/>
        <v>1.1000000000000001</v>
      </c>
      <c r="G19" s="255">
        <f t="shared" si="6"/>
        <v>6</v>
      </c>
      <c r="H19" s="255">
        <f t="shared" si="7"/>
        <v>6.99</v>
      </c>
      <c r="I19" s="256">
        <f t="shared" si="8"/>
        <v>36</v>
      </c>
      <c r="J19" s="256">
        <f t="shared" si="9"/>
        <v>53.746110000000009</v>
      </c>
      <c r="K19" s="257"/>
      <c r="L19" s="80" t="s">
        <v>397</v>
      </c>
      <c r="O19" t="s">
        <v>398</v>
      </c>
      <c r="P19" s="35" t="e">
        <f>P18*P3</f>
        <v>#REF!</v>
      </c>
      <c r="Q19" s="35" t="e">
        <f>Q18*Q3</f>
        <v>#REF!</v>
      </c>
      <c r="R19" s="35"/>
      <c r="V19" s="119" t="s">
        <v>398</v>
      </c>
      <c r="W19" s="35">
        <f>W18*W3</f>
        <v>98.100000000000009</v>
      </c>
      <c r="X19" s="35">
        <f>X18*X3</f>
        <v>175.12110000000001</v>
      </c>
      <c r="Y19" s="35"/>
    </row>
    <row r="20" spans="1:25" x14ac:dyDescent="0.25">
      <c r="A20" s="252" t="str">
        <f>PLANTILLA!D13</f>
        <v>Juan Garcia Peñuela</v>
      </c>
      <c r="B20" s="253">
        <f>PLANTILLA!E13</f>
        <v>17</v>
      </c>
      <c r="C20" s="253">
        <f>PLANTILLA!H13</f>
        <v>6</v>
      </c>
      <c r="D20" s="254">
        <f>PLANTILLA!I13</f>
        <v>0.5</v>
      </c>
      <c r="E20" s="255">
        <f t="shared" si="4"/>
        <v>0.5</v>
      </c>
      <c r="F20" s="255">
        <f t="shared" si="5"/>
        <v>0.6</v>
      </c>
      <c r="G20" s="255">
        <f t="shared" si="6"/>
        <v>6</v>
      </c>
      <c r="H20" s="255">
        <f t="shared" si="7"/>
        <v>6.99</v>
      </c>
      <c r="I20" s="256">
        <f t="shared" si="8"/>
        <v>18</v>
      </c>
      <c r="J20" s="256">
        <f t="shared" si="9"/>
        <v>29.31606</v>
      </c>
      <c r="K20" s="257"/>
      <c r="L20" s="80" t="s">
        <v>399</v>
      </c>
      <c r="O20" t="s">
        <v>400</v>
      </c>
      <c r="P20" s="40" t="e">
        <f>(P19^(2/3))/30</f>
        <v>#REF!</v>
      </c>
      <c r="Q20" s="40" t="e">
        <f>(Q19^(2/3))/30</f>
        <v>#REF!</v>
      </c>
      <c r="R20" s="40"/>
      <c r="V20" s="119" t="s">
        <v>400</v>
      </c>
      <c r="W20" s="40">
        <f>(W19^(2/3))/30</f>
        <v>0.70901934308515424</v>
      </c>
      <c r="X20" s="40">
        <f>(X19^(2/3))/30</f>
        <v>1.0433685208878041</v>
      </c>
      <c r="Y20" s="40"/>
    </row>
    <row r="21" spans="1:25" x14ac:dyDescent="0.25">
      <c r="A21" s="252" t="str">
        <f>PLANTILLA!D9</f>
        <v>Fernando Gazón</v>
      </c>
      <c r="B21" s="253">
        <f>PLANTILLA!E9</f>
        <v>17</v>
      </c>
      <c r="C21" s="253">
        <f>PLANTILLA!H9</f>
        <v>3</v>
      </c>
      <c r="D21" s="254">
        <f>PLANTILLA!I9</f>
        <v>0.5</v>
      </c>
      <c r="E21" s="255">
        <f t="shared" si="4"/>
        <v>0.5</v>
      </c>
      <c r="F21" s="255">
        <f t="shared" si="5"/>
        <v>0.6</v>
      </c>
      <c r="G21" s="255">
        <f t="shared" si="6"/>
        <v>3</v>
      </c>
      <c r="H21" s="255">
        <f t="shared" si="7"/>
        <v>3.99</v>
      </c>
      <c r="I21" s="256">
        <f t="shared" si="8"/>
        <v>4.5</v>
      </c>
      <c r="J21" s="256">
        <f t="shared" si="9"/>
        <v>9.5520600000000009</v>
      </c>
      <c r="K21" s="257"/>
      <c r="L21" s="80" t="s">
        <v>401</v>
      </c>
      <c r="O21" s="119" t="s">
        <v>178</v>
      </c>
      <c r="P21" s="203" t="e">
        <f>P17+P20</f>
        <v>#REF!</v>
      </c>
      <c r="Q21" s="203" t="e">
        <f>Q17+Q20</f>
        <v>#REF!</v>
      </c>
      <c r="V21" s="119" t="s">
        <v>178</v>
      </c>
      <c r="W21" s="203" t="e">
        <f>W17+W20</f>
        <v>#REF!</v>
      </c>
      <c r="X21" s="203" t="e">
        <f>X17+X20</f>
        <v>#REF!</v>
      </c>
    </row>
    <row r="22" spans="1:25" x14ac:dyDescent="0.25">
      <c r="A22" s="252" t="str">
        <f>PLANTILLA!D15</f>
        <v>Santiago Serra</v>
      </c>
      <c r="B22" s="253">
        <f>PLANTILLA!E15</f>
        <v>17</v>
      </c>
      <c r="C22" s="253">
        <f>PLANTILLA!H15</f>
        <v>4</v>
      </c>
      <c r="D22" s="254">
        <f>PLANTILLA!I15</f>
        <v>1</v>
      </c>
      <c r="E22" s="255">
        <f t="shared" si="4"/>
        <v>1</v>
      </c>
      <c r="F22" s="255">
        <f t="shared" si="5"/>
        <v>1.1000000000000001</v>
      </c>
      <c r="G22" s="255">
        <f t="shared" si="6"/>
        <v>4</v>
      </c>
      <c r="H22" s="255">
        <f t="shared" si="7"/>
        <v>4.99</v>
      </c>
      <c r="I22" s="256">
        <f t="shared" si="8"/>
        <v>16</v>
      </c>
      <c r="J22" s="256">
        <f t="shared" si="9"/>
        <v>27.390110000000004</v>
      </c>
      <c r="K22" s="257"/>
      <c r="L22" t="s">
        <v>402</v>
      </c>
      <c r="V22" s="119"/>
    </row>
    <row r="23" spans="1:25" x14ac:dyDescent="0.25">
      <c r="A23" s="252" t="str">
        <f>PLANTILLA!D8</f>
        <v>Eckardt Hägerling</v>
      </c>
      <c r="B23" s="253">
        <f>PLANTILLA!E8</f>
        <v>17</v>
      </c>
      <c r="C23" s="253">
        <f>PLANTILLA!H8</f>
        <v>3</v>
      </c>
      <c r="D23" s="254">
        <f>PLANTILLA!I8</f>
        <v>1</v>
      </c>
      <c r="E23" s="255">
        <f t="shared" si="4"/>
        <v>1</v>
      </c>
      <c r="F23" s="255">
        <f t="shared" si="5"/>
        <v>1.1000000000000001</v>
      </c>
      <c r="G23" s="255">
        <f t="shared" si="6"/>
        <v>3</v>
      </c>
      <c r="H23" s="255">
        <f t="shared" si="7"/>
        <v>3.99</v>
      </c>
      <c r="I23" s="256">
        <f t="shared" si="8"/>
        <v>9</v>
      </c>
      <c r="J23" s="256">
        <f t="shared" si="9"/>
        <v>17.512110000000003</v>
      </c>
      <c r="K23" s="257"/>
      <c r="O23" s="33">
        <v>42576</v>
      </c>
      <c r="P23">
        <v>6.76</v>
      </c>
      <c r="Q23">
        <v>6.99</v>
      </c>
      <c r="R23" t="s">
        <v>403</v>
      </c>
      <c r="V23" s="119" t="s">
        <v>404</v>
      </c>
      <c r="W23" s="40">
        <v>3</v>
      </c>
      <c r="X23">
        <v>3.25</v>
      </c>
    </row>
    <row r="24" spans="1:25" x14ac:dyDescent="0.25">
      <c r="A24" s="252" t="str">
        <f>PLANTILLA!D14</f>
        <v>Paulo Beltrán</v>
      </c>
      <c r="B24" s="253">
        <f>PLANTILLA!E14</f>
        <v>17</v>
      </c>
      <c r="C24" s="253">
        <f>PLANTILLA!H14</f>
        <v>3</v>
      </c>
      <c r="D24" s="254">
        <f>PLANTILLA!I14</f>
        <v>1</v>
      </c>
      <c r="E24" s="255">
        <f t="shared" si="4"/>
        <v>1</v>
      </c>
      <c r="F24" s="255">
        <f t="shared" si="5"/>
        <v>1.1000000000000001</v>
      </c>
      <c r="G24" s="255">
        <f t="shared" si="6"/>
        <v>3</v>
      </c>
      <c r="H24" s="255">
        <f t="shared" si="7"/>
        <v>3.99</v>
      </c>
      <c r="I24" s="256">
        <f t="shared" si="8"/>
        <v>9</v>
      </c>
      <c r="J24" s="256">
        <f t="shared" si="9"/>
        <v>17.512110000000003</v>
      </c>
      <c r="V24" s="119"/>
    </row>
    <row r="25" spans="1:25" x14ac:dyDescent="0.25">
      <c r="A25" s="252" t="str">
        <f>PLANTILLA!D16</f>
        <v>Nicolás Eans</v>
      </c>
      <c r="B25" s="253">
        <f>PLANTILLA!E16</f>
        <v>17</v>
      </c>
      <c r="C25" s="253">
        <f>PLANTILLA!H16</f>
        <v>3</v>
      </c>
      <c r="D25" s="254">
        <f>PLANTILLA!I16</f>
        <v>0.5</v>
      </c>
      <c r="E25" s="255">
        <f t="shared" si="4"/>
        <v>0.5</v>
      </c>
      <c r="F25" s="255">
        <f t="shared" si="5"/>
        <v>0.6</v>
      </c>
      <c r="G25" s="255">
        <f t="shared" si="6"/>
        <v>3</v>
      </c>
      <c r="H25" s="255">
        <f t="shared" si="7"/>
        <v>3.99</v>
      </c>
      <c r="I25" s="256">
        <f t="shared" si="8"/>
        <v>4.5</v>
      </c>
      <c r="J25" s="256">
        <f t="shared" si="9"/>
        <v>9.5520600000000009</v>
      </c>
    </row>
    <row r="26" spans="1:25" x14ac:dyDescent="0.25">
      <c r="A26" s="252" t="str">
        <f>PLANTILLA!D7</f>
        <v>Roberto Montero</v>
      </c>
      <c r="B26" s="253">
        <f>PLANTILLA!E7</f>
        <v>17</v>
      </c>
      <c r="C26" s="253">
        <f>PLANTILLA!H7</f>
        <v>2</v>
      </c>
      <c r="D26" s="254">
        <f>PLANTILLA!I7</f>
        <v>0.5</v>
      </c>
      <c r="E26" s="255">
        <f t="shared" si="4"/>
        <v>0.5</v>
      </c>
      <c r="F26" s="255">
        <f t="shared" si="5"/>
        <v>0.6</v>
      </c>
      <c r="G26" s="255">
        <f t="shared" si="6"/>
        <v>2</v>
      </c>
      <c r="H26" s="255">
        <f t="shared" si="7"/>
        <v>2.99</v>
      </c>
      <c r="I26" s="256">
        <f t="shared" si="8"/>
        <v>2</v>
      </c>
      <c r="J26" s="256">
        <f t="shared" si="9"/>
        <v>5.3640600000000003</v>
      </c>
    </row>
    <row r="27" spans="1:25" x14ac:dyDescent="0.25">
      <c r="A27" s="252" t="str">
        <f>PLANTILLA!D10</f>
        <v>Roberto Abenoza</v>
      </c>
      <c r="B27" s="253">
        <f>PLANTILLA!E10</f>
        <v>17</v>
      </c>
      <c r="C27" s="253">
        <f>PLANTILLA!H10</f>
        <v>4</v>
      </c>
      <c r="D27" s="254">
        <f>PLANTILLA!I10</f>
        <v>0.5</v>
      </c>
      <c r="E27" s="255">
        <f t="shared" si="4"/>
        <v>0.5</v>
      </c>
      <c r="F27" s="255">
        <f t="shared" si="5"/>
        <v>0.6</v>
      </c>
      <c r="G27" s="255">
        <f t="shared" si="6"/>
        <v>4</v>
      </c>
      <c r="H27" s="255">
        <f t="shared" si="7"/>
        <v>4.99</v>
      </c>
      <c r="I27" s="256">
        <f t="shared" si="8"/>
        <v>8</v>
      </c>
      <c r="J27" s="256">
        <f t="shared" si="9"/>
        <v>14.940060000000001</v>
      </c>
    </row>
    <row r="28" spans="1:25" x14ac:dyDescent="0.25">
      <c r="A28" s="252" t="str">
        <f>PLANTILLA!D17</f>
        <v>Noel Fuster</v>
      </c>
      <c r="B28" s="253">
        <f>PLANTILLA!E17</f>
        <v>17</v>
      </c>
      <c r="C28" s="253">
        <f>PLANTILLA!H17</f>
        <v>4</v>
      </c>
      <c r="D28" s="254">
        <f>PLANTILLA!I17</f>
        <v>0.5</v>
      </c>
      <c r="E28" s="255">
        <f t="shared" si="4"/>
        <v>0.5</v>
      </c>
      <c r="F28" s="255">
        <f t="shared" si="5"/>
        <v>0.6</v>
      </c>
      <c r="G28" s="255">
        <f t="shared" si="6"/>
        <v>4</v>
      </c>
      <c r="H28" s="255">
        <f t="shared" si="7"/>
        <v>4.99</v>
      </c>
      <c r="I28" s="256">
        <f t="shared" si="8"/>
        <v>8</v>
      </c>
      <c r="J28" s="256">
        <f t="shared" si="9"/>
        <v>14.940060000000001</v>
      </c>
    </row>
    <row r="29" spans="1:25" x14ac:dyDescent="0.25">
      <c r="A29" s="252" t="str">
        <f>PLANTILLA!D4</f>
        <v>Marc Dolz</v>
      </c>
      <c r="B29" s="253">
        <f>PLANTILLA!E4</f>
        <v>17</v>
      </c>
      <c r="C29" s="253">
        <f>PLANTILLA!H4</f>
        <v>3</v>
      </c>
      <c r="D29" s="254">
        <f>PLANTILLA!I4</f>
        <v>1</v>
      </c>
      <c r="E29" s="255">
        <f t="shared" si="4"/>
        <v>1</v>
      </c>
      <c r="F29" s="255">
        <f t="shared" si="5"/>
        <v>1.1000000000000001</v>
      </c>
      <c r="G29" s="255">
        <f t="shared" si="6"/>
        <v>3</v>
      </c>
      <c r="H29" s="255">
        <f t="shared" si="7"/>
        <v>3.99</v>
      </c>
      <c r="I29" s="256">
        <f t="shared" si="8"/>
        <v>9</v>
      </c>
      <c r="J29" s="256">
        <f t="shared" si="9"/>
        <v>17.512110000000003</v>
      </c>
    </row>
    <row r="30" spans="1:25" x14ac:dyDescent="0.25">
      <c r="A30" s="252" t="str">
        <f>PLANTILLA!D11</f>
        <v>Julio Calle</v>
      </c>
      <c r="B30" s="253">
        <f>PLANTILLA!E11</f>
        <v>17</v>
      </c>
      <c r="C30" s="253">
        <f>PLANTILLA!H11</f>
        <v>3</v>
      </c>
      <c r="D30" s="254">
        <f>PLANTILLA!I11</f>
        <v>0.5</v>
      </c>
      <c r="E30" s="255">
        <f t="shared" si="4"/>
        <v>0.5</v>
      </c>
      <c r="F30" s="255">
        <f t="shared" si="5"/>
        <v>0.6</v>
      </c>
      <c r="G30" s="255">
        <f t="shared" si="6"/>
        <v>3</v>
      </c>
      <c r="H30" s="255">
        <f t="shared" si="7"/>
        <v>3.99</v>
      </c>
      <c r="I30" s="256">
        <f t="shared" si="8"/>
        <v>4.5</v>
      </c>
      <c r="J30" s="256">
        <f t="shared" si="9"/>
        <v>9.5520600000000009</v>
      </c>
    </row>
    <row r="31" spans="1:25" x14ac:dyDescent="0.25">
      <c r="A31" s="252" t="str">
        <f>PLANTILLA!D25</f>
        <v>A. Ilisie</v>
      </c>
      <c r="B31" s="253">
        <f>PLANTILLA!E25</f>
        <v>0</v>
      </c>
      <c r="C31" s="253">
        <f>PLANTILLA!H25</f>
        <v>0</v>
      </c>
      <c r="D31" s="254">
        <f>PLANTILLA!I25</f>
        <v>0</v>
      </c>
      <c r="E31" s="255">
        <f t="shared" si="4"/>
        <v>0</v>
      </c>
      <c r="F31" s="255">
        <f t="shared" si="5"/>
        <v>0.1</v>
      </c>
      <c r="G31" s="255">
        <f t="shared" si="6"/>
        <v>0</v>
      </c>
      <c r="H31" s="255">
        <f t="shared" si="7"/>
        <v>0.99</v>
      </c>
      <c r="I31" s="256">
        <f t="shared" si="8"/>
        <v>0</v>
      </c>
      <c r="J31" s="256">
        <f t="shared" si="9"/>
        <v>9.801E-2</v>
      </c>
    </row>
  </sheetData>
  <conditionalFormatting sqref="I3:J31">
    <cfRule type="cellIs" dxfId="35" priority="1" operator="between">
      <formula>70</formula>
      <formula>100</formula>
    </cfRule>
    <cfRule type="cellIs" dxfId="34" priority="2" operator="greaterThan">
      <formula>100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44"/>
  <sheetViews>
    <sheetView workbookViewId="0">
      <pane xSplit="8" ySplit="2" topLeftCell="I3" activePane="bottomRight" state="frozen"/>
      <selection pane="topRight" activeCell="I1" sqref="I1"/>
      <selection pane="bottomLeft" activeCell="A3" sqref="A3"/>
      <selection pane="bottomRight" activeCell="A22" sqref="A22"/>
    </sheetView>
  </sheetViews>
  <sheetFormatPr baseColWidth="10" defaultColWidth="11.42578125" defaultRowHeight="15" x14ac:dyDescent="0.25"/>
  <cols>
    <col min="1" max="1" width="19.7109375" bestFit="1" customWidth="1"/>
    <col min="2" max="2" width="5.42578125" bestFit="1" customWidth="1"/>
    <col min="3" max="3" width="5.5703125" bestFit="1" customWidth="1"/>
    <col min="4" max="4" width="5.42578125" style="69"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3"/>
      <c r="W1" t="s">
        <v>74</v>
      </c>
      <c r="Z1" t="s">
        <v>75</v>
      </c>
      <c r="AD1" t="s">
        <v>76</v>
      </c>
      <c r="AH1" t="s">
        <v>77</v>
      </c>
      <c r="AL1" t="s">
        <v>78</v>
      </c>
      <c r="AP1" t="s">
        <v>79</v>
      </c>
      <c r="AW1" t="s">
        <v>80</v>
      </c>
      <c r="BD1" t="s">
        <v>48</v>
      </c>
      <c r="BI1" t="s">
        <v>81</v>
      </c>
      <c r="BN1" t="s">
        <v>82</v>
      </c>
      <c r="BS1" t="s">
        <v>83</v>
      </c>
      <c r="BX1" t="s">
        <v>84</v>
      </c>
      <c r="CB1" t="s">
        <v>44</v>
      </c>
    </row>
    <row r="2" spans="1:83" x14ac:dyDescent="0.25">
      <c r="A2" s="44" t="s">
        <v>3</v>
      </c>
      <c r="B2" s="44" t="s">
        <v>85</v>
      </c>
      <c r="C2" s="44" t="s">
        <v>5</v>
      </c>
      <c r="D2" s="116" t="s">
        <v>86</v>
      </c>
      <c r="E2" s="44" t="s">
        <v>87</v>
      </c>
      <c r="F2" s="53" t="s">
        <v>88</v>
      </c>
      <c r="G2" s="53" t="s">
        <v>100</v>
      </c>
      <c r="H2" s="53" t="s">
        <v>101</v>
      </c>
      <c r="I2" s="54" t="s">
        <v>102</v>
      </c>
      <c r="J2" s="45" t="s">
        <v>89</v>
      </c>
      <c r="K2" s="45" t="s">
        <v>28</v>
      </c>
      <c r="L2" s="45" t="s">
        <v>30</v>
      </c>
      <c r="M2" s="45" t="s">
        <v>90</v>
      </c>
      <c r="N2" s="45" t="s">
        <v>73</v>
      </c>
      <c r="O2" s="45" t="s">
        <v>91</v>
      </c>
      <c r="P2" s="45" t="s">
        <v>92</v>
      </c>
      <c r="Q2" s="45" t="s">
        <v>47</v>
      </c>
      <c r="R2" s="46" t="s">
        <v>22</v>
      </c>
      <c r="S2" s="46" t="s">
        <v>93</v>
      </c>
      <c r="T2" s="46" t="s">
        <v>94</v>
      </c>
      <c r="U2" s="46" t="s">
        <v>26</v>
      </c>
      <c r="V2" s="46" t="s">
        <v>27</v>
      </c>
      <c r="W2" s="47" t="s">
        <v>95</v>
      </c>
      <c r="X2" s="47" t="s">
        <v>96</v>
      </c>
      <c r="Y2" s="47" t="s">
        <v>95</v>
      </c>
      <c r="Z2" s="48" t="s">
        <v>95</v>
      </c>
      <c r="AA2" s="48" t="s">
        <v>96</v>
      </c>
      <c r="AB2" s="48" t="s">
        <v>95</v>
      </c>
      <c r="AC2" s="48" t="s">
        <v>97</v>
      </c>
      <c r="AD2" s="48" t="s">
        <v>95</v>
      </c>
      <c r="AE2" s="48" t="s">
        <v>96</v>
      </c>
      <c r="AF2" s="48" t="s">
        <v>95</v>
      </c>
      <c r="AG2" s="48" t="s">
        <v>97</v>
      </c>
      <c r="AH2" s="47" t="s">
        <v>95</v>
      </c>
      <c r="AI2" s="47" t="s">
        <v>96</v>
      </c>
      <c r="AJ2" s="47" t="s">
        <v>97</v>
      </c>
      <c r="AK2" s="47" t="s">
        <v>98</v>
      </c>
      <c r="AL2" s="47" t="s">
        <v>95</v>
      </c>
      <c r="AM2" s="47" t="s">
        <v>96</v>
      </c>
      <c r="AN2" s="47" t="s">
        <v>97</v>
      </c>
      <c r="AO2" s="47" t="s">
        <v>98</v>
      </c>
      <c r="AP2" s="47" t="s">
        <v>95</v>
      </c>
      <c r="AQ2" s="47" t="s">
        <v>96</v>
      </c>
      <c r="AR2" s="47" t="s">
        <v>95</v>
      </c>
      <c r="AS2" s="47" t="s">
        <v>97</v>
      </c>
      <c r="AT2" s="47" t="s">
        <v>98</v>
      </c>
      <c r="AU2" s="47" t="s">
        <v>99</v>
      </c>
      <c r="AV2" s="47" t="s">
        <v>98</v>
      </c>
      <c r="AW2" s="47" t="s">
        <v>95</v>
      </c>
      <c r="AX2" s="47" t="s">
        <v>96</v>
      </c>
      <c r="AY2" s="47" t="s">
        <v>95</v>
      </c>
      <c r="AZ2" s="47" t="s">
        <v>97</v>
      </c>
      <c r="BA2" s="47" t="s">
        <v>98</v>
      </c>
      <c r="BB2" s="47" t="s">
        <v>99</v>
      </c>
      <c r="BC2" s="47" t="s">
        <v>98</v>
      </c>
      <c r="BD2" s="48" t="s">
        <v>95</v>
      </c>
      <c r="BE2" s="48" t="s">
        <v>96</v>
      </c>
      <c r="BF2" s="48" t="s">
        <v>97</v>
      </c>
      <c r="BG2" s="48" t="s">
        <v>98</v>
      </c>
      <c r="BH2" s="48" t="s">
        <v>99</v>
      </c>
      <c r="BI2" s="48" t="s">
        <v>95</v>
      </c>
      <c r="BJ2" s="48" t="s">
        <v>96</v>
      </c>
      <c r="BK2" s="48" t="s">
        <v>97</v>
      </c>
      <c r="BL2" s="48" t="s">
        <v>98</v>
      </c>
      <c r="BM2" s="48" t="s">
        <v>99</v>
      </c>
      <c r="BN2" s="47" t="s">
        <v>95</v>
      </c>
      <c r="BO2" s="47" t="s">
        <v>96</v>
      </c>
      <c r="BP2" s="47" t="s">
        <v>97</v>
      </c>
      <c r="BQ2" s="47" t="s">
        <v>98</v>
      </c>
      <c r="BR2" s="47" t="s">
        <v>99</v>
      </c>
      <c r="BS2" s="47" t="s">
        <v>95</v>
      </c>
      <c r="BT2" s="47" t="s">
        <v>96</v>
      </c>
      <c r="BU2" s="47" t="s">
        <v>97</v>
      </c>
      <c r="BV2" s="47" t="s">
        <v>98</v>
      </c>
      <c r="BW2" s="47" t="s">
        <v>99</v>
      </c>
      <c r="BX2" s="48" t="s">
        <v>97</v>
      </c>
      <c r="BY2" s="48" t="s">
        <v>98</v>
      </c>
      <c r="BZ2" s="48" t="s">
        <v>99</v>
      </c>
      <c r="CA2" s="48" t="s">
        <v>98</v>
      </c>
      <c r="CB2" s="47" t="s">
        <v>98</v>
      </c>
      <c r="CC2" s="47" t="s">
        <v>99</v>
      </c>
      <c r="CD2" s="47" t="s">
        <v>98</v>
      </c>
      <c r="CE2" s="47" t="s">
        <v>97</v>
      </c>
    </row>
    <row r="3" spans="1:83" x14ac:dyDescent="0.25">
      <c r="A3" t="e">
        <f>PLANTILLA!#REF!</f>
        <v>#REF!</v>
      </c>
      <c r="B3" t="e">
        <f>PLANTILLA!#REF!</f>
        <v>#REF!</v>
      </c>
      <c r="C3" s="36" t="e">
        <f>PLANTILLA!#REF!</f>
        <v>#REF!</v>
      </c>
      <c r="D3" s="69" t="e">
        <f>PLANTILLA!#REF!</f>
        <v>#REF!</v>
      </c>
      <c r="E3" s="49">
        <v>42200</v>
      </c>
      <c r="F3" s="51" t="e">
        <f>PLANTILLA!#REF!</f>
        <v>#REF!</v>
      </c>
      <c r="G3" s="52" t="e">
        <f>(F3/7)^0.5</f>
        <v>#REF!</v>
      </c>
      <c r="H3" s="52" t="e">
        <f>IF(F3=7,1,((F3+0.99)/7)^0.5)</f>
        <v>#REF!</v>
      </c>
      <c r="I3" s="55">
        <f ca="1">IF(TODAY()-E3&gt;335,1,((TODAY()-E3)^0.5)/336^0.5)</f>
        <v>1</v>
      </c>
      <c r="J3" s="42" t="e">
        <f>PLANTILLA!#REF!</f>
        <v>#REF!</v>
      </c>
      <c r="K3" s="50" t="e">
        <f>PLANTILLA!#REF!</f>
        <v>#REF!</v>
      </c>
      <c r="L3" s="50" t="e">
        <f>PLANTILLA!#REF!</f>
        <v>#REF!</v>
      </c>
      <c r="M3" s="50" t="e">
        <f>PLANTILLA!#REF!</f>
        <v>#REF!</v>
      </c>
      <c r="N3" s="50" t="e">
        <f>PLANTILLA!#REF!</f>
        <v>#REF!</v>
      </c>
      <c r="O3" s="50" t="e">
        <f>PLANTILLA!#REF!</f>
        <v>#REF!</v>
      </c>
      <c r="P3" s="50" t="e">
        <f>PLANTILLA!#REF!</f>
        <v>#REF!</v>
      </c>
      <c r="Q3" s="50" t="e">
        <f>PLANTILLA!#REF!</f>
        <v>#REF!</v>
      </c>
      <c r="R3" s="50" t="e">
        <f>((2*(O3+1))+(L3+1))/8</f>
        <v>#REF!</v>
      </c>
      <c r="S3" s="50" t="e">
        <f>(0.5*P3+ 0.3*Q3)/10</f>
        <v>#REF!</v>
      </c>
      <c r="T3" s="50" t="e">
        <f>(0.4*L3+0.3*Q3)/10</f>
        <v>#REF!</v>
      </c>
      <c r="U3" s="50" t="e">
        <f t="shared" ref="U3" ca="1" si="0">IF(TODAY()-E3&gt;335,(Q3+1+(LOG(J3)*4/3))*(F3/7)^0.5,(Q3+((TODAY()-E3)^0.5)/(336^0.5)+(LOG(J3)*4/3))*(F3/7)^0.5)</f>
        <v>#REF!</v>
      </c>
      <c r="V3" s="50" t="e">
        <f t="shared" ref="V3" ca="1" si="1">IF(F3=7,U3,IF(TODAY()-E3&gt;335,(Q3+1+(LOG(J3)*4/3))*((F3+0.99)/7)^0.5,(Q3+((TODAY()-E3)^0.5)/(336^0.5)+(LOG(J3)*4/3))*((F3+0.99)/7)^0.5))</f>
        <v>#REF!</v>
      </c>
      <c r="W3" s="40" t="e">
        <f ca="1">IF(TODAY()-E3&gt;335,((K3+1+(LOG(J3)*4/3))*0.597)+((L3+1+(LOG(J3)*4/3))*0.276),((K3+(((TODAY()-E3)^0.5)/(336^0.5))+(LOG(J3)*4/3))*0.597)+((L3+(((TODAY()-E3)^0.5)/(336^0.5))+(LOG(J3)*4/3))*0.276))</f>
        <v>#REF!</v>
      </c>
      <c r="X3" s="40" t="e">
        <f ca="1">IF(TODAY()-E3&gt;335,((K3+1+(LOG(J3)*4/3))*0.866)+((L3+1+(LOG(J3)*4/3))*0.425),((K3+(((TODAY()-E3)^0.5)/(336^0.5))+(LOG(J3)*4/3))*0.866)+((L3+(((TODAY()-E3)^0.5)/(336^0.5))+(LOG(J3)*4/3))*0.425))</f>
        <v>#REF!</v>
      </c>
      <c r="Y3" s="40" t="e">
        <f ca="1">W3</f>
        <v>#REF!</v>
      </c>
      <c r="Z3" s="40" t="e">
        <f ca="1">IF(TODAY()-E3&gt;335,((L3+1+(LOG(J3)*4/3))*0.516),((L3+(((TODAY()-E3)^0.5)/(336^0.516))+(LOG(J3)*4/3))*0.516))</f>
        <v>#REF!</v>
      </c>
      <c r="AA3" s="40" t="e">
        <f t="shared" ref="AA3" ca="1" si="2">IF(TODAY()-E3&gt;335,((L3+1+(LOG(J3)*4/3))*1),((L3+(((TODAY()-E3)^0.5)/(336^0.5))+(LOG(J3)*4/3))*1))</f>
        <v>#REF!</v>
      </c>
      <c r="AB3" s="40" t="e">
        <f ca="1">Z3/2</f>
        <v>#REF!</v>
      </c>
      <c r="AC3" s="40" t="e">
        <f ca="1">IF(TODAY()-E3&gt;335,((M3+1+(LOG(J3)*4/3))*0.238),((M3+(((TODAY()-E3)^0.5)/(336^0.238))+(LOG(J3)*4/3))*0.238))</f>
        <v>#REF!</v>
      </c>
      <c r="AD3" s="40" t="e">
        <f ca="1">IF(TODAY()-E3&gt;335,((L3+1+(LOG(J3)*4/3))*0.378),((L3+(((TODAY()-E3)^0.5)/(336^0.516))+(LOG(J3)*4/3))*0.378))</f>
        <v>#REF!</v>
      </c>
      <c r="AE3" s="40" t="e">
        <f ca="1">IF(TODAY()-E3&gt;335,((L3+1+(LOG(J3)*4/3))*0.723),((L3+(((TODAY()-E3)^0.5)/(336^0.5))+(LOG(J3)*4/3))*0.723))</f>
        <v>#REF!</v>
      </c>
      <c r="AF3" s="40" t="e">
        <f ca="1">AD3/2</f>
        <v>#REF!</v>
      </c>
      <c r="AG3" s="40" t="e">
        <f ca="1">IF(TODAY()-E3&gt;335,((M3+1+(LOG(J3)*4/3))*0.385),((M3+(((TODAY()-E3)^0.5)/(336^0.238))+(LOG(J3)*4/3))*0.385))</f>
        <v>#REF!</v>
      </c>
      <c r="AH3" s="40" t="e">
        <f t="shared" ref="AH3" ca="1" si="3">IF(TODAY()-E3&gt;335,((L3+1+(LOG(J3)*4/3))*0.92),((L3+(((TODAY()-E3)^0.5)/(336^0.5))+(LOG(J3)*4/3))*0.92))</f>
        <v>#REF!</v>
      </c>
      <c r="AI3" s="40" t="e">
        <f ca="1">IF(TODAY()-E3&gt;335,((L3+1+(LOG(J3)*4/3))*0.414),((L3+(((TODAY()-E3)^0.5)/(336^0.414))+(LOG(J3)*4/3))*0.414))</f>
        <v>#REF!</v>
      </c>
      <c r="AJ3" s="40" t="e">
        <f ca="1">IF(TODAY()-E3&gt;335,((M3+1+(LOG(J3)*4/3))*0.167),((M3+(((TODAY()-E3)^0.5)/(336^0.5))+(LOG(J3)*4/3))*0.167))</f>
        <v>#REF!</v>
      </c>
      <c r="AK3" s="40" t="e">
        <f ca="1">IF(TODAY()-E3&gt;335,((N3+1+(LOG(J3)*4/3))*0.588),((N3+(((TODAY()-E3)^0.5)/(336^0.5))+(LOG(J3)*4/3))*0.588))</f>
        <v>#REF!</v>
      </c>
      <c r="AL3" s="40" t="e">
        <f ca="1">IF(TODAY()-E3&gt;335,((L3+1+(LOG(J3)*4/3))*0.754),((L3+(((TODAY()-E3)^0.5)/(336^0.5))+(LOG(J3)*4/3))*0.754))</f>
        <v>#REF!</v>
      </c>
      <c r="AM3" s="40" t="e">
        <f ca="1">IF(TODAY()-E3&gt;335,((L3+1+(LOG(J3)*4/3))*0.708),((L3+(((TODAY()-E3)^0.5)/(336^0.414))+(LOG(J3)*4/3))*0.708))</f>
        <v>#REF!</v>
      </c>
      <c r="AN3" s="40" t="e">
        <f ca="1">IF(TODAY()-E3&gt;335,((Q3+1+(LOG(J3)*4/3))*0.167),((Q3+(((TODAY()-E3)^0.5)/(336^0.5))+(LOG(J3)*4/3))*0.167))</f>
        <v>#REF!</v>
      </c>
      <c r="AO3" s="40" t="e">
        <f ca="1">IF(TODAY()-E3&gt;335,((R3+1+(LOG(J3)*4/3))*0.288),((R3+(((TODAY()-E3)^0.5)/(336^0.5))+(LOG(J3)*4/3))*0.288))</f>
        <v>#REF!</v>
      </c>
      <c r="AP3" s="40" t="e">
        <f ca="1">IF(TODAY()-E3&gt;335,((L3+1+(LOG(J3)*4/3))*0.27),((L3+(((TODAY()-E3)^0.5)/(336^0.5))+(LOG(J3)*4/3))*0.27))</f>
        <v>#REF!</v>
      </c>
      <c r="AQ3" s="40" t="e">
        <f ca="1">IF(TODAY()-E3&gt;335,((L3+1+(LOG(J3)*4/3))*0.594),((L3+(((TODAY()-E3)^0.5)/(336^0.5))+(LOG(J3)*4/3))*0.594))</f>
        <v>#REF!</v>
      </c>
      <c r="AR3" s="40" t="e">
        <f ca="1">AP3/2</f>
        <v>#REF!</v>
      </c>
      <c r="AS3" s="40" t="e">
        <f ca="1">IF(TODAY()-E3&gt;335,((M3+1+(LOG(J3)*4/3))*0.944),((M3+(((TODAY()-E3)^0.5)/(336^0.5))+(LOG(J3)*4/3))*0.944))</f>
        <v>#REF!</v>
      </c>
      <c r="AT3" s="40" t="e">
        <f ca="1">IF(TODAY()-E3&gt;335,((O3+1+(LOG(J3)*4/3))*0.13),((O3+(((TODAY()-E3)^0.5)/(336^0.5))+(LOG(J3)*4/3))*0.13))</f>
        <v>#REF!</v>
      </c>
      <c r="AU3" s="40" t="e">
        <f ca="1">IF(TODAY()-E3&gt;335,((P3+1+(LOG(J3)*4/3))*0.173)+((O3+1+(LOG(J3)*4/3))*0.12),((P3+(((TODAY()-E3)^0.5)/(336^0.5))+(LOG(J3)*4/3))*0.173)+((O3+(((TODAY()-E3)^0.5)/(336^0.5))+(LOG(J3)*4/3))*0.12))</f>
        <v>#REF!</v>
      </c>
      <c r="AV3" s="40" t="e">
        <f ca="1">AT3/2</f>
        <v>#REF!</v>
      </c>
      <c r="AW3" s="40" t="e">
        <f ca="1">IF(TODAY()-E3&gt;335,((L3+1+(LOG(J3)*4/3))*0.189),((L3+(((TODAY()-E3)^0.5)/(336^0.5))+(LOG(J3)*4/3))*0.189))</f>
        <v>#REF!</v>
      </c>
      <c r="AX3" s="40" t="e">
        <f ca="1">IF(TODAY()-E3&gt;335,((L3+1+(LOG(J3)*4/3))*0.4),((L3+(((TODAY()-E3)^0.5)/(336^0.5))+(LOG(J3)*4/3))*0.4))</f>
        <v>#REF!</v>
      </c>
      <c r="AY3" s="40" t="e">
        <f ca="1">AW3/2</f>
        <v>#REF!</v>
      </c>
      <c r="AZ3" s="40" t="e">
        <f ca="1">IF(TODAY()-E3&gt;335,((M3+1+(LOG(J3)*4/3))*1),((M3+(((TODAY()-E3)^0.5)/(336^0.5))+(LOG(J3)*4/3))*1))</f>
        <v>#REF!</v>
      </c>
      <c r="BA3" s="40" t="e">
        <f ca="1">IF(TODAY()-E3&gt;335,((O3+1+(LOG(J3)*4/3))*0.253),((O3+(((TODAY()-E3)^0.5)/(336^0.5))+(LOG(J3)*4/3))*0.253))</f>
        <v>#REF!</v>
      </c>
      <c r="BB3" s="40" t="e">
        <f ca="1">IF(TODAY()-E3&gt;335,((P3+1+(LOG(J3)*4/3))*0.21)+((O3+1+(LOG(J3)*4/3))*0.341),((P3+(((TODAY()-E3)^0.5)/(336^0.5))+(LOG(J3)*4/3))*0.21)+((O3+(((TODAY()-E3)^0.5)/(336^0.5))+(LOG(J3)*4/3))*0.341))</f>
        <v>#REF!</v>
      </c>
      <c r="BC3" s="40" t="e">
        <f ca="1">BA3/2</f>
        <v>#REF!</v>
      </c>
      <c r="BD3" s="40" t="e">
        <f ca="1">IF(TODAY()-E3&gt;335,((L3+1+(LOG(J3)*4/3))*0.291),((L3+(((TODAY()-E3)^0.5)/(336^0.5))+(LOG(J3)*4/3))*0.291))</f>
        <v>#REF!</v>
      </c>
      <c r="BE3" s="40" t="e">
        <f ca="1">IF(TODAY()-E3&gt;335,((L3+1+(LOG(J3)*4/3))*0.348),((L3+(((TODAY()-E3)^0.5)/(336^0.5))+(LOG(J3)*4/3))*0.348))</f>
        <v>#REF!</v>
      </c>
      <c r="BF3" s="40" t="e">
        <f ca="1">IF(TODAY()-E3&gt;335,((M3+1+(LOG(J3)*4/3))*0.881),((M3+(((TODAY()-E3)^0.5)/(336^0.5))+(LOG(J3)*4/3))*0.881))</f>
        <v>#REF!</v>
      </c>
      <c r="BG3" s="40" t="e">
        <f ca="1">IF(TODAY()-E3&gt;335,((N3+1+(LOG(J3)*4/3))*0.574)+((O3+1+(LOG(J3)*4/3))*0.315),((N3+(((TODAY()-E3)^0.5)/(336^0.5))+(LOG(J3)*4/3))*0.574)+((O3+(((TODAY()-E3)^0.5)/(336^0.5))+(LOG(J3)*4/3))*0.315))</f>
        <v>#REF!</v>
      </c>
      <c r="BH3" s="40" t="e">
        <f ca="1">IF(TODAY()-E3&gt;335,((O3+1+(LOG(J3)*4/3))*0.241),((O3+(((TODAY()-E3)^0.5)/(336^0.5))+(LOG(J3)*4/3))*0.241))</f>
        <v>#REF!</v>
      </c>
      <c r="BI3" s="40" t="e">
        <f ca="1">IF(TODAY()-E3&gt;335,((L3+1+(LOG(J3)*4/3))*0.485),((L3+(((TODAY()-E3)^0.5)/(336^0.5))+(LOG(J3)*4/3))*0.485))</f>
        <v>#REF!</v>
      </c>
      <c r="BJ3" s="40" t="e">
        <f ca="1">IF(TODAY()-E3&gt;335,((L3+1+(LOG(J3)*4/3))*0.264),((L3+(((TODAY()-E3)^0.5)/(336^0.5))+(LOG(J3)*4/3))*0.264))</f>
        <v>#REF!</v>
      </c>
      <c r="BK3" s="40" t="e">
        <f ca="1">IF(TODAY()-E3&gt;335,((M3+1+(LOG(J3)*4/3))*0.381),((M3+(((TODAY()-E3)^0.5)/(336^0.5))+(LOG(J3)*4/3))*0.381))</f>
        <v>#REF!</v>
      </c>
      <c r="BL3" s="40" t="e">
        <f ca="1">IF(TODAY()-E3&gt;335,((N3+1+(LOG(J3)*4/3))*0.673)+((O3+1+(LOG(J3)*4/3))*0.201),((N3+(((TODAY()-E3)^0.5)/(336^0.5))+(LOG(J3)*4/3))*0.673)+((O3+(((TODAY()-E3)^0.5)/(336^0.5))+(LOG(J3)*4/3))*0.201))</f>
        <v>#REF!</v>
      </c>
      <c r="BM3" s="40" t="e">
        <f ca="1">IF(TODAY()-E3&gt;335,((O3+1+(LOG(J3)*4/3))*0.052),((O3+(((TODAY()-E3)^0.5)/(336^0.5))+(LOG(J3)*4/3))*0.052))</f>
        <v>#REF!</v>
      </c>
      <c r="BN3" s="40" t="e">
        <f ca="1">IF(TODAY()-E3&gt;335,((L3+1+(LOG(J3)*4/3))*0.18),((L3+(((TODAY()-E3)^0.5)/(336^0.5))+(LOG(J3)*4/3))*0.18))</f>
        <v>#REF!</v>
      </c>
      <c r="BO3" s="40" t="e">
        <f ca="1">IF(TODAY()-E3&gt;335,((L3+1+(LOG(J3)*4/3))*0.068),((L3+(((TODAY()-E3)^0.5)/(336^0.5))+(LOG(J3)*4/3))*0.068))</f>
        <v>#REF!</v>
      </c>
      <c r="BP3" s="40" t="e">
        <f ca="1">IF(TODAY()-E3&gt;335,((M3+1+(LOG(J3)*4/3))*0.305),((M3+(((TODAY()-E3)^0.5)/(336^0.5))+(LOG(J3)*4/3))*0.305))</f>
        <v>#REF!</v>
      </c>
      <c r="BQ3" s="40" t="e">
        <f ca="1">IF(TODAY()-E3&gt;335,((N3+1+(LOG(J3)*4/3))*1)+((O3+1+(LOG(J3)*4/3))*0.286),((N3+(((TODAY()-E3)^0.5)/(336^0.5))+(LOG(J3)*4/3))*1)+((O3+(((TODAY()-E3)^0.5)/(336^0.5))+(LOG(J3)*4/3))*0.286))</f>
        <v>#REF!</v>
      </c>
      <c r="BR3" s="40" t="e">
        <f ca="1">IF(TODAY()-E3&gt;335,((O3+1+(LOG(J3)*4/3))*0.135),((O3+(((TODAY()-E3)^0.5)/(336^0.5))+(LOG(J3)*4/3))*0.135))</f>
        <v>#REF!</v>
      </c>
      <c r="BS3" s="40" t="e">
        <f ca="1">IF(TODAY()-E3&gt;335,((L3+1+(LOG(J3)*4/3))*0.284),((L3+(((TODAY()-E3)^0.5)/(336^0.5))+(LOG(J3)*4/3))*0.284))</f>
        <v>#REF!</v>
      </c>
      <c r="BT3" s="40" t="e">
        <f ca="1">IF(TODAY()-E3&gt;335,((L3+1+(LOG(J3)*4/3))*0.244),((L3+(((TODAY()-E3)^0.5)/(336^0.5))+(LOG(J3)*4/3))*0.244))</f>
        <v>#REF!</v>
      </c>
      <c r="BU3" s="40" t="e">
        <f ca="1">IF(TODAY()-E3&gt;335,((M3+1+(LOG(J3)*4/3))*0.631),((M3+(((TODAY()-E3)^0.5)/(336^0.5))+(LOG(J3)*4/3))*0.631))</f>
        <v>#REF!</v>
      </c>
      <c r="BV3" s="40" t="e">
        <f ca="1">IF(TODAY()-E3&gt;335,((N3+1+(LOG(J3)*4/3))*0.702)+((O3+1+(LOG(J3)*4/3))*0.193),((N3+(((TODAY()-E3)^0.5)/(336^0.5))+(LOG(J3)*4/3))*0.702)+((O3+(((TODAY()-E3)^0.5)/(336^0.5))+(LOG(J3)*4/3))*0.193))</f>
        <v>#REF!</v>
      </c>
      <c r="BW3" s="40" t="e">
        <f ca="1">IF(TODAY()-E3&gt;335,((O3+1+(LOG(J3)*4/3))*0.148),((O3+(((TODAY()-E3)^0.5)/(336^0.5))+(LOG(J3)*4/3))*0.148))</f>
        <v>#REF!</v>
      </c>
      <c r="BX3" s="40" t="e">
        <f ca="1">IF(TODAY()-E3&gt;335,((M3+1+(LOG(J3)*4/3))*0.406),((M3+(((TODAY()-E3)^0.5)/(336^0.5))+(LOG(J3)*4/3))*0.406))</f>
        <v>#REF!</v>
      </c>
      <c r="BY3" s="40" t="e">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#REF!</v>
      </c>
      <c r="BZ3" s="40" t="e">
        <f ca="1">IF(D3="TEC",IF(TODAY()-E3&gt;335,((O3+1+(LOG(J3)*4/3))*0.543)+((P3+1+(LOG(J3)*4/3))*0.583),((O3+(((TODAY()-E3)^0.5)/(336^0.5))+(LOG(J3)*4/3))*0.543)+((P3+(((TODAY()-E3)^0.5)/(336^0.5))+(LOG(J3)*4/3))*0.583)),IF(TODAY()-E3&gt;335,((O3+1+(LOG(J3)*4/3))*0.543)+((P3+1+(LOG(J3)*4/3))*0.583),((O3+(((TODAY()-E3)^0.5)/(336^0.5))+(LOG(J3)*4/3))*0.543)+((P3+(((TODAY()-E3)^0.5)/(336^0.5))+(LOG(J3)*4/3))*0.583)))</f>
        <v>#REF!</v>
      </c>
      <c r="CA3" s="40" t="e">
        <f ca="1">BY3</f>
        <v>#REF!</v>
      </c>
      <c r="CB3" s="40" t="e">
        <f ca="1">IF(TODAY()-E3&gt;335,((P3+1+(LOG(J3)*4/3))*0.26)+((N3+1+(LOG(J3)*4/3))*0.221)+((O3+1+(LOG(J3)*4/3))*0.142),((P3+(((TODAY()-E3)^0.5)/(336^0.5))+(LOG(J3)*4/3))*0.26)+((N3+(((TODAY()-E3)^0.5)/(336^0.5))+(LOG(J3)*4/3))*0.221)+((P3+(((TODAY()-E3)^0.5)/(336^0.5))+(LOG(J3)*4/3))*0.142))</f>
        <v>#REF!</v>
      </c>
      <c r="CC3" s="40" t="e">
        <f ca="1">IF(TODAY()-E3&gt;335,((P3+1+(LOG(J3)*4/3))*1)+((O3+1+(LOG(J3)*4/3))*0.369),((P3+(((TODAY()-E3)^0.5)/(336^0.5))+(LOG(J3)*4/3))*1)+((O3+(((TODAY()-E3)^0.5)/(336^0.5))+(LOG(J3)*4/3))*0.369))</f>
        <v>#REF!</v>
      </c>
      <c r="CD3" s="40" t="e">
        <f ca="1">CB3</f>
        <v>#REF!</v>
      </c>
      <c r="CE3" s="40" t="e">
        <f ca="1">IF(TODAY()-E3&gt;335,((M3+1+(LOG(J3)*4/3))*0.25),((M3+(((TODAY()-E3)^0.5)/(336^0.5))+(LOG(J3)*4/3))*0.25))</f>
        <v>#REF!</v>
      </c>
    </row>
    <row r="4" spans="1:83" x14ac:dyDescent="0.25">
      <c r="A4" t="str">
        <f>PLANTILLA!D18</f>
        <v>Mario Omarini</v>
      </c>
      <c r="B4">
        <f>PLANTILLA!E18</f>
        <v>32</v>
      </c>
      <c r="C4" s="36">
        <f ca="1">PLANTILLA!F18</f>
        <v>17</v>
      </c>
      <c r="D4" s="69" t="str">
        <f>PLANTILLA!G18</f>
        <v>TEC</v>
      </c>
      <c r="E4" s="33">
        <v>42107</v>
      </c>
      <c r="F4" s="51">
        <f>PLANTILLA!Q18</f>
        <v>5</v>
      </c>
      <c r="G4" s="52">
        <f t="shared" ref="G4:G7" si="4">(F4/7)^0.5</f>
        <v>0.84515425472851657</v>
      </c>
      <c r="H4" s="52">
        <f t="shared" ref="H4:H7" si="5">IF(F4=7,1,((F4+0.99)/7)^0.5)</f>
        <v>0.92504826128926143</v>
      </c>
      <c r="I4" s="55">
        <f t="shared" ref="I4:I16" ca="1" si="6">IF(TODAY()-E4&gt;335,1,((TODAY()-E4)^0.5)/336^0.5)</f>
        <v>1</v>
      </c>
      <c r="J4" s="42">
        <f>PLANTILLA!I18</f>
        <v>9.6999999999999993</v>
      </c>
      <c r="K4" s="50">
        <f>PLANTILLA!X18</f>
        <v>0</v>
      </c>
      <c r="L4" s="50">
        <f>PLANTILLA!Y18</f>
        <v>14</v>
      </c>
      <c r="M4" s="50">
        <f>PLANTILLA!Z18</f>
        <v>7.1099999999999994</v>
      </c>
      <c r="N4" s="50">
        <f>PLANTILLA!AA18</f>
        <v>11.035714285714286</v>
      </c>
      <c r="O4" s="50">
        <f>PLANTILLA!AB18</f>
        <v>7.0499999999999989</v>
      </c>
      <c r="P4" s="50">
        <f>PLANTILLA!AC18</f>
        <v>2.0099999999999998</v>
      </c>
      <c r="Q4" s="50">
        <f>PLANTILLA!AD18</f>
        <v>15.83333333333333</v>
      </c>
      <c r="R4" s="50">
        <f t="shared" ref="R4:R7" si="7">((2*(O4+1))+(L4+1))/8</f>
        <v>3.8874999999999997</v>
      </c>
      <c r="S4" s="50">
        <f t="shared" ref="S4:S7" si="8">(0.5*P4+ 0.3*Q4)/10</f>
        <v>0.5754999999999999</v>
      </c>
      <c r="T4" s="50">
        <f t="shared" ref="T4:T7" si="9">(0.4*L4+0.3*Q4)/10</f>
        <v>1.0349999999999999</v>
      </c>
      <c r="U4" s="50">
        <f t="shared" ref="U4:U7" ca="1" si="10">IF(TODAY()-E4&gt;335,(Q4+1+(LOG(J4)*4/3))*(F4/7)^0.5,(Q4+((TODAY()-E4)^0.5)/(336^0.5)+(LOG(J4)*4/3))*(F4/7)^0.5)</f>
        <v>15.338729060811296</v>
      </c>
      <c r="V4" s="50">
        <f t="shared" ref="V4:V7" ca="1" si="11">IF(F4=7,U4,IF(TODAY()-E4&gt;335,(Q4+1+(LOG(J4)*4/3))*((F4+0.99)/7)^0.5,(Q4+((TODAY()-E4)^0.5)/(336^0.5)+(LOG(J4)*4/3))*((F4+0.99)/7)^0.5))</f>
        <v>16.788727701132402</v>
      </c>
      <c r="W4" s="40">
        <f t="shared" ref="W4:W7" ca="1" si="12">IF(TODAY()-E4&gt;335,((K4+1+(LOG(J4)*4/3))*0.597)+((L4+1+(LOG(J4)*4/3))*0.276),((K4+(((TODAY()-E4)^0.5)/(336^0.5))+(LOG(J4)*4/3))*0.597)+((L4+(((TODAY()-E4)^0.5)/(336^0.5))+(LOG(J4)*4/3))*0.276))</f>
        <v>5.8856022986859093</v>
      </c>
      <c r="X4" s="40">
        <f t="shared" ref="X4:X7" ca="1" si="13">IF(TODAY()-E4&gt;335,((K4+1+(LOG(J4)*4/3))*0.866)+((L4+1+(LOG(J4)*4/3))*0.425),((K4+(((TODAY()-E4)^0.5)/(336^0.5))+(LOG(J4)*4/3))*0.866)+((L4+(((TODAY()-E4)^0.5)/(336^0.5))+(LOG(J4)*4/3))*0.425))</f>
        <v>8.9395630785836282</v>
      </c>
      <c r="Y4" s="40">
        <f t="shared" ref="Y4:Y7" ca="1" si="14">W4</f>
        <v>5.8856022986859093</v>
      </c>
      <c r="Z4" s="40">
        <f t="shared" ref="Z4:Z7" ca="1" si="15">IF(TODAY()-E4&gt;335,((L4+1+(LOG(J4)*4/3))*0.516),((L4+(((TODAY()-E4)^0.5)/(336^0.516))+(LOG(J4)*4/3))*0.516))</f>
        <v>8.4188989531751766</v>
      </c>
      <c r="AA4" s="40">
        <f t="shared" ref="AA4:AA7" ca="1" si="16">IF(TODAY()-E4&gt;335,((L4+1+(LOG(J4)*4/3))*1),((L4+(((TODAY()-E4)^0.5)/(336^0.5))+(LOG(J4)*4/3))*1))</f>
        <v>16.315695645688326</v>
      </c>
      <c r="AB4" s="40">
        <f t="shared" ref="AB4:AB7" ca="1" si="17">Z4/2</f>
        <v>4.2094494765875883</v>
      </c>
      <c r="AC4" s="40">
        <f t="shared" ref="AC4:AC7" ca="1" si="18">IF(TODAY()-E4&gt;335,((M4+1+(LOG(J4)*4/3))*0.238),((M4+(((TODAY()-E4)^0.5)/(336^0.238))+(LOG(J4)*4/3))*0.238))</f>
        <v>2.2433155636738213</v>
      </c>
      <c r="AD4" s="40">
        <f t="shared" ref="AD4:AD7" ca="1" si="19">IF(TODAY()-E4&gt;335,((L4+1+(LOG(J4)*4/3))*0.378),((L4+(((TODAY()-E4)^0.5)/(336^0.516))+(LOG(J4)*4/3))*0.378))</f>
        <v>6.1673329540701873</v>
      </c>
      <c r="AE4" s="40">
        <f t="shared" ref="AE4:AE7" ca="1" si="20">IF(TODAY()-E4&gt;335,((L4+1+(LOG(J4)*4/3))*0.723),((L4+(((TODAY()-E4)^0.5)/(336^0.5))+(LOG(J4)*4/3))*0.723))</f>
        <v>11.79624795183266</v>
      </c>
      <c r="AF4" s="40">
        <f t="shared" ref="AF4:AF7" ca="1" si="21">AD4/2</f>
        <v>3.0836664770350937</v>
      </c>
      <c r="AG4" s="40">
        <f t="shared" ref="AG4:AG7" ca="1" si="22">IF(TODAY()-E4&gt;335,((M4+1+(LOG(J4)*4/3))*0.385),((M4+(((TODAY()-E4)^0.5)/(336^0.238))+(LOG(J4)*4/3))*0.385))</f>
        <v>3.6288928235900051</v>
      </c>
      <c r="AH4" s="40">
        <f t="shared" ref="AH4:AH7" ca="1" si="23">IF(TODAY()-E4&gt;335,((L4+1+(LOG(J4)*4/3))*0.92),((L4+(((TODAY()-E4)^0.5)/(336^0.5))+(LOG(J4)*4/3))*0.92))</f>
        <v>15.010439994033261</v>
      </c>
      <c r="AI4" s="40">
        <f t="shared" ref="AI4:AI7" ca="1" si="24">IF(TODAY()-E4&gt;335,((L4+1+(LOG(J4)*4/3))*0.414),((L4+(((TODAY()-E4)^0.5)/(336^0.414))+(LOG(J4)*4/3))*0.414))</f>
        <v>6.7546979973149668</v>
      </c>
      <c r="AJ4" s="40">
        <f t="shared" ref="AJ4:AJ7" ca="1" si="25">IF(TODAY()-E4&gt;335,((M4+1+(LOG(J4)*4/3))*0.167),((M4+(((TODAY()-E4)^0.5)/(336^0.5))+(LOG(J4)*4/3))*0.167))</f>
        <v>1.5740911728299505</v>
      </c>
      <c r="AK4" s="40">
        <f t="shared" ref="AK4:AK7" ca="1" si="26">IF(TODAY()-E4&gt;335,((N4+1+(LOG(J4)*4/3))*0.588),((N4+(((TODAY()-E4)^0.5)/(336^0.5))+(LOG(J4)*4/3))*0.588))</f>
        <v>7.8506290396647351</v>
      </c>
      <c r="AL4" s="40">
        <f t="shared" ref="AL4:AL7" ca="1" si="27">IF(TODAY()-E4&gt;335,((L4+1+(LOG(J4)*4/3))*0.754),((L4+(((TODAY()-E4)^0.5)/(336^0.5))+(LOG(J4)*4/3))*0.754))</f>
        <v>12.302034516848998</v>
      </c>
      <c r="AM4" s="40">
        <f t="shared" ref="AM4:AM7" ca="1" si="28">IF(TODAY()-E4&gt;335,((L4+1+(LOG(J4)*4/3))*0.708),((L4+(((TODAY()-E4)^0.5)/(336^0.414))+(LOG(J4)*4/3))*0.708))</f>
        <v>11.551512517147334</v>
      </c>
      <c r="AN4" s="40">
        <f t="shared" ref="AN4:AN7" ca="1" si="29">IF(TODAY()-E4&gt;335,((Q4+1+(LOG(J4)*4/3))*0.167),((Q4+(((TODAY()-E4)^0.5)/(336^0.5))+(LOG(J4)*4/3))*0.167))</f>
        <v>3.0308878394966166</v>
      </c>
      <c r="AO4" s="40">
        <f t="shared" ref="AO4:AO7" ca="1" si="30">IF(TODAY()-E4&gt;335,((R4+1+(LOG(J4)*4/3))*0.288),((R4+(((TODAY()-E4)^0.5)/(336^0.5))+(LOG(J4)*4/3))*0.288))</f>
        <v>1.7865203459582377</v>
      </c>
      <c r="AP4" s="40">
        <f t="shared" ref="AP4:AP7" ca="1" si="31">IF(TODAY()-E4&gt;335,((L4+1+(LOG(J4)*4/3))*0.27),((L4+(((TODAY()-E4)^0.5)/(336^0.5))+(LOG(J4)*4/3))*0.27))</f>
        <v>4.4052378243358481</v>
      </c>
      <c r="AQ4" s="40">
        <f t="shared" ref="AQ4:AQ7" ca="1" si="32">IF(TODAY()-E4&gt;335,((L4+1+(LOG(J4)*4/3))*0.594),((L4+(((TODAY()-E4)^0.5)/(336^0.5))+(LOG(J4)*4/3))*0.594))</f>
        <v>9.6915232135388649</v>
      </c>
      <c r="AR4" s="40">
        <f t="shared" ref="AR4:AR7" ca="1" si="33">AP4/2</f>
        <v>2.202618912167924</v>
      </c>
      <c r="AS4" s="40">
        <f t="shared" ref="AS4:AS7" ca="1" si="34">IF(TODAY()-E4&gt;335,((M4+1+(LOG(J4)*4/3))*0.944),((M4+(((TODAY()-E4)^0.5)/(336^0.5))+(LOG(J4)*4/3))*0.944))</f>
        <v>8.8978566895297782</v>
      </c>
      <c r="AT4" s="40">
        <f t="shared" ref="AT4:AT7" ca="1" si="35">IF(TODAY()-E4&gt;335,((O4+1+(LOG(J4)*4/3))*0.13),((O4+(((TODAY()-E4)^0.5)/(336^0.5))+(LOG(J4)*4/3))*0.13))</f>
        <v>1.2175404339394822</v>
      </c>
      <c r="AU4" s="40">
        <f t="shared" ref="AU4:AU7" ca="1" si="36">IF(TODAY()-E4&gt;335,((P4+1+(LOG(J4)*4/3))*0.173)+((O4+1+(LOG(J4)*4/3))*0.12),((P4+(((TODAY()-E4)^0.5)/(336^0.5))+(LOG(J4)*4/3))*0.173)+((O4+(((TODAY()-E4)^0.5)/(336^0.5))+(LOG(J4)*4/3))*0.12))</f>
        <v>1.8722288241866794</v>
      </c>
      <c r="AV4" s="40">
        <f t="shared" ref="AV4:AV7" ca="1" si="37">AT4/2</f>
        <v>0.6087702169697411</v>
      </c>
      <c r="AW4" s="40">
        <f t="shared" ref="AW4:AW7" ca="1" si="38">IF(TODAY()-E4&gt;335,((L4+1+(LOG(J4)*4/3))*0.189),((L4+(((TODAY()-E4)^0.5)/(336^0.5))+(LOG(J4)*4/3))*0.189))</f>
        <v>3.0836664770350937</v>
      </c>
      <c r="AX4" s="40">
        <f t="shared" ref="AX4:AX7" ca="1" si="39">IF(TODAY()-E4&gt;335,((L4+1+(LOG(J4)*4/3))*0.4),((L4+(((TODAY()-E4)^0.5)/(336^0.5))+(LOG(J4)*4/3))*0.4))</f>
        <v>6.5262782582753305</v>
      </c>
      <c r="AY4" s="40">
        <f t="shared" ref="AY4:AY7" ca="1" si="40">AW4/2</f>
        <v>1.5418332385175468</v>
      </c>
      <c r="AZ4" s="40">
        <f t="shared" ref="AZ4:AZ7" ca="1" si="41">IF(TODAY()-E4&gt;335,((M4+1+(LOG(J4)*4/3))*1),((M4+(((TODAY()-E4)^0.5)/(336^0.5))+(LOG(J4)*4/3))*1))</f>
        <v>9.4256956456883252</v>
      </c>
      <c r="BA4" s="40">
        <f t="shared" ref="BA4:BA7" ca="1" si="42">IF(TODAY()-E4&gt;335,((O4+1+(LOG(J4)*4/3))*0.253),((O4+(((TODAY()-E4)^0.5)/(336^0.5))+(LOG(J4)*4/3))*0.253))</f>
        <v>2.3695209983591461</v>
      </c>
      <c r="BB4" s="40">
        <f t="shared" ref="BB4:BB7" ca="1" si="43">IF(TODAY()-E4&gt;335,((P4+1+(LOG(J4)*4/3))*0.21)+((O4+1+(LOG(J4)*4/3))*0.341),((P4+(((TODAY()-E4)^0.5)/(336^0.5))+(LOG(J4)*4/3))*0.21)+((O4+(((TODAY()-E4)^0.5)/(336^0.5))+(LOG(J4)*4/3))*0.341))</f>
        <v>4.1020983007742675</v>
      </c>
      <c r="BC4" s="40">
        <f t="shared" ref="BC4:BC7" ca="1" si="44">BA4/2</f>
        <v>1.184760499179573</v>
      </c>
      <c r="BD4" s="40">
        <f t="shared" ref="BD4:BD7" ca="1" si="45">IF(TODAY()-E4&gt;335,((L4+1+(LOG(J4)*4/3))*0.291),((L4+(((TODAY()-E4)^0.5)/(336^0.5))+(LOG(J4)*4/3))*0.291))</f>
        <v>4.7478674328953021</v>
      </c>
      <c r="BE4" s="40">
        <f t="shared" ref="BE4:BE7" ca="1" si="46">IF(TODAY()-E4&gt;335,((L4+1+(LOG(J4)*4/3))*0.348),((L4+(((TODAY()-E4)^0.5)/(336^0.5))+(LOG(J4)*4/3))*0.348))</f>
        <v>5.6778620846995373</v>
      </c>
      <c r="BF4" s="40">
        <f t="shared" ref="BF4:BF7" ca="1" si="47">IF(TODAY()-E4&gt;335,((M4+1+(LOG(J4)*4/3))*0.881),((M4+(((TODAY()-E4)^0.5)/(336^0.5))+(LOG(J4)*4/3))*0.881))</f>
        <v>8.3040378638514145</v>
      </c>
      <c r="BG4" s="40">
        <f t="shared" ref="BG4:BG7" ca="1" si="48">IF(TODAY()-E4&gt;335,((N4+1+(LOG(J4)*4/3))*0.574)+((O4+1+(LOG(J4)*4/3))*0.315),((N4+(((TODAY()-E4)^0.5)/(336^0.5))+(LOG(J4)*4/3))*0.574)+((O4+(((TODAY()-E4)^0.5)/(336^0.5))+(LOG(J4)*4/3))*0.315))</f>
        <v>10.613903429016922</v>
      </c>
      <c r="BH4" s="40">
        <f t="shared" ref="BH4:BH7" ca="1" si="49">IF(TODAY()-E4&gt;335,((O4+1+(LOG(J4)*4/3))*0.241),((O4+(((TODAY()-E4)^0.5)/(336^0.5))+(LOG(J4)*4/3))*0.241))</f>
        <v>2.257132650610886</v>
      </c>
      <c r="BI4" s="40">
        <f t="shared" ref="BI4:BI7" ca="1" si="50">IF(TODAY()-E4&gt;335,((L4+1+(LOG(J4)*4/3))*0.485),((L4+(((TODAY()-E4)^0.5)/(336^0.5))+(LOG(J4)*4/3))*0.485))</f>
        <v>7.9131123881588374</v>
      </c>
      <c r="BJ4" s="40">
        <f t="shared" ref="BJ4:BJ7" ca="1" si="51">IF(TODAY()-E4&gt;335,((L4+1+(LOG(J4)*4/3))*0.264),((L4+(((TODAY()-E4)^0.5)/(336^0.5))+(LOG(J4)*4/3))*0.264))</f>
        <v>4.3073436504617186</v>
      </c>
      <c r="BK4" s="40">
        <f t="shared" ref="BK4:BK7" ca="1" si="52">IF(TODAY()-E4&gt;335,((M4+1+(LOG(J4)*4/3))*0.381),((M4+(((TODAY()-E4)^0.5)/(336^0.5))+(LOG(J4)*4/3))*0.381))</f>
        <v>3.5911900410072519</v>
      </c>
      <c r="BL4" s="40">
        <f t="shared" ref="BL4:BL7" ca="1" si="53">IF(TODAY()-E4&gt;335,((N4+1+(LOG(J4)*4/3))*0.673)+((O4+1+(LOG(J4)*4/3))*0.201),((N4+(((TODAY()-E4)^0.5)/(336^0.5))+(LOG(J4)*4/3))*0.673)+((O4+(((TODAY()-E4)^0.5)/(336^0.5))+(LOG(J4)*4/3))*0.201))</f>
        <v>10.868003708617312</v>
      </c>
      <c r="BM4" s="40">
        <f t="shared" ref="BM4:BM7" ca="1" si="54">IF(TODAY()-E4&gt;335,((O4+1+(LOG(J4)*4/3))*0.052),((O4+(((TODAY()-E4)^0.5)/(336^0.5))+(LOG(J4)*4/3))*0.052))</f>
        <v>0.48701617357579285</v>
      </c>
      <c r="BN4" s="40">
        <f t="shared" ref="BN4:BN7" ca="1" si="55">IF(TODAY()-E4&gt;335,((L4+1+(LOG(J4)*4/3))*0.18),((L4+(((TODAY()-E4)^0.5)/(336^0.5))+(LOG(J4)*4/3))*0.18))</f>
        <v>2.9368252162238986</v>
      </c>
      <c r="BO4" s="40">
        <f t="shared" ref="BO4:BO7" ca="1" si="56">IF(TODAY()-E4&gt;335,((L4+1+(LOG(J4)*4/3))*0.068),((L4+(((TODAY()-E4)^0.5)/(336^0.5))+(LOG(J4)*4/3))*0.068))</f>
        <v>1.1094673039068061</v>
      </c>
      <c r="BP4" s="40">
        <f t="shared" ref="BP4:BP7" ca="1" si="57">IF(TODAY()-E4&gt;335,((M4+1+(LOG(J4)*4/3))*0.305),((M4+(((TODAY()-E4)^0.5)/(336^0.5))+(LOG(J4)*4/3))*0.305))</f>
        <v>2.874837171934939</v>
      </c>
      <c r="BQ4" s="40">
        <f t="shared" ref="BQ4:BQ7" ca="1" si="58">IF(TODAY()-E4&gt;335,((N4+1+(LOG(J4)*4/3))*1)+((O4+1+(LOG(J4)*4/3))*0.286),((N4+(((TODAY()-E4)^0.5)/(336^0.5))+(LOG(J4)*4/3))*1)+((O4+(((TODAY()-E4)^0.5)/(336^0.5))+(LOG(J4)*4/3))*0.286))</f>
        <v>16.029998886069471</v>
      </c>
      <c r="BR4" s="40">
        <f t="shared" ref="BR4:BR7" ca="1" si="59">IF(TODAY()-E4&gt;335,((O4+1+(LOG(J4)*4/3))*0.135),((O4+(((TODAY()-E4)^0.5)/(336^0.5))+(LOG(J4)*4/3))*0.135))</f>
        <v>1.264368912167924</v>
      </c>
      <c r="BS4" s="40">
        <f t="shared" ref="BS4:BS7" ca="1" si="60">IF(TODAY()-E4&gt;335,((L4+1+(LOG(J4)*4/3))*0.284),((L4+(((TODAY()-E4)^0.5)/(336^0.5))+(LOG(J4)*4/3))*0.284))</f>
        <v>4.6336575633754844</v>
      </c>
      <c r="BT4" s="40">
        <f t="shared" ref="BT4:BT7" ca="1" si="61">IF(TODAY()-E4&gt;335,((L4+1+(LOG(J4)*4/3))*0.244),((L4+(((TODAY()-E4)^0.5)/(336^0.5))+(LOG(J4)*4/3))*0.244))</f>
        <v>3.9810297375479515</v>
      </c>
      <c r="BU4" s="40">
        <f t="shared" ref="BU4:BU7" ca="1" si="62">IF(TODAY()-E4&gt;335,((M4+1+(LOG(J4)*4/3))*0.631),((M4+(((TODAY()-E4)^0.5)/(336^0.5))+(LOG(J4)*4/3))*0.631))</f>
        <v>5.9476139524293332</v>
      </c>
      <c r="BV4" s="40">
        <f t="shared" ref="BV4:BV7" ca="1" si="63">IF(TODAY()-E4&gt;335,((N4+1+(LOG(J4)*4/3))*0.702)+((O4+1+(LOG(J4)*4/3))*0.193),((N4+(((TODAY()-E4)^0.5)/(336^0.5))+(LOG(J4)*4/3))*0.702)+((O4+(((TODAY()-E4)^0.5)/(336^0.5))+(LOG(J4)*4/3))*0.193))</f>
        <v>11.18026903146248</v>
      </c>
      <c r="BW4" s="40">
        <f t="shared" ref="BW4:BW7" ca="1" si="64">IF(TODAY()-E4&gt;335,((O4+1+(LOG(J4)*4/3))*0.148),((O4+(((TODAY()-E4)^0.5)/(336^0.5))+(LOG(J4)*4/3))*0.148))</f>
        <v>1.3861229555618719</v>
      </c>
      <c r="BX4" s="40">
        <f t="shared" ref="BX4:BX7" ca="1" si="65">IF(TODAY()-E4&gt;335,((M4+1+(LOG(J4)*4/3))*0.406),((M4+(((TODAY()-E4)^0.5)/(336^0.5))+(LOG(J4)*4/3))*0.406))</f>
        <v>3.8268324321494602</v>
      </c>
      <c r="BY4" s="40">
        <f t="shared" ref="BY4:BY7" ca="1" si="66">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5.5865602259158269</v>
      </c>
      <c r="BZ4" s="40">
        <f t="shared" ref="BZ4:BZ7" ca="1" si="67">IF(D4="TEC",IF(TODAY()-E4&gt;335,((O4+1+(LOG(J4)*4/3))*0.543)+((P4+1+(LOG(J4)*4/3))*0.583),((O4+(((TODAY()-E4)^0.5)/(336^0.5))+(LOG(J4)*4/3))*0.543)+((P4+(((TODAY()-E4)^0.5)/(336^0.5))+(LOG(J4)*4/3))*0.583)),IF(TODAY()-E4&gt;335,((O4+1+(LOG(J4)*4/3))*0.543)+((P4+1+(LOG(J4)*4/3))*0.583),((O4+(((TODAY()-E4)^0.5)/(336^0.5))+(LOG(J4)*4/3))*0.543)+((P4+(((TODAY()-E4)^0.5)/(336^0.5))+(LOG(J4)*4/3))*0.583)))</f>
        <v>7.6074532970450548</v>
      </c>
      <c r="CA4" s="40">
        <f t="shared" ref="CA4:CA7" ca="1" si="68">BY4</f>
        <v>5.5865602259158269</v>
      </c>
      <c r="CB4" s="40">
        <f t="shared" ref="CB4:CB7" ca="1" si="69">IF(TODAY()-E4&gt;335,((P4+1+(LOG(J4)*4/3))*0.26)+((N4+1+(LOG(J4)*4/3))*0.221)+((O4+1+(LOG(J4)*4/3))*0.142),((P4+(((TODAY()-E4)^0.5)/(336^0.5))+(LOG(J4)*4/3))*0.26)+((N4+(((TODAY()-E4)^0.5)/(336^0.5))+(LOG(J4)*4/3))*0.221)+((P4+(((TODAY()-E4)^0.5)/(336^0.5))+(LOG(J4)*4/3))*0.142))</f>
        <v>5.4052712444066842</v>
      </c>
      <c r="CC4" s="40">
        <f t="shared" ref="CC4:CC7" ca="1" si="70">IF(TODAY()-E4&gt;335,((P4+1+(LOG(J4)*4/3))*1)+((O4+1+(LOG(J4)*4/3))*0.369),((P4+(((TODAY()-E4)^0.5)/(336^0.5))+(LOG(J4)*4/3))*1)+((O4+(((TODAY()-E4)^0.5)/(336^0.5))+(LOG(J4)*4/3))*0.369))</f>
        <v>7.7816373389473181</v>
      </c>
      <c r="CD4" s="40">
        <f t="shared" ref="CD4:CD7" ca="1" si="71">CB4</f>
        <v>5.4052712444066842</v>
      </c>
      <c r="CE4" s="40">
        <f t="shared" ref="CE4:CE7" ca="1" si="72">IF(TODAY()-E4&gt;335,((M4+1+(LOG(J4)*4/3))*0.25),((M4+(((TODAY()-E4)^0.5)/(336^0.5))+(LOG(J4)*4/3))*0.25))</f>
        <v>2.3564239114220813</v>
      </c>
    </row>
    <row r="5" spans="1:83" x14ac:dyDescent="0.25">
      <c r="A5" t="e">
        <f>PLANTILLA!#REF!</f>
        <v>#REF!</v>
      </c>
      <c r="B5" t="e">
        <f>PLANTILLA!#REF!</f>
        <v>#REF!</v>
      </c>
      <c r="C5" s="36" t="e">
        <f>PLANTILLA!#REF!</f>
        <v>#REF!</v>
      </c>
      <c r="D5" s="69" t="e">
        <f>PLANTILLA!#REF!</f>
        <v>#REF!</v>
      </c>
      <c r="E5" s="33">
        <v>42266</v>
      </c>
      <c r="F5" s="51" t="e">
        <f>PLANTILLA!#REF!</f>
        <v>#REF!</v>
      </c>
      <c r="G5" s="52" t="e">
        <f t="shared" si="4"/>
        <v>#REF!</v>
      </c>
      <c r="H5" s="52" t="e">
        <f t="shared" si="5"/>
        <v>#REF!</v>
      </c>
      <c r="I5" s="55">
        <f t="shared" ca="1" si="6"/>
        <v>1</v>
      </c>
      <c r="J5" s="42" t="e">
        <f>PLANTILLA!#REF!</f>
        <v>#REF!</v>
      </c>
      <c r="K5" s="50" t="e">
        <f>PLANTILLA!#REF!</f>
        <v>#REF!</v>
      </c>
      <c r="L5" s="50" t="e">
        <f>PLANTILLA!#REF!</f>
        <v>#REF!</v>
      </c>
      <c r="M5" s="50" t="e">
        <f>PLANTILLA!#REF!</f>
        <v>#REF!</v>
      </c>
      <c r="N5" s="50" t="e">
        <f>PLANTILLA!#REF!</f>
        <v>#REF!</v>
      </c>
      <c r="O5" s="50" t="e">
        <f>PLANTILLA!#REF!</f>
        <v>#REF!</v>
      </c>
      <c r="P5" s="50" t="e">
        <f>PLANTILLA!#REF!</f>
        <v>#REF!</v>
      </c>
      <c r="Q5" s="50" t="e">
        <f>PLANTILLA!#REF!</f>
        <v>#REF!</v>
      </c>
      <c r="R5" s="50" t="e">
        <f t="shared" si="7"/>
        <v>#REF!</v>
      </c>
      <c r="S5" s="50" t="e">
        <f t="shared" si="8"/>
        <v>#REF!</v>
      </c>
      <c r="T5" s="50" t="e">
        <f t="shared" si="9"/>
        <v>#REF!</v>
      </c>
      <c r="U5" s="50" t="e">
        <f t="shared" ca="1" si="10"/>
        <v>#REF!</v>
      </c>
      <c r="V5" s="50" t="e">
        <f t="shared" ca="1" si="11"/>
        <v>#REF!</v>
      </c>
      <c r="W5" s="40" t="e">
        <f t="shared" ca="1" si="12"/>
        <v>#REF!</v>
      </c>
      <c r="X5" s="40" t="e">
        <f t="shared" ca="1" si="13"/>
        <v>#REF!</v>
      </c>
      <c r="Y5" s="40" t="e">
        <f t="shared" ca="1" si="14"/>
        <v>#REF!</v>
      </c>
      <c r="Z5" s="40" t="e">
        <f t="shared" ca="1" si="15"/>
        <v>#REF!</v>
      </c>
      <c r="AA5" s="40" t="e">
        <f t="shared" ca="1" si="16"/>
        <v>#REF!</v>
      </c>
      <c r="AB5" s="40" t="e">
        <f t="shared" ca="1" si="17"/>
        <v>#REF!</v>
      </c>
      <c r="AC5" s="40" t="e">
        <f t="shared" ca="1" si="18"/>
        <v>#REF!</v>
      </c>
      <c r="AD5" s="40" t="e">
        <f t="shared" ca="1" si="19"/>
        <v>#REF!</v>
      </c>
      <c r="AE5" s="40" t="e">
        <f t="shared" ca="1" si="20"/>
        <v>#REF!</v>
      </c>
      <c r="AF5" s="40" t="e">
        <f t="shared" ca="1" si="21"/>
        <v>#REF!</v>
      </c>
      <c r="AG5" s="40" t="e">
        <f t="shared" ca="1" si="22"/>
        <v>#REF!</v>
      </c>
      <c r="AH5" s="40" t="e">
        <f t="shared" ca="1" si="23"/>
        <v>#REF!</v>
      </c>
      <c r="AI5" s="40" t="e">
        <f t="shared" ca="1" si="24"/>
        <v>#REF!</v>
      </c>
      <c r="AJ5" s="40" t="e">
        <f t="shared" ca="1" si="25"/>
        <v>#REF!</v>
      </c>
      <c r="AK5" s="40" t="e">
        <f t="shared" ca="1" si="26"/>
        <v>#REF!</v>
      </c>
      <c r="AL5" s="40" t="e">
        <f t="shared" ca="1" si="27"/>
        <v>#REF!</v>
      </c>
      <c r="AM5" s="40" t="e">
        <f t="shared" ca="1" si="28"/>
        <v>#REF!</v>
      </c>
      <c r="AN5" s="40" t="e">
        <f t="shared" ca="1" si="29"/>
        <v>#REF!</v>
      </c>
      <c r="AO5" s="40" t="e">
        <f t="shared" ca="1" si="30"/>
        <v>#REF!</v>
      </c>
      <c r="AP5" s="40" t="e">
        <f t="shared" ca="1" si="31"/>
        <v>#REF!</v>
      </c>
      <c r="AQ5" s="40" t="e">
        <f t="shared" ca="1" si="32"/>
        <v>#REF!</v>
      </c>
      <c r="AR5" s="40" t="e">
        <f t="shared" ca="1" si="33"/>
        <v>#REF!</v>
      </c>
      <c r="AS5" s="40" t="e">
        <f t="shared" ca="1" si="34"/>
        <v>#REF!</v>
      </c>
      <c r="AT5" s="40" t="e">
        <f t="shared" ca="1" si="35"/>
        <v>#REF!</v>
      </c>
      <c r="AU5" s="40" t="e">
        <f t="shared" ca="1" si="36"/>
        <v>#REF!</v>
      </c>
      <c r="AV5" s="40" t="e">
        <f t="shared" ca="1" si="37"/>
        <v>#REF!</v>
      </c>
      <c r="AW5" s="40" t="e">
        <f t="shared" ca="1" si="38"/>
        <v>#REF!</v>
      </c>
      <c r="AX5" s="40" t="e">
        <f t="shared" ca="1" si="39"/>
        <v>#REF!</v>
      </c>
      <c r="AY5" s="40" t="e">
        <f t="shared" ca="1" si="40"/>
        <v>#REF!</v>
      </c>
      <c r="AZ5" s="40" t="e">
        <f t="shared" ca="1" si="41"/>
        <v>#REF!</v>
      </c>
      <c r="BA5" s="40" t="e">
        <f t="shared" ca="1" si="42"/>
        <v>#REF!</v>
      </c>
      <c r="BB5" s="40" t="e">
        <f t="shared" ca="1" si="43"/>
        <v>#REF!</v>
      </c>
      <c r="BC5" s="40" t="e">
        <f t="shared" ca="1" si="44"/>
        <v>#REF!</v>
      </c>
      <c r="BD5" s="40" t="e">
        <f t="shared" ca="1" si="45"/>
        <v>#REF!</v>
      </c>
      <c r="BE5" s="40" t="e">
        <f t="shared" ca="1" si="46"/>
        <v>#REF!</v>
      </c>
      <c r="BF5" s="40" t="e">
        <f t="shared" ca="1" si="47"/>
        <v>#REF!</v>
      </c>
      <c r="BG5" s="40" t="e">
        <f t="shared" ca="1" si="48"/>
        <v>#REF!</v>
      </c>
      <c r="BH5" s="40" t="e">
        <f t="shared" ca="1" si="49"/>
        <v>#REF!</v>
      </c>
      <c r="BI5" s="40" t="e">
        <f t="shared" ca="1" si="50"/>
        <v>#REF!</v>
      </c>
      <c r="BJ5" s="40" t="e">
        <f t="shared" ca="1" si="51"/>
        <v>#REF!</v>
      </c>
      <c r="BK5" s="40" t="e">
        <f t="shared" ca="1" si="52"/>
        <v>#REF!</v>
      </c>
      <c r="BL5" s="40" t="e">
        <f t="shared" ca="1" si="53"/>
        <v>#REF!</v>
      </c>
      <c r="BM5" s="40" t="e">
        <f t="shared" ca="1" si="54"/>
        <v>#REF!</v>
      </c>
      <c r="BN5" s="40" t="e">
        <f t="shared" ca="1" si="55"/>
        <v>#REF!</v>
      </c>
      <c r="BO5" s="40" t="e">
        <f t="shared" ca="1" si="56"/>
        <v>#REF!</v>
      </c>
      <c r="BP5" s="40" t="e">
        <f t="shared" ca="1" si="57"/>
        <v>#REF!</v>
      </c>
      <c r="BQ5" s="40" t="e">
        <f t="shared" ca="1" si="58"/>
        <v>#REF!</v>
      </c>
      <c r="BR5" s="40" t="e">
        <f t="shared" ca="1" si="59"/>
        <v>#REF!</v>
      </c>
      <c r="BS5" s="40" t="e">
        <f t="shared" ca="1" si="60"/>
        <v>#REF!</v>
      </c>
      <c r="BT5" s="40" t="e">
        <f t="shared" ca="1" si="61"/>
        <v>#REF!</v>
      </c>
      <c r="BU5" s="40" t="e">
        <f t="shared" ca="1" si="62"/>
        <v>#REF!</v>
      </c>
      <c r="BV5" s="40" t="e">
        <f t="shared" ca="1" si="63"/>
        <v>#REF!</v>
      </c>
      <c r="BW5" s="40" t="e">
        <f t="shared" ca="1" si="64"/>
        <v>#REF!</v>
      </c>
      <c r="BX5" s="40" t="e">
        <f t="shared" ca="1" si="65"/>
        <v>#REF!</v>
      </c>
      <c r="BY5" s="40" t="e">
        <f t="shared" ca="1" si="66"/>
        <v>#REF!</v>
      </c>
      <c r="BZ5" s="40" t="e">
        <f t="shared" ca="1" si="67"/>
        <v>#REF!</v>
      </c>
      <c r="CA5" s="40" t="e">
        <f t="shared" ca="1" si="68"/>
        <v>#REF!</v>
      </c>
      <c r="CB5" s="40" t="e">
        <f t="shared" ca="1" si="69"/>
        <v>#REF!</v>
      </c>
      <c r="CC5" s="40" t="e">
        <f t="shared" ca="1" si="70"/>
        <v>#REF!</v>
      </c>
      <c r="CD5" s="40" t="e">
        <f t="shared" ca="1" si="71"/>
        <v>#REF!</v>
      </c>
      <c r="CE5" s="40" t="e">
        <f t="shared" ca="1" si="72"/>
        <v>#REF!</v>
      </c>
    </row>
    <row r="6" spans="1:83" x14ac:dyDescent="0.25">
      <c r="A6" t="e">
        <f>PLANTILLA!#REF!</f>
        <v>#REF!</v>
      </c>
      <c r="B6" t="e">
        <f>PLANTILLA!#REF!</f>
        <v>#REF!</v>
      </c>
      <c r="C6" s="36" t="e">
        <f>PLANTILLA!#REF!</f>
        <v>#REF!</v>
      </c>
      <c r="D6" s="69" t="e">
        <f>PLANTILLA!#REF!</f>
        <v>#REF!</v>
      </c>
      <c r="E6" s="33">
        <v>42633</v>
      </c>
      <c r="F6" s="51" t="e">
        <f>PLANTILLA!#REF!</f>
        <v>#REF!</v>
      </c>
      <c r="G6" s="52" t="e">
        <f t="shared" si="4"/>
        <v>#REF!</v>
      </c>
      <c r="H6" s="52" t="e">
        <f t="shared" si="5"/>
        <v>#REF!</v>
      </c>
      <c r="I6" s="55">
        <f t="shared" ca="1" si="6"/>
        <v>1</v>
      </c>
      <c r="J6" s="42" t="e">
        <f>PLANTILLA!#REF!</f>
        <v>#REF!</v>
      </c>
      <c r="K6" s="50" t="e">
        <f>PLANTILLA!#REF!</f>
        <v>#REF!</v>
      </c>
      <c r="L6" s="50" t="e">
        <f>PLANTILLA!#REF!</f>
        <v>#REF!</v>
      </c>
      <c r="M6" s="50" t="e">
        <f>PLANTILLA!#REF!</f>
        <v>#REF!</v>
      </c>
      <c r="N6" s="50" t="e">
        <f>PLANTILLA!#REF!</f>
        <v>#REF!</v>
      </c>
      <c r="O6" s="50" t="e">
        <f>PLANTILLA!#REF!</f>
        <v>#REF!</v>
      </c>
      <c r="P6" s="50" t="e">
        <f>PLANTILLA!#REF!</f>
        <v>#REF!</v>
      </c>
      <c r="Q6" s="50" t="e">
        <f>PLANTILLA!#REF!</f>
        <v>#REF!</v>
      </c>
      <c r="R6" s="50" t="e">
        <f t="shared" si="7"/>
        <v>#REF!</v>
      </c>
      <c r="S6" s="50" t="e">
        <f t="shared" si="8"/>
        <v>#REF!</v>
      </c>
      <c r="T6" s="50" t="e">
        <f t="shared" si="9"/>
        <v>#REF!</v>
      </c>
      <c r="U6" s="50" t="e">
        <f t="shared" ca="1" si="10"/>
        <v>#REF!</v>
      </c>
      <c r="V6" s="50" t="e">
        <f t="shared" ca="1" si="11"/>
        <v>#REF!</v>
      </c>
      <c r="W6" s="40" t="e">
        <f t="shared" ca="1" si="12"/>
        <v>#REF!</v>
      </c>
      <c r="X6" s="40" t="e">
        <f t="shared" ca="1" si="13"/>
        <v>#REF!</v>
      </c>
      <c r="Y6" s="40" t="e">
        <f t="shared" ca="1" si="14"/>
        <v>#REF!</v>
      </c>
      <c r="Z6" s="40" t="e">
        <f t="shared" ca="1" si="15"/>
        <v>#REF!</v>
      </c>
      <c r="AA6" s="40" t="e">
        <f t="shared" ca="1" si="16"/>
        <v>#REF!</v>
      </c>
      <c r="AB6" s="40" t="e">
        <f t="shared" ca="1" si="17"/>
        <v>#REF!</v>
      </c>
      <c r="AC6" s="40" t="e">
        <f t="shared" ca="1" si="18"/>
        <v>#REF!</v>
      </c>
      <c r="AD6" s="40" t="e">
        <f t="shared" ca="1" si="19"/>
        <v>#REF!</v>
      </c>
      <c r="AE6" s="40" t="e">
        <f t="shared" ca="1" si="20"/>
        <v>#REF!</v>
      </c>
      <c r="AF6" s="40" t="e">
        <f t="shared" ca="1" si="21"/>
        <v>#REF!</v>
      </c>
      <c r="AG6" s="40" t="e">
        <f t="shared" ca="1" si="22"/>
        <v>#REF!</v>
      </c>
      <c r="AH6" s="40" t="e">
        <f t="shared" ca="1" si="23"/>
        <v>#REF!</v>
      </c>
      <c r="AI6" s="40" t="e">
        <f t="shared" ca="1" si="24"/>
        <v>#REF!</v>
      </c>
      <c r="AJ6" s="40" t="e">
        <f t="shared" ca="1" si="25"/>
        <v>#REF!</v>
      </c>
      <c r="AK6" s="40" t="e">
        <f t="shared" ca="1" si="26"/>
        <v>#REF!</v>
      </c>
      <c r="AL6" s="40" t="e">
        <f t="shared" ca="1" si="27"/>
        <v>#REF!</v>
      </c>
      <c r="AM6" s="40" t="e">
        <f t="shared" ca="1" si="28"/>
        <v>#REF!</v>
      </c>
      <c r="AN6" s="40" t="e">
        <f t="shared" ca="1" si="29"/>
        <v>#REF!</v>
      </c>
      <c r="AO6" s="40" t="e">
        <f t="shared" ca="1" si="30"/>
        <v>#REF!</v>
      </c>
      <c r="AP6" s="40" t="e">
        <f t="shared" ca="1" si="31"/>
        <v>#REF!</v>
      </c>
      <c r="AQ6" s="40" t="e">
        <f t="shared" ca="1" si="32"/>
        <v>#REF!</v>
      </c>
      <c r="AR6" s="40" t="e">
        <f t="shared" ca="1" si="33"/>
        <v>#REF!</v>
      </c>
      <c r="AS6" s="40" t="e">
        <f t="shared" ca="1" si="34"/>
        <v>#REF!</v>
      </c>
      <c r="AT6" s="40" t="e">
        <f t="shared" ca="1" si="35"/>
        <v>#REF!</v>
      </c>
      <c r="AU6" s="40" t="e">
        <f t="shared" ca="1" si="36"/>
        <v>#REF!</v>
      </c>
      <c r="AV6" s="40" t="e">
        <f t="shared" ca="1" si="37"/>
        <v>#REF!</v>
      </c>
      <c r="AW6" s="40" t="e">
        <f t="shared" ca="1" si="38"/>
        <v>#REF!</v>
      </c>
      <c r="AX6" s="40" t="e">
        <f t="shared" ca="1" si="39"/>
        <v>#REF!</v>
      </c>
      <c r="AY6" s="40" t="e">
        <f t="shared" ca="1" si="40"/>
        <v>#REF!</v>
      </c>
      <c r="AZ6" s="40" t="e">
        <f t="shared" ca="1" si="41"/>
        <v>#REF!</v>
      </c>
      <c r="BA6" s="40" t="e">
        <f t="shared" ca="1" si="42"/>
        <v>#REF!</v>
      </c>
      <c r="BB6" s="40" t="e">
        <f t="shared" ca="1" si="43"/>
        <v>#REF!</v>
      </c>
      <c r="BC6" s="40" t="e">
        <f t="shared" ca="1" si="44"/>
        <v>#REF!</v>
      </c>
      <c r="BD6" s="40" t="e">
        <f t="shared" ca="1" si="45"/>
        <v>#REF!</v>
      </c>
      <c r="BE6" s="40" t="e">
        <f t="shared" ca="1" si="46"/>
        <v>#REF!</v>
      </c>
      <c r="BF6" s="40" t="e">
        <f t="shared" ca="1" si="47"/>
        <v>#REF!</v>
      </c>
      <c r="BG6" s="40" t="e">
        <f t="shared" ca="1" si="48"/>
        <v>#REF!</v>
      </c>
      <c r="BH6" s="40" t="e">
        <f t="shared" ca="1" si="49"/>
        <v>#REF!</v>
      </c>
      <c r="BI6" s="40" t="e">
        <f t="shared" ca="1" si="50"/>
        <v>#REF!</v>
      </c>
      <c r="BJ6" s="40" t="e">
        <f t="shared" ca="1" si="51"/>
        <v>#REF!</v>
      </c>
      <c r="BK6" s="40" t="e">
        <f t="shared" ca="1" si="52"/>
        <v>#REF!</v>
      </c>
      <c r="BL6" s="40" t="e">
        <f t="shared" ca="1" si="53"/>
        <v>#REF!</v>
      </c>
      <c r="BM6" s="40" t="e">
        <f t="shared" ca="1" si="54"/>
        <v>#REF!</v>
      </c>
      <c r="BN6" s="40" t="e">
        <f t="shared" ca="1" si="55"/>
        <v>#REF!</v>
      </c>
      <c r="BO6" s="40" t="e">
        <f t="shared" ca="1" si="56"/>
        <v>#REF!</v>
      </c>
      <c r="BP6" s="40" t="e">
        <f t="shared" ca="1" si="57"/>
        <v>#REF!</v>
      </c>
      <c r="BQ6" s="40" t="e">
        <f t="shared" ca="1" si="58"/>
        <v>#REF!</v>
      </c>
      <c r="BR6" s="40" t="e">
        <f t="shared" ca="1" si="59"/>
        <v>#REF!</v>
      </c>
      <c r="BS6" s="40" t="e">
        <f t="shared" ca="1" si="60"/>
        <v>#REF!</v>
      </c>
      <c r="BT6" s="40" t="e">
        <f t="shared" ca="1" si="61"/>
        <v>#REF!</v>
      </c>
      <c r="BU6" s="40" t="e">
        <f t="shared" ca="1" si="62"/>
        <v>#REF!</v>
      </c>
      <c r="BV6" s="40" t="e">
        <f t="shared" ca="1" si="63"/>
        <v>#REF!</v>
      </c>
      <c r="BW6" s="40" t="e">
        <f t="shared" ca="1" si="64"/>
        <v>#REF!</v>
      </c>
      <c r="BX6" s="40" t="e">
        <f t="shared" ca="1" si="65"/>
        <v>#REF!</v>
      </c>
      <c r="BY6" s="40" t="e">
        <f t="shared" ca="1" si="66"/>
        <v>#REF!</v>
      </c>
      <c r="BZ6" s="40" t="e">
        <f t="shared" ca="1" si="67"/>
        <v>#REF!</v>
      </c>
      <c r="CA6" s="40" t="e">
        <f t="shared" ca="1" si="68"/>
        <v>#REF!</v>
      </c>
      <c r="CB6" s="40" t="e">
        <f t="shared" ca="1" si="69"/>
        <v>#REF!</v>
      </c>
      <c r="CC6" s="40" t="e">
        <f t="shared" ca="1" si="70"/>
        <v>#REF!</v>
      </c>
      <c r="CD6" s="40" t="e">
        <f t="shared" ca="1" si="71"/>
        <v>#REF!</v>
      </c>
      <c r="CE6" s="40" t="e">
        <f t="shared" ca="1" si="72"/>
        <v>#REF!</v>
      </c>
    </row>
    <row r="7" spans="1:83" x14ac:dyDescent="0.25">
      <c r="A7" t="str">
        <f>PLANTILLA!D20</f>
        <v>Andrea Califano</v>
      </c>
      <c r="B7">
        <f>PLANTILLA!E20</f>
        <v>31</v>
      </c>
      <c r="C7" s="36">
        <f ca="1">PLANTILLA!F20</f>
        <v>34</v>
      </c>
      <c r="D7" s="69">
        <f>PLANTILLA!G20</f>
        <v>0</v>
      </c>
      <c r="E7" s="33">
        <v>42332</v>
      </c>
      <c r="F7" s="51">
        <f>PLANTILLA!Q20</f>
        <v>6</v>
      </c>
      <c r="G7" s="52">
        <f t="shared" si="4"/>
        <v>0.92582009977255142</v>
      </c>
      <c r="H7" s="52">
        <f t="shared" si="5"/>
        <v>0.99928545900129484</v>
      </c>
      <c r="I7" s="55">
        <f t="shared" ca="1" si="6"/>
        <v>1</v>
      </c>
      <c r="J7" s="42">
        <f>PLANTILLA!I20</f>
        <v>8.3000000000000007</v>
      </c>
      <c r="K7" s="50">
        <f>PLANTILLA!X20</f>
        <v>0</v>
      </c>
      <c r="L7" s="50">
        <f>PLANTILLA!Y20</f>
        <v>14</v>
      </c>
      <c r="M7" s="50">
        <f>PLANTILLA!Z20</f>
        <v>3.02</v>
      </c>
      <c r="N7" s="50">
        <f>PLANTILLA!AA20</f>
        <v>3.01</v>
      </c>
      <c r="O7" s="50">
        <f>PLANTILLA!AB20</f>
        <v>10.01</v>
      </c>
      <c r="P7" s="50">
        <f>PLANTILLA!AC20</f>
        <v>3</v>
      </c>
      <c r="Q7" s="50">
        <f>PLANTILLA!AD20</f>
        <v>17.500000000000004</v>
      </c>
      <c r="R7" s="50">
        <f t="shared" si="7"/>
        <v>4.6274999999999995</v>
      </c>
      <c r="S7" s="50">
        <f t="shared" si="8"/>
        <v>0.67500000000000004</v>
      </c>
      <c r="T7" s="50">
        <f t="shared" si="9"/>
        <v>1.0850000000000002</v>
      </c>
      <c r="U7" s="50">
        <f t="shared" ca="1" si="10"/>
        <v>18.262206474035381</v>
      </c>
      <c r="V7" s="50">
        <f t="shared" ca="1" si="11"/>
        <v>19.71134282272137</v>
      </c>
      <c r="W7" s="40">
        <f t="shared" ca="1" si="12"/>
        <v>5.8068068995257498</v>
      </c>
      <c r="X7" s="40">
        <f t="shared" ca="1" si="13"/>
        <v>8.8230397563433485</v>
      </c>
      <c r="Y7" s="40">
        <f t="shared" ca="1" si="14"/>
        <v>5.8068068995257498</v>
      </c>
      <c r="Z7" s="40">
        <f t="shared" ca="1" si="15"/>
        <v>8.3723257275547383</v>
      </c>
      <c r="AA7" s="40">
        <f t="shared" ca="1" si="16"/>
        <v>16.225437456501432</v>
      </c>
      <c r="AB7" s="40">
        <f t="shared" ca="1" si="17"/>
        <v>4.1861628637773691</v>
      </c>
      <c r="AC7" s="40">
        <f t="shared" ca="1" si="18"/>
        <v>1.2484141146473406</v>
      </c>
      <c r="AD7" s="40">
        <f t="shared" ca="1" si="19"/>
        <v>6.1332153585575409</v>
      </c>
      <c r="AE7" s="40">
        <f t="shared" ca="1" si="20"/>
        <v>11.730991281050535</v>
      </c>
      <c r="AF7" s="40">
        <f t="shared" ca="1" si="21"/>
        <v>3.0666076792787704</v>
      </c>
      <c r="AG7" s="40">
        <f t="shared" ca="1" si="22"/>
        <v>2.0194934207530513</v>
      </c>
      <c r="AH7" s="40">
        <f t="shared" ca="1" si="23"/>
        <v>14.927402459981318</v>
      </c>
      <c r="AI7" s="40">
        <f t="shared" ca="1" si="24"/>
        <v>6.7173311069915922</v>
      </c>
      <c r="AJ7" s="40">
        <f t="shared" ca="1" si="25"/>
        <v>0.87598805523573908</v>
      </c>
      <c r="AK7" s="40">
        <f t="shared" ca="1" si="26"/>
        <v>3.0784372244228417</v>
      </c>
      <c r="AL7" s="40">
        <f t="shared" ca="1" si="27"/>
        <v>12.23397984220208</v>
      </c>
      <c r="AM7" s="40">
        <f t="shared" ca="1" si="28"/>
        <v>11.487609719203013</v>
      </c>
      <c r="AN7" s="40">
        <f t="shared" ca="1" si="29"/>
        <v>3.2941480552357398</v>
      </c>
      <c r="AO7" s="40">
        <f t="shared" ca="1" si="30"/>
        <v>1.9736459874724119</v>
      </c>
      <c r="AP7" s="40">
        <f t="shared" ca="1" si="31"/>
        <v>4.3808681132553868</v>
      </c>
      <c r="AQ7" s="40">
        <f t="shared" ca="1" si="32"/>
        <v>9.6379098491618507</v>
      </c>
      <c r="AR7" s="40">
        <f t="shared" ca="1" si="33"/>
        <v>2.1904340566276934</v>
      </c>
      <c r="AS7" s="40">
        <f t="shared" ca="1" si="34"/>
        <v>4.9516929589373504</v>
      </c>
      <c r="AT7" s="40">
        <f t="shared" ca="1" si="35"/>
        <v>1.5906068693451862</v>
      </c>
      <c r="AU7" s="40">
        <f t="shared" ca="1" si="36"/>
        <v>2.3722531747549191</v>
      </c>
      <c r="AV7" s="40">
        <f t="shared" ca="1" si="37"/>
        <v>0.79530343467259312</v>
      </c>
      <c r="AW7" s="40">
        <f t="shared" ca="1" si="38"/>
        <v>3.0666076792787704</v>
      </c>
      <c r="AX7" s="40">
        <f t="shared" ca="1" si="39"/>
        <v>6.490174982600573</v>
      </c>
      <c r="AY7" s="40">
        <f t="shared" ca="1" si="40"/>
        <v>1.5333038396393852</v>
      </c>
      <c r="AZ7" s="40">
        <f t="shared" ca="1" si="41"/>
        <v>5.2454374565014312</v>
      </c>
      <c r="BA7" s="40">
        <f t="shared" ca="1" si="42"/>
        <v>3.095565676494862</v>
      </c>
      <c r="BB7" s="40">
        <f t="shared" ca="1" si="43"/>
        <v>5.2696260385322891</v>
      </c>
      <c r="BC7" s="40">
        <f t="shared" ca="1" si="44"/>
        <v>1.547782838247431</v>
      </c>
      <c r="BD7" s="40">
        <f t="shared" ca="1" si="45"/>
        <v>4.7216022998419165</v>
      </c>
      <c r="BE7" s="40">
        <f t="shared" ca="1" si="46"/>
        <v>5.6464522348624975</v>
      </c>
      <c r="BF7" s="40">
        <f t="shared" ca="1" si="47"/>
        <v>4.6212303991777608</v>
      </c>
      <c r="BG7" s="40">
        <f t="shared" ca="1" si="48"/>
        <v>6.8593038988297721</v>
      </c>
      <c r="BH7" s="40">
        <f t="shared" ca="1" si="49"/>
        <v>2.9487404270168449</v>
      </c>
      <c r="BI7" s="40">
        <f t="shared" ca="1" si="50"/>
        <v>7.8693371664031941</v>
      </c>
      <c r="BJ7" s="40">
        <f t="shared" ca="1" si="51"/>
        <v>4.283515488516378</v>
      </c>
      <c r="BK7" s="40">
        <f t="shared" ca="1" si="52"/>
        <v>1.9985116709270454</v>
      </c>
      <c r="BL7" s="40">
        <f t="shared" ca="1" si="53"/>
        <v>5.9827723369822507</v>
      </c>
      <c r="BM7" s="40">
        <f t="shared" ca="1" si="54"/>
        <v>0.63624274773807443</v>
      </c>
      <c r="BN7" s="40">
        <f t="shared" ca="1" si="55"/>
        <v>2.9205787421702576</v>
      </c>
      <c r="BO7" s="40">
        <f t="shared" ca="1" si="56"/>
        <v>1.1033297470420975</v>
      </c>
      <c r="BP7" s="40">
        <f t="shared" ca="1" si="57"/>
        <v>1.5998584242329366</v>
      </c>
      <c r="BQ7" s="40">
        <f t="shared" ca="1" si="58"/>
        <v>8.7347725690608407</v>
      </c>
      <c r="BR7" s="40">
        <f t="shared" ca="1" si="59"/>
        <v>1.6517840566276933</v>
      </c>
      <c r="BS7" s="40">
        <f t="shared" ca="1" si="60"/>
        <v>4.608024237646406</v>
      </c>
      <c r="BT7" s="40">
        <f t="shared" ca="1" si="61"/>
        <v>3.9590067393863491</v>
      </c>
      <c r="BU7" s="40">
        <f t="shared" ca="1" si="62"/>
        <v>3.309871035052403</v>
      </c>
      <c r="BV7" s="40">
        <f t="shared" ca="1" si="63"/>
        <v>6.0367165235687814</v>
      </c>
      <c r="BW7" s="40">
        <f t="shared" ca="1" si="64"/>
        <v>1.8108447435622117</v>
      </c>
      <c r="BX7" s="40">
        <f t="shared" ca="1" si="65"/>
        <v>2.1296476073395811</v>
      </c>
      <c r="BY7" s="40">
        <f t="shared" ca="1" si="66"/>
        <v>4.4763929148372457</v>
      </c>
      <c r="BZ7" s="40">
        <f t="shared" ca="1" si="67"/>
        <v>9.690272576020611</v>
      </c>
      <c r="CA7" s="40">
        <f t="shared" ca="1" si="68"/>
        <v>4.4763929148372457</v>
      </c>
      <c r="CB7" s="40">
        <f t="shared" ca="1" si="69"/>
        <v>4.2530775354003918</v>
      </c>
      <c r="CC7" s="40">
        <f t="shared" ca="1" si="70"/>
        <v>9.7403138779504594</v>
      </c>
      <c r="CD7" s="40">
        <f t="shared" ca="1" si="71"/>
        <v>4.2530775354003918</v>
      </c>
      <c r="CE7" s="40">
        <f t="shared" ca="1" si="72"/>
        <v>1.3113593641253578</v>
      </c>
    </row>
    <row r="8" spans="1:83" x14ac:dyDescent="0.25">
      <c r="A8" t="str">
        <f>PLANTILLA!D21</f>
        <v>Ibiur Altxakoa</v>
      </c>
      <c r="B8">
        <f>PLANTILLA!E21</f>
        <v>32</v>
      </c>
      <c r="C8" s="36">
        <f ca="1">PLANTILLA!F21</f>
        <v>86</v>
      </c>
      <c r="D8" s="69" t="str">
        <f>PLANTILLA!G21</f>
        <v>CAB</v>
      </c>
      <c r="E8" s="33">
        <v>42333</v>
      </c>
      <c r="F8" s="51">
        <f>PLANTILLA!Q21</f>
        <v>4</v>
      </c>
      <c r="G8" s="52">
        <f t="shared" ref="G8:G16" si="73">(F8/7)^0.5</f>
        <v>0.7559289460184544</v>
      </c>
      <c r="H8" s="52">
        <f t="shared" ref="H8:H16" si="74">IF(F8=7,1,((F8+0.99)/7)^0.5)</f>
        <v>0.84430867747355465</v>
      </c>
      <c r="I8" s="55">
        <f t="shared" ca="1" si="6"/>
        <v>1</v>
      </c>
      <c r="J8" s="42">
        <f>PLANTILLA!I21</f>
        <v>10.9</v>
      </c>
      <c r="K8" s="50">
        <f>PLANTILLA!X21</f>
        <v>0</v>
      </c>
      <c r="L8" s="50">
        <f>PLANTILLA!Y21</f>
        <v>15.028571428571428</v>
      </c>
      <c r="M8" s="50">
        <f>PLANTILLA!Z21</f>
        <v>12</v>
      </c>
      <c r="N8" s="50">
        <f>PLANTILLA!AA21</f>
        <v>2.0099999999999998</v>
      </c>
      <c r="O8" s="50">
        <f>PLANTILLA!AB21</f>
        <v>7.1828571428571424</v>
      </c>
      <c r="P8" s="50">
        <f>PLANTILLA!AC21</f>
        <v>3.99</v>
      </c>
      <c r="Q8" s="50">
        <f>PLANTILLA!AD21</f>
        <v>15.2</v>
      </c>
      <c r="R8" s="50">
        <f t="shared" ref="R8:R16" si="75">((2*(O8+1))+(L8+1))/8</f>
        <v>4.0492857142857144</v>
      </c>
      <c r="S8" s="50">
        <f t="shared" ref="S8:S16" si="76">(0.5*P8+ 0.3*Q8)/10</f>
        <v>0.65549999999999997</v>
      </c>
      <c r="T8" s="50">
        <f t="shared" ref="T8:T16" si="77">(0.4*L8+0.3*Q8)/10</f>
        <v>1.0571428571428572</v>
      </c>
      <c r="U8" s="50">
        <f t="shared" ref="U8:U16" ca="1" si="78">IF(TODAY()-E8&gt;335,(Q8+1+(LOG(J8)*4/3))*(F8/7)^0.5,(Q8+((TODAY()-E8)^0.5)/(336^0.5)+(LOG(J8)*4/3))*(F8/7)^0.5)</f>
        <v>13.291676551045457</v>
      </c>
      <c r="V8" s="50">
        <f t="shared" ref="V8:V16" ca="1" si="79">IF(F8=7,U8,IF(TODAY()-E8&gt;335,(Q8+1+(LOG(J8)*4/3))*((F8+0.99)/7)^0.5,(Q8+((TODAY()-E8)^0.5)/(336^0.5)+(LOG(J8)*4/3))*((F8+0.99)/7)^0.5))</f>
        <v>14.845678167674611</v>
      </c>
      <c r="W8" s="40">
        <f t="shared" ref="W8:W16" ca="1" si="80">IF(TODAY()-E8&gt;335,((K8+1+(LOG(J8)*4/3))*0.597)+((L8+1+(LOG(J8)*4/3))*0.276),((K8+(((TODAY()-E8)^0.5)/(336^0.5))+(LOG(J8)*4/3))*0.597)+((L8+(((TODAY()-E8)^0.5)/(336^0.5))+(LOG(J8)*4/3))*0.276))</f>
        <v>6.2284501578886005</v>
      </c>
      <c r="X8" s="40">
        <f t="shared" ref="X8:X16" ca="1" si="81">IF(TODAY()-E8&gt;335,((K8+1+(LOG(J8)*4/3))*0.866)+((L8+1+(LOG(J8)*4/3))*0.425),((K8+(((TODAY()-E8)^0.5)/(336^0.5))+(LOG(J8)*4/3))*0.866)+((L8+(((TODAY()-E8)^0.5)/(336^0.5))+(LOG(J8)*4/3))*0.425))</f>
        <v>9.4638996689313171</v>
      </c>
      <c r="Y8" s="40">
        <f t="shared" ref="Y8:Y16" ca="1" si="82">W8</f>
        <v>6.2284501578886005</v>
      </c>
      <c r="Z8" s="40">
        <f t="shared" ref="Z8:Z16" ca="1" si="83">IF(TODAY()-E8&gt;335,((L8+1+(LOG(J8)*4/3))*0.516),((L8+(((TODAY()-E8)^0.5)/(336^0.516))+(LOG(J8)*4/3))*0.516))</f>
        <v>8.9844922877260078</v>
      </c>
      <c r="AA8" s="40">
        <f t="shared" ref="AA8:AA16" ca="1" si="84">IF(TODAY()-E8&gt;335,((L8+1+(LOG(J8)*4/3))*1),((L8+(((TODAY()-E8)^0.5)/(336^0.5))+(LOG(J8)*4/3))*1))</f>
        <v>17.411806759158928</v>
      </c>
      <c r="AB8" s="40">
        <f t="shared" ref="AB8:AB16" ca="1" si="85">Z8/2</f>
        <v>4.4922461438630039</v>
      </c>
      <c r="AC8" s="40">
        <f t="shared" ref="AC8:AC16" ca="1" si="86">IF(TODAY()-E8&gt;335,((M8+1+(LOG(J8)*4/3))*0.238),((M8+(((TODAY()-E8)^0.5)/(336^0.238))+(LOG(J8)*4/3))*0.238))</f>
        <v>3.4232100086798245</v>
      </c>
      <c r="AD8" s="40">
        <f t="shared" ref="AD8:AD16" ca="1" si="87">IF(TODAY()-E8&gt;335,((L8+1+(LOG(J8)*4/3))*0.378),((L8+(((TODAY()-E8)^0.5)/(336^0.516))+(LOG(J8)*4/3))*0.378))</f>
        <v>6.5816629549620744</v>
      </c>
      <c r="AE8" s="40">
        <f t="shared" ref="AE8:AE16" ca="1" si="88">IF(TODAY()-E8&gt;335,((L8+1+(LOG(J8)*4/3))*0.723),((L8+(((TODAY()-E8)^0.5)/(336^0.5))+(LOG(J8)*4/3))*0.723))</f>
        <v>12.588736286871905</v>
      </c>
      <c r="AF8" s="40">
        <f t="shared" ref="AF8:AF16" ca="1" si="89">AD8/2</f>
        <v>3.2908314774810372</v>
      </c>
      <c r="AG8" s="40">
        <f t="shared" ref="AG8:AG16" ca="1" si="90">IF(TODAY()-E8&gt;335,((M8+1+(LOG(J8)*4/3))*0.385),((M8+(((TODAY()-E8)^0.5)/(336^0.238))+(LOG(J8)*4/3))*0.385))</f>
        <v>5.5375456022761869</v>
      </c>
      <c r="AH8" s="40">
        <f t="shared" ref="AH8:AH16" ca="1" si="91">IF(TODAY()-E8&gt;335,((L8+1+(LOG(J8)*4/3))*0.92),((L8+(((TODAY()-E8)^0.5)/(336^0.5))+(LOG(J8)*4/3))*0.92))</f>
        <v>16.018862218426214</v>
      </c>
      <c r="AI8" s="40">
        <f t="shared" ref="AI8:AI16" ca="1" si="92">IF(TODAY()-E8&gt;335,((L8+1+(LOG(J8)*4/3))*0.414),((L8+(((TODAY()-E8)^0.5)/(336^0.414))+(LOG(J8)*4/3))*0.414))</f>
        <v>7.2084879982917958</v>
      </c>
      <c r="AJ8" s="40">
        <f t="shared" ref="AJ8:AJ16" ca="1" si="93">IF(TODAY()-E8&gt;335,((M8+1+(LOG(J8)*4/3))*0.167),((M8+(((TODAY()-E8)^0.5)/(336^0.5))+(LOG(J8)*4/3))*0.167))</f>
        <v>2.4020003002081123</v>
      </c>
      <c r="AK8" s="40">
        <f t="shared" ref="AK8:AK16" ca="1" si="94">IF(TODAY()-E8&gt;335,((N8+1+(LOG(J8)*4/3))*0.588),((N8+(((TODAY()-E8)^0.5)/(336^0.5))+(LOG(J8)*4/3))*0.588))</f>
        <v>2.5832223743854485</v>
      </c>
      <c r="AL8" s="40">
        <f t="shared" ref="AL8:AL16" ca="1" si="95">IF(TODAY()-E8&gt;335,((L8+1+(LOG(J8)*4/3))*0.754),((L8+(((TODAY()-E8)^0.5)/(336^0.5))+(LOG(J8)*4/3))*0.754))</f>
        <v>13.128502296405832</v>
      </c>
      <c r="AM8" s="40">
        <f t="shared" ref="AM8:AM16" ca="1" si="96">IF(TODAY()-E8&gt;335,((L8+1+(LOG(J8)*4/3))*0.708),((L8+(((TODAY()-E8)^0.5)/(336^0.414))+(LOG(J8)*4/3))*0.708))</f>
        <v>12.327559185484521</v>
      </c>
      <c r="AN8" s="40">
        <f t="shared" ref="AN8:AN16" ca="1" si="97">IF(TODAY()-E8&gt;335,((Q8+1+(LOG(J8)*4/3))*0.167),((Q8+(((TODAY()-E8)^0.5)/(336^0.5))+(LOG(J8)*4/3))*0.167))</f>
        <v>2.9364003002081125</v>
      </c>
      <c r="AO8" s="40">
        <f t="shared" ref="AO8:AO16" ca="1" si="98">IF(TODAY()-E8&gt;335,((R8+1+(LOG(J8)*4/3))*0.288),((R8+(((TODAY()-E8)^0.5)/(336^0.5))+(LOG(J8)*4/3))*0.288))</f>
        <v>1.8525660609234851</v>
      </c>
      <c r="AP8" s="40">
        <f t="shared" ref="AP8:AP16" ca="1" si="99">IF(TODAY()-E8&gt;335,((L8+1+(LOG(J8)*4/3))*0.27),((L8+(((TODAY()-E8)^0.5)/(336^0.5))+(LOG(J8)*4/3))*0.27))</f>
        <v>4.7011878249729113</v>
      </c>
      <c r="AQ8" s="40">
        <f t="shared" ref="AQ8:AQ16" ca="1" si="100">IF(TODAY()-E8&gt;335,((L8+1+(LOG(J8)*4/3))*0.594),((L8+(((TODAY()-E8)^0.5)/(336^0.5))+(LOG(J8)*4/3))*0.594))</f>
        <v>10.342613214940403</v>
      </c>
      <c r="AR8" s="40">
        <f t="shared" ref="AR8:AR16" ca="1" si="101">AP8/2</f>
        <v>2.3505939124864557</v>
      </c>
      <c r="AS8" s="40">
        <f t="shared" ref="AS8:AS16" ca="1" si="102">IF(TODAY()-E8&gt;335,((M8+1+(LOG(J8)*4/3))*0.944),((M8+(((TODAY()-E8)^0.5)/(336^0.5))+(LOG(J8)*4/3))*0.944))</f>
        <v>13.577774152074598</v>
      </c>
      <c r="AT8" s="40">
        <f t="shared" ref="AT8:AT16" ca="1" si="103">IF(TODAY()-E8&gt;335,((O8+1+(LOG(J8)*4/3))*0.13),((O8+(((TODAY()-E8)^0.5)/(336^0.5))+(LOG(J8)*4/3))*0.13))</f>
        <v>1.2435920215478031</v>
      </c>
      <c r="AU8" s="40">
        <f t="shared" ref="AU8:AU16" ca="1" si="104">IF(TODAY()-E8&gt;335,((P8+1+(LOG(J8)*4/3))*0.173)+((O8+1+(LOG(J8)*4/3))*0.12),((P8+(((TODAY()-E8)^0.5)/(336^0.5))+(LOG(J8)*4/3))*0.173)+((O8+(((TODAY()-E8)^0.5)/(336^0.5))+(LOG(J8)*4/3))*0.12))</f>
        <v>2.2505008090049938</v>
      </c>
      <c r="AV8" s="40">
        <f t="shared" ref="AV8:AV16" ca="1" si="105">AT8/2</f>
        <v>0.62179601077390156</v>
      </c>
      <c r="AW8" s="40">
        <f t="shared" ref="AW8:AW16" ca="1" si="106">IF(TODAY()-E8&gt;335,((L8+1+(LOG(J8)*4/3))*0.189),((L8+(((TODAY()-E8)^0.5)/(336^0.5))+(LOG(J8)*4/3))*0.189))</f>
        <v>3.2908314774810372</v>
      </c>
      <c r="AX8" s="40">
        <f t="shared" ref="AX8:AX16" ca="1" si="107">IF(TODAY()-E8&gt;335,((L8+1+(LOG(J8)*4/3))*0.4),((L8+(((TODAY()-E8)^0.5)/(336^0.5))+(LOG(J8)*4/3))*0.4))</f>
        <v>6.9647227036635719</v>
      </c>
      <c r="AY8" s="40">
        <f t="shared" ref="AY8:AY16" ca="1" si="108">AW8/2</f>
        <v>1.6454157387405186</v>
      </c>
      <c r="AZ8" s="40">
        <f t="shared" ref="AZ8:AZ16" ca="1" si="109">IF(TODAY()-E8&gt;335,((M8+1+(LOG(J8)*4/3))*1),((M8+(((TODAY()-E8)^0.5)/(336^0.5))+(LOG(J8)*4/3))*1))</f>
        <v>14.383235330587498</v>
      </c>
      <c r="BA8" s="40">
        <f t="shared" ref="BA8:BA16" ca="1" si="110">IF(TODAY()-E8&gt;335,((O8+1+(LOG(J8)*4/3))*0.253),((O8+(((TODAY()-E8)^0.5)/(336^0.5))+(LOG(J8)*4/3))*0.253))</f>
        <v>2.420221395781494</v>
      </c>
      <c r="BB8" s="40">
        <f t="shared" ref="BB8:BB16" ca="1" si="111">IF(TODAY()-E8&gt;335,((P8+1+(LOG(J8)*4/3))*0.21)+((O8+1+(LOG(J8)*4/3))*0.341),((P8+(((TODAY()-E8)^0.5)/(336^0.5))+(LOG(J8)*4/3))*0.21)+((O8+(((TODAY()-E8)^0.5)/(336^0.5))+(LOG(J8)*4/3))*0.341))</f>
        <v>4.600416952867997</v>
      </c>
      <c r="BC8" s="40">
        <f t="shared" ref="BC8:BC16" ca="1" si="112">BA8/2</f>
        <v>1.210110697890747</v>
      </c>
      <c r="BD8" s="40">
        <f t="shared" ref="BD8:BD16" ca="1" si="113">IF(TODAY()-E8&gt;335,((L8+1+(LOG(J8)*4/3))*0.291),((L8+(((TODAY()-E8)^0.5)/(336^0.5))+(LOG(J8)*4/3))*0.291))</f>
        <v>5.066835766915248</v>
      </c>
      <c r="BE8" s="40">
        <f t="shared" ref="BE8:BE16" ca="1" si="114">IF(TODAY()-E8&gt;335,((L8+1+(LOG(J8)*4/3))*0.348),((L8+(((TODAY()-E8)^0.5)/(336^0.5))+(LOG(J8)*4/3))*0.348))</f>
        <v>6.0593087521873068</v>
      </c>
      <c r="BF8" s="40">
        <f t="shared" ref="BF8:BF16" ca="1" si="115">IF(TODAY()-E8&gt;335,((M8+1+(LOG(J8)*4/3))*0.881),((M8+(((TODAY()-E8)^0.5)/(336^0.5))+(LOG(J8)*4/3))*0.881))</f>
        <v>12.671630326247586</v>
      </c>
      <c r="BG8" s="40">
        <f t="shared" ref="BG8:BG16" ca="1" si="116">IF(TODAY()-E8&gt;335,((N8+1+(LOG(J8)*4/3))*0.574)+((O8+1+(LOG(J8)*4/3))*0.315),((N8+(((TODAY()-E8)^0.5)/(336^0.5))+(LOG(J8)*4/3))*0.574)+((O8+(((TODAY()-E8)^0.5)/(336^0.5))+(LOG(J8)*4/3))*0.315))</f>
        <v>5.5350362088922846</v>
      </c>
      <c r="BH8" s="40">
        <f t="shared" ref="BH8:BH16" ca="1" si="117">IF(TODAY()-E8&gt;335,((O8+1+(LOG(J8)*4/3))*0.241),((O8+(((TODAY()-E8)^0.5)/(336^0.5))+(LOG(J8)*4/3))*0.241))</f>
        <v>2.3054282861001578</v>
      </c>
      <c r="BI8" s="40">
        <f t="shared" ref="BI8:BI16" ca="1" si="118">IF(TODAY()-E8&gt;335,((L8+1+(LOG(J8)*4/3))*0.485),((L8+(((TODAY()-E8)^0.5)/(336^0.5))+(LOG(J8)*4/3))*0.485))</f>
        <v>8.4447262781920802</v>
      </c>
      <c r="BJ8" s="40">
        <f t="shared" ref="BJ8:BJ16" ca="1" si="119">IF(TODAY()-E8&gt;335,((L8+1+(LOG(J8)*4/3))*0.264),((L8+(((TODAY()-E8)^0.5)/(336^0.5))+(LOG(J8)*4/3))*0.264))</f>
        <v>4.5967169844179576</v>
      </c>
      <c r="BK8" s="40">
        <f t="shared" ref="BK8:BK16" ca="1" si="120">IF(TODAY()-E8&gt;335,((M8+1+(LOG(J8)*4/3))*0.381),((M8+(((TODAY()-E8)^0.5)/(336^0.5))+(LOG(J8)*4/3))*0.381))</f>
        <v>5.4800126609538369</v>
      </c>
      <c r="BL8" s="40">
        <f t="shared" ref="BL8:BL16" ca="1" si="121">IF(TODAY()-E8&gt;335,((N8+1+(LOG(J8)*4/3))*0.673)+((O8+1+(LOG(J8)*4/3))*0.201),((N8+(((TODAY()-E8)^0.5)/(336^0.5))+(LOG(J8)*4/3))*0.673)+((O8+(((TODAY()-E8)^0.5)/(336^0.5))+(LOG(J8)*4/3))*0.201))</f>
        <v>4.8794319646477584</v>
      </c>
      <c r="BM8" s="40">
        <f t="shared" ref="BM8:BM16" ca="1" si="122">IF(TODAY()-E8&gt;335,((O8+1+(LOG(J8)*4/3))*0.052),((O8+(((TODAY()-E8)^0.5)/(336^0.5))+(LOG(J8)*4/3))*0.052))</f>
        <v>0.49743680861912121</v>
      </c>
      <c r="BN8" s="40">
        <f t="shared" ref="BN8:BN16" ca="1" si="123">IF(TODAY()-E8&gt;335,((L8+1+(LOG(J8)*4/3))*0.18),((L8+(((TODAY()-E8)^0.5)/(336^0.5))+(LOG(J8)*4/3))*0.18))</f>
        <v>3.1341252166486071</v>
      </c>
      <c r="BO8" s="40">
        <f t="shared" ref="BO8:BO16" ca="1" si="124">IF(TODAY()-E8&gt;335,((L8+1+(LOG(J8)*4/3))*0.068),((L8+(((TODAY()-E8)^0.5)/(336^0.5))+(LOG(J8)*4/3))*0.068))</f>
        <v>1.1840028596228072</v>
      </c>
      <c r="BP8" s="40">
        <f t="shared" ref="BP8:BP16" ca="1" si="125">IF(TODAY()-E8&gt;335,((M8+1+(LOG(J8)*4/3))*0.305),((M8+(((TODAY()-E8)^0.5)/(336^0.5))+(LOG(J8)*4/3))*0.305))</f>
        <v>4.3868867758291872</v>
      </c>
      <c r="BQ8" s="40">
        <f t="shared" ref="BQ8:BQ16" ca="1" si="126">IF(TODAY()-E8&gt;335,((N8+1+(LOG(J8)*4/3))*1)+((O8+1+(LOG(J8)*4/3))*0.286),((N8+(((TODAY()-E8)^0.5)/(336^0.5))+(LOG(J8)*4/3))*1)+((O8+(((TODAY()-E8)^0.5)/(336^0.5))+(LOG(J8)*4/3))*0.286))</f>
        <v>7.1291377779926641</v>
      </c>
      <c r="BR8" s="40">
        <f t="shared" ref="BR8:BR16" ca="1" si="127">IF(TODAY()-E8&gt;335,((O8+1+(LOG(J8)*4/3))*0.135),((O8+(((TODAY()-E8)^0.5)/(336^0.5))+(LOG(J8)*4/3))*0.135))</f>
        <v>1.2914224839150263</v>
      </c>
      <c r="BS8" s="40">
        <f t="shared" ref="BS8:BS16" ca="1" si="128">IF(TODAY()-E8&gt;335,((L8+1+(LOG(J8)*4/3))*0.284),((L8+(((TODAY()-E8)^0.5)/(336^0.5))+(LOG(J8)*4/3))*0.284))</f>
        <v>4.9449531196011351</v>
      </c>
      <c r="BT8" s="40">
        <f t="shared" ref="BT8:BT16" ca="1" si="129">IF(TODAY()-E8&gt;335,((L8+1+(LOG(J8)*4/3))*0.244),((L8+(((TODAY()-E8)^0.5)/(336^0.5))+(LOG(J8)*4/3))*0.244))</f>
        <v>4.2484808492347783</v>
      </c>
      <c r="BU8" s="40">
        <f t="shared" ref="BU8:BU16" ca="1" si="130">IF(TODAY()-E8&gt;335,((M8+1+(LOG(J8)*4/3))*0.631),((M8+(((TODAY()-E8)^0.5)/(336^0.5))+(LOG(J8)*4/3))*0.631))</f>
        <v>9.0758214936007118</v>
      </c>
      <c r="BV8" s="40">
        <f t="shared" ref="BV8:BV16" ca="1" si="131">IF(TODAY()-E8&gt;335,((N8+1+(LOG(J8)*4/3))*0.702)+((O8+1+(LOG(J8)*4/3))*0.193),((N8+(((TODAY()-E8)^0.5)/(336^0.5))+(LOG(J8)*4/3))*0.702)+((O8+(((TODAY()-E8)^0.5)/(336^0.5))+(LOG(J8)*4/3))*0.193))</f>
        <v>4.9303070494472383</v>
      </c>
      <c r="BW8" s="40">
        <f t="shared" ref="BW8:BW16" ca="1" si="132">IF(TODAY()-E8&gt;335,((O8+1+(LOG(J8)*4/3))*0.148),((O8+(((TODAY()-E8)^0.5)/(336^0.5))+(LOG(J8)*4/3))*0.148))</f>
        <v>1.4157816860698065</v>
      </c>
      <c r="BX8" s="40">
        <f t="shared" ref="BX8:BX16" ca="1" si="133">IF(TODAY()-E8&gt;335,((M8+1+(LOG(J8)*4/3))*0.406),((M8+(((TODAY()-E8)^0.5)/(336^0.5))+(LOG(J8)*4/3))*0.406))</f>
        <v>5.8395935442185243</v>
      </c>
      <c r="BY8" s="40">
        <f t="shared" ref="BY8:BY16" ca="1" si="134">IF(D8="TEC",IF(TODAY()-E8&gt;335,((N8+1+(LOG(J8)*4/3))*0.15)+((O8+1+(LOG(J8)*4/3))*0.324)+((P8+1+(LOG(J8)*4/3))*0.127),((N8+(((TODAY()-E8)^0.5)/(336^0.5))+(LOG(J8)*4/3))*0.15)+((O8+(((TODAY()-E8)^0.5)/(336^0.5))+(LOG(J8)*4/3))*0.324)+((P8+(((TODAY()-E8)^0.5)/(336^0.5))+(LOG(J8)*4/3))*0.127)),IF(TODAY()-E8&gt;335,((N8+1+(LOG(J8)*4/3))*0.144)+((O8+1+(LOG(J8)*4/3))*0.25)+((P8+1+(LOG(J8)*4/3))*0.127),((N8+(((TODAY()-E8)^0.5)/(336^0.5))+(LOG(J8)*4/3))*0.144)+((O8+(((TODAY()-E8)^0.5)/(336^0.5))+(LOG(J8)*4/3))*0.25)+((P8+(((TODAY()-E8)^0.5)/(336^0.5))+(LOG(J8)*4/3))*0.127)))</f>
        <v>3.8335498929503715</v>
      </c>
      <c r="BZ8" s="40">
        <f t="shared" ref="BZ8:BZ16" ca="1" si="135">IF(D8="TEC",IF(TODAY()-E8&gt;335,((O8+1+(LOG(J8)*4/3))*0.543)+((P8+1+(LOG(J8)*4/3))*0.583),((O8+(((TODAY()-E8)^0.5)/(336^0.5))+(LOG(J8)*4/3))*0.543)+((P8+(((TODAY()-E8)^0.5)/(336^0.5))+(LOG(J8)*4/3))*0.583)),IF(TODAY()-E8&gt;335,((O8+1+(LOG(J8)*4/3))*0.543)+((P8+1+(LOG(J8)*4/3))*0.583),((O8+(((TODAY()-E8)^0.5)/(336^0.5))+(LOG(J8)*4/3))*0.543)+((P8+(((TODAY()-E8)^0.5)/(336^0.5))+(LOG(J8)*4/3))*0.583)))</f>
        <v>8.9099844108129496</v>
      </c>
      <c r="CA8" s="40">
        <f t="shared" ref="CA8:CA16" ca="1" si="136">BY8</f>
        <v>3.8335498929503715</v>
      </c>
      <c r="CB8" s="40">
        <f t="shared" ref="CB8:CB16" ca="1" si="137">IF(TODAY()-E8&gt;335,((P8+1+(LOG(J8)*4/3))*0.26)+((N8+1+(LOG(J8)*4/3))*0.221)+((O8+1+(LOG(J8)*4/3))*0.142),((P8+(((TODAY()-E8)^0.5)/(336^0.5))+(LOG(J8)*4/3))*0.26)+((N8+(((TODAY()-E8)^0.5)/(336^0.5))+(LOG(J8)*4/3))*0.221)+((P8+(((TODAY()-E8)^0.5)/(336^0.5))+(LOG(J8)*4/3))*0.142))</f>
        <v>3.986331325241725</v>
      </c>
      <c r="CC8" s="40">
        <f t="shared" ref="CC8:CC16" ca="1" si="138">IF(TODAY()-E8&gt;335,((P8+1+(LOG(J8)*4/3))*1)+((O8+1+(LOG(J8)*4/3))*0.369),((P8+(((TODAY()-E8)^0.5)/(336^0.5))+(LOG(J8)*4/3))*1)+((O8+(((TODAY()-E8)^0.5)/(336^0.5))+(LOG(J8)*4/3))*0.369))</f>
        <v>9.9031234532885701</v>
      </c>
      <c r="CD8" s="40">
        <f t="shared" ref="CD8:CD16" ca="1" si="139">CB8</f>
        <v>3.986331325241725</v>
      </c>
      <c r="CE8" s="40">
        <f t="shared" ref="CE8:CE16" ca="1" si="140">IF(TODAY()-E8&gt;335,((M8+1+(LOG(J8)*4/3))*0.25),((M8+(((TODAY()-E8)^0.5)/(336^0.5))+(LOG(J8)*4/3))*0.25))</f>
        <v>3.5958088326468745</v>
      </c>
    </row>
    <row r="9" spans="1:83" x14ac:dyDescent="0.25">
      <c r="A9" t="e">
        <f>PLANTILLA!#REF!</f>
        <v>#REF!</v>
      </c>
      <c r="B9" t="e">
        <f>PLANTILLA!#REF!</f>
        <v>#REF!</v>
      </c>
      <c r="C9" s="36" t="e">
        <f>PLANTILLA!#REF!</f>
        <v>#REF!</v>
      </c>
      <c r="D9" s="69" t="e">
        <f>PLANTILLA!#REF!</f>
        <v>#REF!</v>
      </c>
      <c r="E9" s="33">
        <v>42334</v>
      </c>
      <c r="F9" s="51" t="e">
        <f>PLANTILLA!#REF!</f>
        <v>#REF!</v>
      </c>
      <c r="G9" s="52" t="e">
        <f t="shared" si="73"/>
        <v>#REF!</v>
      </c>
      <c r="H9" s="52" t="e">
        <f t="shared" si="74"/>
        <v>#REF!</v>
      </c>
      <c r="I9" s="55">
        <f t="shared" ca="1" si="6"/>
        <v>1</v>
      </c>
      <c r="J9" s="42" t="e">
        <f>PLANTILLA!#REF!</f>
        <v>#REF!</v>
      </c>
      <c r="K9" s="50" t="e">
        <f>PLANTILLA!#REF!</f>
        <v>#REF!</v>
      </c>
      <c r="L9" s="50" t="e">
        <f>PLANTILLA!#REF!</f>
        <v>#REF!</v>
      </c>
      <c r="M9" s="50" t="e">
        <f>PLANTILLA!#REF!</f>
        <v>#REF!</v>
      </c>
      <c r="N9" s="50" t="e">
        <f>PLANTILLA!#REF!</f>
        <v>#REF!</v>
      </c>
      <c r="O9" s="50" t="e">
        <f>PLANTILLA!#REF!</f>
        <v>#REF!</v>
      </c>
      <c r="P9" s="50" t="e">
        <f>PLANTILLA!#REF!</f>
        <v>#REF!</v>
      </c>
      <c r="Q9" s="50" t="e">
        <f>PLANTILLA!#REF!</f>
        <v>#REF!</v>
      </c>
      <c r="R9" s="50" t="e">
        <f t="shared" si="75"/>
        <v>#REF!</v>
      </c>
      <c r="S9" s="50" t="e">
        <f t="shared" si="76"/>
        <v>#REF!</v>
      </c>
      <c r="T9" s="50" t="e">
        <f t="shared" si="77"/>
        <v>#REF!</v>
      </c>
      <c r="U9" s="50" t="e">
        <f t="shared" ca="1" si="78"/>
        <v>#REF!</v>
      </c>
      <c r="V9" s="50" t="e">
        <f t="shared" ca="1" si="79"/>
        <v>#REF!</v>
      </c>
      <c r="W9" s="40" t="e">
        <f t="shared" ca="1" si="80"/>
        <v>#REF!</v>
      </c>
      <c r="X9" s="40" t="e">
        <f t="shared" ca="1" si="81"/>
        <v>#REF!</v>
      </c>
      <c r="Y9" s="40" t="e">
        <f t="shared" ca="1" si="82"/>
        <v>#REF!</v>
      </c>
      <c r="Z9" s="40" t="e">
        <f t="shared" ca="1" si="83"/>
        <v>#REF!</v>
      </c>
      <c r="AA9" s="40" t="e">
        <f t="shared" ca="1" si="84"/>
        <v>#REF!</v>
      </c>
      <c r="AB9" s="40" t="e">
        <f t="shared" ca="1" si="85"/>
        <v>#REF!</v>
      </c>
      <c r="AC9" s="40" t="e">
        <f t="shared" ca="1" si="86"/>
        <v>#REF!</v>
      </c>
      <c r="AD9" s="40" t="e">
        <f t="shared" ca="1" si="87"/>
        <v>#REF!</v>
      </c>
      <c r="AE9" s="40" t="e">
        <f t="shared" ca="1" si="88"/>
        <v>#REF!</v>
      </c>
      <c r="AF9" s="40" t="e">
        <f t="shared" ca="1" si="89"/>
        <v>#REF!</v>
      </c>
      <c r="AG9" s="40" t="e">
        <f t="shared" ca="1" si="90"/>
        <v>#REF!</v>
      </c>
      <c r="AH9" s="40" t="e">
        <f t="shared" ca="1" si="91"/>
        <v>#REF!</v>
      </c>
      <c r="AI9" s="40" t="e">
        <f t="shared" ca="1" si="92"/>
        <v>#REF!</v>
      </c>
      <c r="AJ9" s="40" t="e">
        <f t="shared" ca="1" si="93"/>
        <v>#REF!</v>
      </c>
      <c r="AK9" s="40" t="e">
        <f t="shared" ca="1" si="94"/>
        <v>#REF!</v>
      </c>
      <c r="AL9" s="40" t="e">
        <f t="shared" ca="1" si="95"/>
        <v>#REF!</v>
      </c>
      <c r="AM9" s="40" t="e">
        <f t="shared" ca="1" si="96"/>
        <v>#REF!</v>
      </c>
      <c r="AN9" s="40" t="e">
        <f t="shared" ca="1" si="97"/>
        <v>#REF!</v>
      </c>
      <c r="AO9" s="40" t="e">
        <f t="shared" ca="1" si="98"/>
        <v>#REF!</v>
      </c>
      <c r="AP9" s="40" t="e">
        <f t="shared" ca="1" si="99"/>
        <v>#REF!</v>
      </c>
      <c r="AQ9" s="40" t="e">
        <f t="shared" ca="1" si="100"/>
        <v>#REF!</v>
      </c>
      <c r="AR9" s="40" t="e">
        <f t="shared" ca="1" si="101"/>
        <v>#REF!</v>
      </c>
      <c r="AS9" s="40" t="e">
        <f t="shared" ca="1" si="102"/>
        <v>#REF!</v>
      </c>
      <c r="AT9" s="40" t="e">
        <f t="shared" ca="1" si="103"/>
        <v>#REF!</v>
      </c>
      <c r="AU9" s="40" t="e">
        <f t="shared" ca="1" si="104"/>
        <v>#REF!</v>
      </c>
      <c r="AV9" s="40" t="e">
        <f t="shared" ca="1" si="105"/>
        <v>#REF!</v>
      </c>
      <c r="AW9" s="40" t="e">
        <f t="shared" ca="1" si="106"/>
        <v>#REF!</v>
      </c>
      <c r="AX9" s="40" t="e">
        <f t="shared" ca="1" si="107"/>
        <v>#REF!</v>
      </c>
      <c r="AY9" s="40" t="e">
        <f t="shared" ca="1" si="108"/>
        <v>#REF!</v>
      </c>
      <c r="AZ9" s="40" t="e">
        <f t="shared" ca="1" si="109"/>
        <v>#REF!</v>
      </c>
      <c r="BA9" s="40" t="e">
        <f t="shared" ca="1" si="110"/>
        <v>#REF!</v>
      </c>
      <c r="BB9" s="40" t="e">
        <f t="shared" ca="1" si="111"/>
        <v>#REF!</v>
      </c>
      <c r="BC9" s="40" t="e">
        <f t="shared" ca="1" si="112"/>
        <v>#REF!</v>
      </c>
      <c r="BD9" s="40" t="e">
        <f t="shared" ca="1" si="113"/>
        <v>#REF!</v>
      </c>
      <c r="BE9" s="40" t="e">
        <f t="shared" ca="1" si="114"/>
        <v>#REF!</v>
      </c>
      <c r="BF9" s="40" t="e">
        <f t="shared" ca="1" si="115"/>
        <v>#REF!</v>
      </c>
      <c r="BG9" s="40" t="e">
        <f t="shared" ca="1" si="116"/>
        <v>#REF!</v>
      </c>
      <c r="BH9" s="40" t="e">
        <f t="shared" ca="1" si="117"/>
        <v>#REF!</v>
      </c>
      <c r="BI9" s="40" t="e">
        <f t="shared" ca="1" si="118"/>
        <v>#REF!</v>
      </c>
      <c r="BJ9" s="40" t="e">
        <f t="shared" ca="1" si="119"/>
        <v>#REF!</v>
      </c>
      <c r="BK9" s="40" t="e">
        <f t="shared" ca="1" si="120"/>
        <v>#REF!</v>
      </c>
      <c r="BL9" s="40" t="e">
        <f t="shared" ca="1" si="121"/>
        <v>#REF!</v>
      </c>
      <c r="BM9" s="40" t="e">
        <f t="shared" ca="1" si="122"/>
        <v>#REF!</v>
      </c>
      <c r="BN9" s="40" t="e">
        <f t="shared" ca="1" si="123"/>
        <v>#REF!</v>
      </c>
      <c r="BO9" s="40" t="e">
        <f t="shared" ca="1" si="124"/>
        <v>#REF!</v>
      </c>
      <c r="BP9" s="40" t="e">
        <f t="shared" ca="1" si="125"/>
        <v>#REF!</v>
      </c>
      <c r="BQ9" s="40" t="e">
        <f t="shared" ca="1" si="126"/>
        <v>#REF!</v>
      </c>
      <c r="BR9" s="40" t="e">
        <f t="shared" ca="1" si="127"/>
        <v>#REF!</v>
      </c>
      <c r="BS9" s="40" t="e">
        <f t="shared" ca="1" si="128"/>
        <v>#REF!</v>
      </c>
      <c r="BT9" s="40" t="e">
        <f t="shared" ca="1" si="129"/>
        <v>#REF!</v>
      </c>
      <c r="BU9" s="40" t="e">
        <f t="shared" ca="1" si="130"/>
        <v>#REF!</v>
      </c>
      <c r="BV9" s="40" t="e">
        <f t="shared" ca="1" si="131"/>
        <v>#REF!</v>
      </c>
      <c r="BW9" s="40" t="e">
        <f t="shared" ca="1" si="132"/>
        <v>#REF!</v>
      </c>
      <c r="BX9" s="40" t="e">
        <f t="shared" ca="1" si="133"/>
        <v>#REF!</v>
      </c>
      <c r="BY9" s="40" t="e">
        <f t="shared" ca="1" si="134"/>
        <v>#REF!</v>
      </c>
      <c r="BZ9" s="40" t="e">
        <f t="shared" ca="1" si="135"/>
        <v>#REF!</v>
      </c>
      <c r="CA9" s="40" t="e">
        <f t="shared" ca="1" si="136"/>
        <v>#REF!</v>
      </c>
      <c r="CB9" s="40" t="e">
        <f t="shared" ca="1" si="137"/>
        <v>#REF!</v>
      </c>
      <c r="CC9" s="40" t="e">
        <f t="shared" ca="1" si="138"/>
        <v>#REF!</v>
      </c>
      <c r="CD9" s="40" t="e">
        <f t="shared" ca="1" si="139"/>
        <v>#REF!</v>
      </c>
      <c r="CE9" s="40" t="e">
        <f t="shared" ca="1" si="140"/>
        <v>#REF!</v>
      </c>
    </row>
    <row r="10" spans="1:83" x14ac:dyDescent="0.25">
      <c r="A10" t="e">
        <f>PLANTILLA!#REF!</f>
        <v>#REF!</v>
      </c>
      <c r="B10" t="e">
        <f>PLANTILLA!#REF!</f>
        <v>#REF!</v>
      </c>
      <c r="C10" s="36" t="e">
        <f>PLANTILLA!#REF!</f>
        <v>#REF!</v>
      </c>
      <c r="D10" s="69" t="e">
        <f>PLANTILLA!#REF!</f>
        <v>#REF!</v>
      </c>
      <c r="E10" s="33">
        <v>42335</v>
      </c>
      <c r="F10" s="51" t="e">
        <f>PLANTILLA!#REF!</f>
        <v>#REF!</v>
      </c>
      <c r="G10" s="52" t="e">
        <f t="shared" si="73"/>
        <v>#REF!</v>
      </c>
      <c r="H10" s="52" t="e">
        <f t="shared" si="74"/>
        <v>#REF!</v>
      </c>
      <c r="I10" s="55">
        <f t="shared" ca="1" si="6"/>
        <v>1</v>
      </c>
      <c r="J10" s="42" t="e">
        <f>PLANTILLA!#REF!</f>
        <v>#REF!</v>
      </c>
      <c r="K10" s="50" t="e">
        <f>PLANTILLA!#REF!</f>
        <v>#REF!</v>
      </c>
      <c r="L10" s="50" t="e">
        <f>PLANTILLA!#REF!</f>
        <v>#REF!</v>
      </c>
      <c r="M10" s="50" t="e">
        <f>PLANTILLA!#REF!</f>
        <v>#REF!</v>
      </c>
      <c r="N10" s="50" t="e">
        <f>PLANTILLA!#REF!</f>
        <v>#REF!</v>
      </c>
      <c r="O10" s="50" t="e">
        <f>PLANTILLA!#REF!</f>
        <v>#REF!</v>
      </c>
      <c r="P10" s="50" t="e">
        <f>PLANTILLA!#REF!</f>
        <v>#REF!</v>
      </c>
      <c r="Q10" s="50" t="e">
        <f>PLANTILLA!#REF!</f>
        <v>#REF!</v>
      </c>
      <c r="R10" s="50" t="e">
        <f t="shared" si="75"/>
        <v>#REF!</v>
      </c>
      <c r="S10" s="50" t="e">
        <f t="shared" si="76"/>
        <v>#REF!</v>
      </c>
      <c r="T10" s="50" t="e">
        <f t="shared" si="77"/>
        <v>#REF!</v>
      </c>
      <c r="U10" s="50" t="e">
        <f t="shared" ca="1" si="78"/>
        <v>#REF!</v>
      </c>
      <c r="V10" s="50" t="e">
        <f t="shared" ca="1" si="79"/>
        <v>#REF!</v>
      </c>
      <c r="W10" s="40" t="e">
        <f t="shared" ca="1" si="80"/>
        <v>#REF!</v>
      </c>
      <c r="X10" s="40" t="e">
        <f t="shared" ca="1" si="81"/>
        <v>#REF!</v>
      </c>
      <c r="Y10" s="40" t="e">
        <f t="shared" ca="1" si="82"/>
        <v>#REF!</v>
      </c>
      <c r="Z10" s="40" t="e">
        <f t="shared" ca="1" si="83"/>
        <v>#REF!</v>
      </c>
      <c r="AA10" s="40" t="e">
        <f t="shared" ca="1" si="84"/>
        <v>#REF!</v>
      </c>
      <c r="AB10" s="40" t="e">
        <f t="shared" ca="1" si="85"/>
        <v>#REF!</v>
      </c>
      <c r="AC10" s="40" t="e">
        <f t="shared" ca="1" si="86"/>
        <v>#REF!</v>
      </c>
      <c r="AD10" s="40" t="e">
        <f t="shared" ca="1" si="87"/>
        <v>#REF!</v>
      </c>
      <c r="AE10" s="40" t="e">
        <f t="shared" ca="1" si="88"/>
        <v>#REF!</v>
      </c>
      <c r="AF10" s="40" t="e">
        <f t="shared" ca="1" si="89"/>
        <v>#REF!</v>
      </c>
      <c r="AG10" s="40" t="e">
        <f t="shared" ca="1" si="90"/>
        <v>#REF!</v>
      </c>
      <c r="AH10" s="40" t="e">
        <f t="shared" ca="1" si="91"/>
        <v>#REF!</v>
      </c>
      <c r="AI10" s="40" t="e">
        <f t="shared" ca="1" si="92"/>
        <v>#REF!</v>
      </c>
      <c r="AJ10" s="40" t="e">
        <f t="shared" ca="1" si="93"/>
        <v>#REF!</v>
      </c>
      <c r="AK10" s="40" t="e">
        <f t="shared" ca="1" si="94"/>
        <v>#REF!</v>
      </c>
      <c r="AL10" s="40" t="e">
        <f t="shared" ca="1" si="95"/>
        <v>#REF!</v>
      </c>
      <c r="AM10" s="40" t="e">
        <f t="shared" ca="1" si="96"/>
        <v>#REF!</v>
      </c>
      <c r="AN10" s="40" t="e">
        <f t="shared" ca="1" si="97"/>
        <v>#REF!</v>
      </c>
      <c r="AO10" s="40" t="e">
        <f t="shared" ca="1" si="98"/>
        <v>#REF!</v>
      </c>
      <c r="AP10" s="40" t="e">
        <f t="shared" ca="1" si="99"/>
        <v>#REF!</v>
      </c>
      <c r="AQ10" s="40" t="e">
        <f t="shared" ca="1" si="100"/>
        <v>#REF!</v>
      </c>
      <c r="AR10" s="40" t="e">
        <f t="shared" ca="1" si="101"/>
        <v>#REF!</v>
      </c>
      <c r="AS10" s="40" t="e">
        <f t="shared" ca="1" si="102"/>
        <v>#REF!</v>
      </c>
      <c r="AT10" s="40" t="e">
        <f t="shared" ca="1" si="103"/>
        <v>#REF!</v>
      </c>
      <c r="AU10" s="40" t="e">
        <f t="shared" ca="1" si="104"/>
        <v>#REF!</v>
      </c>
      <c r="AV10" s="40" t="e">
        <f t="shared" ca="1" si="105"/>
        <v>#REF!</v>
      </c>
      <c r="AW10" s="40" t="e">
        <f t="shared" ca="1" si="106"/>
        <v>#REF!</v>
      </c>
      <c r="AX10" s="40" t="e">
        <f t="shared" ca="1" si="107"/>
        <v>#REF!</v>
      </c>
      <c r="AY10" s="40" t="e">
        <f t="shared" ca="1" si="108"/>
        <v>#REF!</v>
      </c>
      <c r="AZ10" s="40" t="e">
        <f t="shared" ca="1" si="109"/>
        <v>#REF!</v>
      </c>
      <c r="BA10" s="40" t="e">
        <f t="shared" ca="1" si="110"/>
        <v>#REF!</v>
      </c>
      <c r="BB10" s="40" t="e">
        <f t="shared" ca="1" si="111"/>
        <v>#REF!</v>
      </c>
      <c r="BC10" s="40" t="e">
        <f t="shared" ca="1" si="112"/>
        <v>#REF!</v>
      </c>
      <c r="BD10" s="40" t="e">
        <f t="shared" ca="1" si="113"/>
        <v>#REF!</v>
      </c>
      <c r="BE10" s="40" t="e">
        <f t="shared" ca="1" si="114"/>
        <v>#REF!</v>
      </c>
      <c r="BF10" s="40" t="e">
        <f t="shared" ca="1" si="115"/>
        <v>#REF!</v>
      </c>
      <c r="BG10" s="40" t="e">
        <f t="shared" ca="1" si="116"/>
        <v>#REF!</v>
      </c>
      <c r="BH10" s="40" t="e">
        <f t="shared" ca="1" si="117"/>
        <v>#REF!</v>
      </c>
      <c r="BI10" s="40" t="e">
        <f t="shared" ca="1" si="118"/>
        <v>#REF!</v>
      </c>
      <c r="BJ10" s="40" t="e">
        <f t="shared" ca="1" si="119"/>
        <v>#REF!</v>
      </c>
      <c r="BK10" s="40" t="e">
        <f t="shared" ca="1" si="120"/>
        <v>#REF!</v>
      </c>
      <c r="BL10" s="40" t="e">
        <f t="shared" ca="1" si="121"/>
        <v>#REF!</v>
      </c>
      <c r="BM10" s="40" t="e">
        <f t="shared" ca="1" si="122"/>
        <v>#REF!</v>
      </c>
      <c r="BN10" s="40" t="e">
        <f t="shared" ca="1" si="123"/>
        <v>#REF!</v>
      </c>
      <c r="BO10" s="40" t="e">
        <f t="shared" ca="1" si="124"/>
        <v>#REF!</v>
      </c>
      <c r="BP10" s="40" t="e">
        <f t="shared" ca="1" si="125"/>
        <v>#REF!</v>
      </c>
      <c r="BQ10" s="40" t="e">
        <f t="shared" ca="1" si="126"/>
        <v>#REF!</v>
      </c>
      <c r="BR10" s="40" t="e">
        <f t="shared" ca="1" si="127"/>
        <v>#REF!</v>
      </c>
      <c r="BS10" s="40" t="e">
        <f t="shared" ca="1" si="128"/>
        <v>#REF!</v>
      </c>
      <c r="BT10" s="40" t="e">
        <f t="shared" ca="1" si="129"/>
        <v>#REF!</v>
      </c>
      <c r="BU10" s="40" t="e">
        <f t="shared" ca="1" si="130"/>
        <v>#REF!</v>
      </c>
      <c r="BV10" s="40" t="e">
        <f t="shared" ca="1" si="131"/>
        <v>#REF!</v>
      </c>
      <c r="BW10" s="40" t="e">
        <f t="shared" ca="1" si="132"/>
        <v>#REF!</v>
      </c>
      <c r="BX10" s="40" t="e">
        <f t="shared" ca="1" si="133"/>
        <v>#REF!</v>
      </c>
      <c r="BY10" s="40" t="e">
        <f t="shared" ca="1" si="134"/>
        <v>#REF!</v>
      </c>
      <c r="BZ10" s="40" t="e">
        <f t="shared" ca="1" si="135"/>
        <v>#REF!</v>
      </c>
      <c r="CA10" s="40" t="e">
        <f t="shared" ca="1" si="136"/>
        <v>#REF!</v>
      </c>
      <c r="CB10" s="40" t="e">
        <f t="shared" ca="1" si="137"/>
        <v>#REF!</v>
      </c>
      <c r="CC10" s="40" t="e">
        <f t="shared" ca="1" si="138"/>
        <v>#REF!</v>
      </c>
      <c r="CD10" s="40" t="e">
        <f t="shared" ca="1" si="139"/>
        <v>#REF!</v>
      </c>
      <c r="CE10" s="40" t="e">
        <f t="shared" ca="1" si="140"/>
        <v>#REF!</v>
      </c>
    </row>
    <row r="11" spans="1:83" x14ac:dyDescent="0.25">
      <c r="A11" t="str">
        <f>PLANTILLA!D22</f>
        <v>Morgan Thomas</v>
      </c>
      <c r="B11">
        <f>PLANTILLA!E22</f>
        <v>33</v>
      </c>
      <c r="C11" s="36">
        <f ca="1">PLANTILLA!F22</f>
        <v>15</v>
      </c>
      <c r="D11" s="69" t="str">
        <f>PLANTILLA!G22</f>
        <v>CAB</v>
      </c>
      <c r="E11" s="33">
        <v>42336</v>
      </c>
      <c r="F11" s="51">
        <f>PLANTILLA!Q22</f>
        <v>5</v>
      </c>
      <c r="G11" s="52">
        <f t="shared" si="73"/>
        <v>0.84515425472851657</v>
      </c>
      <c r="H11" s="52">
        <f t="shared" si="74"/>
        <v>0.92504826128926143</v>
      </c>
      <c r="I11" s="55">
        <f t="shared" ca="1" si="6"/>
        <v>1</v>
      </c>
      <c r="J11" s="42">
        <f>PLANTILLA!I22</f>
        <v>10.199999999999999</v>
      </c>
      <c r="K11" s="50">
        <f>PLANTILLA!X22</f>
        <v>0</v>
      </c>
      <c r="L11" s="50">
        <f>PLANTILLA!Y22</f>
        <v>1.037037037037037</v>
      </c>
      <c r="M11" s="50">
        <f>PLANTILLA!Z22</f>
        <v>13.230909090909091</v>
      </c>
      <c r="N11" s="50">
        <f>PLANTILLA!AA22</f>
        <v>14.058518518518518</v>
      </c>
      <c r="O11" s="50">
        <f>PLANTILLA!AB22</f>
        <v>10.936666666666666</v>
      </c>
      <c r="P11" s="50">
        <f>PLANTILLA!AC22</f>
        <v>2.95</v>
      </c>
      <c r="Q11" s="50">
        <f>PLANTILLA!AD22</f>
        <v>11</v>
      </c>
      <c r="R11" s="50">
        <f t="shared" si="75"/>
        <v>3.2387962962962962</v>
      </c>
      <c r="S11" s="50">
        <f t="shared" si="76"/>
        <v>0.47750000000000004</v>
      </c>
      <c r="T11" s="50">
        <f t="shared" si="77"/>
        <v>0.37148148148148147</v>
      </c>
      <c r="U11" s="50">
        <f t="shared" ca="1" si="78"/>
        <v>11.278414692054861</v>
      </c>
      <c r="V11" s="50">
        <f t="shared" ca="1" si="79"/>
        <v>12.344584249103686</v>
      </c>
      <c r="W11" s="40">
        <f t="shared" ca="1" si="80"/>
        <v>2.3332328221530942</v>
      </c>
      <c r="X11" s="40">
        <f t="shared" ca="1" si="81"/>
        <v>3.4678778364002545</v>
      </c>
      <c r="Y11" s="40">
        <f t="shared" ca="1" si="82"/>
        <v>2.3332328221530942</v>
      </c>
      <c r="Z11" s="40">
        <f t="shared" ca="1" si="83"/>
        <v>1.7450280292833105</v>
      </c>
      <c r="AA11" s="40">
        <f t="shared" ca="1" si="84"/>
        <v>3.3818372660529272</v>
      </c>
      <c r="AB11" s="40">
        <f t="shared" ca="1" si="85"/>
        <v>0.87251401464165523</v>
      </c>
      <c r="AC11" s="40">
        <f t="shared" ca="1" si="86"/>
        <v>3.7070188181421453</v>
      </c>
      <c r="AD11" s="40">
        <f t="shared" ca="1" si="87"/>
        <v>1.2783344865680064</v>
      </c>
      <c r="AE11" s="40">
        <f t="shared" ca="1" si="88"/>
        <v>2.4450683433562661</v>
      </c>
      <c r="AF11" s="40">
        <f t="shared" ca="1" si="89"/>
        <v>0.63916724328400321</v>
      </c>
      <c r="AG11" s="40">
        <f t="shared" ca="1" si="90"/>
        <v>5.9966480881711179</v>
      </c>
      <c r="AH11" s="40">
        <f t="shared" ca="1" si="91"/>
        <v>3.1112902847686934</v>
      </c>
      <c r="AI11" s="40">
        <f t="shared" ca="1" si="92"/>
        <v>1.4000806281459117</v>
      </c>
      <c r="AJ11" s="40">
        <f t="shared" ca="1" si="93"/>
        <v>2.6011434564274718</v>
      </c>
      <c r="AK11" s="40">
        <f t="shared" ca="1" si="94"/>
        <v>9.6451514235502298</v>
      </c>
      <c r="AL11" s="40">
        <f t="shared" ca="1" si="95"/>
        <v>2.5499052986039072</v>
      </c>
      <c r="AM11" s="40">
        <f t="shared" ca="1" si="96"/>
        <v>2.3943407843654723</v>
      </c>
      <c r="AN11" s="40">
        <f t="shared" ca="1" si="97"/>
        <v>2.2285816382456538</v>
      </c>
      <c r="AO11" s="40">
        <f t="shared" ca="1" si="98"/>
        <v>1.6080757992899097</v>
      </c>
      <c r="AP11" s="40">
        <f t="shared" ca="1" si="99"/>
        <v>0.91309606183429037</v>
      </c>
      <c r="AQ11" s="40">
        <f t="shared" ca="1" si="100"/>
        <v>2.0088113360354387</v>
      </c>
      <c r="AR11" s="40">
        <f t="shared" ca="1" si="101"/>
        <v>0.45654803091714519</v>
      </c>
      <c r="AS11" s="40">
        <f t="shared" ca="1" si="102"/>
        <v>14.70346959800918</v>
      </c>
      <c r="AT11" s="40">
        <f t="shared" ca="1" si="103"/>
        <v>1.7265906964387323</v>
      </c>
      <c r="AU11" s="40">
        <f t="shared" ca="1" si="104"/>
        <v>2.5097764671016556</v>
      </c>
      <c r="AV11" s="40">
        <f t="shared" ca="1" si="105"/>
        <v>0.86329534821936615</v>
      </c>
      <c r="AW11" s="40">
        <f t="shared" ca="1" si="106"/>
        <v>0.63916724328400321</v>
      </c>
      <c r="AX11" s="40">
        <f t="shared" ca="1" si="107"/>
        <v>1.3527349064211709</v>
      </c>
      <c r="AY11" s="40">
        <f t="shared" ca="1" si="108"/>
        <v>0.3195836216420016</v>
      </c>
      <c r="AZ11" s="40">
        <f t="shared" ca="1" si="109"/>
        <v>15.575709319924981</v>
      </c>
      <c r="BA11" s="40">
        <f t="shared" ca="1" si="110"/>
        <v>3.3602111246076865</v>
      </c>
      <c r="BB11" s="40">
        <f t="shared" ca="1" si="111"/>
        <v>5.6408882595210885</v>
      </c>
      <c r="BC11" s="40">
        <f t="shared" ca="1" si="112"/>
        <v>1.6801055623038432</v>
      </c>
      <c r="BD11" s="40">
        <f t="shared" ca="1" si="113"/>
        <v>0.98411464442140173</v>
      </c>
      <c r="BE11" s="40">
        <f t="shared" ca="1" si="114"/>
        <v>1.1768793685864185</v>
      </c>
      <c r="BF11" s="40">
        <f t="shared" ca="1" si="115"/>
        <v>13.722199910853908</v>
      </c>
      <c r="BG11" s="40">
        <f t="shared" ca="1" si="116"/>
        <v>13.599167033224752</v>
      </c>
      <c r="BH11" s="40">
        <f t="shared" ca="1" si="117"/>
        <v>3.2008335218594959</v>
      </c>
      <c r="BI11" s="40">
        <f t="shared" ca="1" si="118"/>
        <v>1.6401910740356695</v>
      </c>
      <c r="BJ11" s="40">
        <f t="shared" ca="1" si="119"/>
        <v>0.89280503823797286</v>
      </c>
      <c r="BK11" s="40">
        <f t="shared" ca="1" si="120"/>
        <v>5.9343452508914174</v>
      </c>
      <c r="BL11" s="40">
        <f t="shared" ca="1" si="121"/>
        <v>13.70900836312285</v>
      </c>
      <c r="BM11" s="40">
        <f t="shared" ca="1" si="122"/>
        <v>0.69063627857549281</v>
      </c>
      <c r="BN11" s="40">
        <f t="shared" ca="1" si="123"/>
        <v>0.60873070788952688</v>
      </c>
      <c r="BO11" s="40">
        <f t="shared" ca="1" si="124"/>
        <v>0.22996493409159907</v>
      </c>
      <c r="BP11" s="40">
        <f t="shared" ca="1" si="125"/>
        <v>4.7505913425771187</v>
      </c>
      <c r="BQ11" s="40">
        <f t="shared" ca="1" si="126"/>
        <v>20.201818279699616</v>
      </c>
      <c r="BR11" s="40">
        <f t="shared" ca="1" si="127"/>
        <v>1.7929980309171452</v>
      </c>
      <c r="BS11" s="40">
        <f t="shared" ca="1" si="128"/>
        <v>0.9604417835590312</v>
      </c>
      <c r="BT11" s="40">
        <f t="shared" ca="1" si="129"/>
        <v>0.82516829291691418</v>
      </c>
      <c r="BU11" s="40">
        <f t="shared" ca="1" si="130"/>
        <v>9.8282725808726621</v>
      </c>
      <c r="BV11" s="40">
        <f t="shared" ca="1" si="131"/>
        <v>14.078452871635886</v>
      </c>
      <c r="BW11" s="40">
        <f t="shared" ca="1" si="132"/>
        <v>1.9656571005610182</v>
      </c>
      <c r="BX11" s="40">
        <f t="shared" ca="1" si="133"/>
        <v>6.3237379838895427</v>
      </c>
      <c r="BY11" s="40">
        <f t="shared" ca="1" si="134"/>
        <v>6.3548842526506117</v>
      </c>
      <c r="BZ11" s="40">
        <f t="shared" ca="1" si="135"/>
        <v>10.298705057871892</v>
      </c>
      <c r="CA11" s="40">
        <f t="shared" ca="1" si="136"/>
        <v>6.3548842526506117</v>
      </c>
      <c r="CB11" s="40">
        <f t="shared" ca="1" si="137"/>
        <v>6.8877498019361578</v>
      </c>
      <c r="CC11" s="40">
        <f t="shared" ca="1" si="138"/>
        <v>10.195661513522754</v>
      </c>
      <c r="CD11" s="40">
        <f t="shared" ca="1" si="139"/>
        <v>6.8877498019361578</v>
      </c>
      <c r="CE11" s="40">
        <f t="shared" ca="1" si="140"/>
        <v>3.8939273299812451</v>
      </c>
    </row>
    <row r="12" spans="1:83" x14ac:dyDescent="0.25">
      <c r="A12" t="e">
        <f>PLANTILLA!#REF!</f>
        <v>#REF!</v>
      </c>
      <c r="B12" t="e">
        <f>PLANTILLA!#REF!</f>
        <v>#REF!</v>
      </c>
      <c r="C12" s="36" t="e">
        <f>PLANTILLA!#REF!</f>
        <v>#REF!</v>
      </c>
      <c r="D12" s="69" t="e">
        <f>PLANTILLA!#REF!</f>
        <v>#REF!</v>
      </c>
      <c r="E12" s="33">
        <v>42630</v>
      </c>
      <c r="F12" s="51" t="e">
        <f>PLANTILLA!#REF!</f>
        <v>#REF!</v>
      </c>
      <c r="G12" s="52" t="e">
        <f>(F12/7)^0.5</f>
        <v>#REF!</v>
      </c>
      <c r="H12" s="52" t="e">
        <f>IF(F12=7,1,((F12+0.99)/7)^0.5)</f>
        <v>#REF!</v>
      </c>
      <c r="I12" s="55">
        <f ca="1">IF(TODAY()-E12&gt;335,1,((TODAY()-E12)^0.5)/336^0.5)</f>
        <v>1</v>
      </c>
      <c r="J12" s="42" t="e">
        <f>PLANTILLA!#REF!</f>
        <v>#REF!</v>
      </c>
      <c r="K12" s="50" t="e">
        <f>PLANTILLA!#REF!</f>
        <v>#REF!</v>
      </c>
      <c r="L12" s="50" t="e">
        <f>PLANTILLA!#REF!</f>
        <v>#REF!</v>
      </c>
      <c r="M12" s="50" t="e">
        <f>PLANTILLA!#REF!</f>
        <v>#REF!</v>
      </c>
      <c r="N12" s="50" t="e">
        <f>PLANTILLA!#REF!</f>
        <v>#REF!</v>
      </c>
      <c r="O12" s="50" t="e">
        <f>PLANTILLA!#REF!</f>
        <v>#REF!</v>
      </c>
      <c r="P12" s="50" t="e">
        <f>PLANTILLA!#REF!</f>
        <v>#REF!</v>
      </c>
      <c r="Q12" s="50" t="e">
        <f>PLANTILLA!#REF!</f>
        <v>#REF!</v>
      </c>
      <c r="R12" s="50" t="e">
        <f>((2*(O12+1))+(L12+1))/8</f>
        <v>#REF!</v>
      </c>
      <c r="S12" s="50" t="e">
        <f>(0.5*P12+ 0.3*Q12)/10</f>
        <v>#REF!</v>
      </c>
      <c r="T12" s="50" t="e">
        <f>(0.4*L12+0.3*Q12)/10</f>
        <v>#REF!</v>
      </c>
      <c r="U12" s="50" t="e">
        <f ca="1">IF(TODAY()-E12&gt;335,(Q12+1+(LOG(J12)*4/3))*(F12/7)^0.5,(Q12+((TODAY()-E12)^0.5)/(336^0.5)+(LOG(J12)*4/3))*(F12/7)^0.5)</f>
        <v>#REF!</v>
      </c>
      <c r="V12" s="50" t="e">
        <f ca="1">IF(F12=7,U12,IF(TODAY()-E12&gt;335,(Q12+1+(LOG(J12)*4/3))*((F12+0.99)/7)^0.5,(Q12+((TODAY()-E12)^0.5)/(336^0.5)+(LOG(J12)*4/3))*((F12+0.99)/7)^0.5))</f>
        <v>#REF!</v>
      </c>
      <c r="W12" s="40" t="e">
        <f ca="1">IF(TODAY()-E12&gt;335,((K12+1+(LOG(J12)*4/3))*0.597)+((L12+1+(LOG(J12)*4/3))*0.276),((K12+(((TODAY()-E12)^0.5)/(336^0.5))+(LOG(J12)*4/3))*0.597)+((L12+(((TODAY()-E12)^0.5)/(336^0.5))+(LOG(J12)*4/3))*0.276))</f>
        <v>#REF!</v>
      </c>
      <c r="X12" s="40" t="e">
        <f ca="1">IF(TODAY()-E12&gt;335,((K12+1+(LOG(J12)*4/3))*0.866)+((L12+1+(LOG(J12)*4/3))*0.425),((K12+(((TODAY()-E12)^0.5)/(336^0.5))+(LOG(J12)*4/3))*0.866)+((L12+(((TODAY()-E12)^0.5)/(336^0.5))+(LOG(J12)*4/3))*0.425))</f>
        <v>#REF!</v>
      </c>
      <c r="Y12" s="40" t="e">
        <f ca="1">W12</f>
        <v>#REF!</v>
      </c>
      <c r="Z12" s="40" t="e">
        <f ca="1">IF(TODAY()-E12&gt;335,((L12+1+(LOG(J12)*4/3))*0.516),((L12+(((TODAY()-E12)^0.5)/(336^0.516))+(LOG(J12)*4/3))*0.516))</f>
        <v>#REF!</v>
      </c>
      <c r="AA12" s="40" t="e">
        <f ca="1">IF(TODAY()-E12&gt;335,((L12+1+(LOG(J12)*4/3))*1),((L12+(((TODAY()-E12)^0.5)/(336^0.5))+(LOG(J12)*4/3))*1))</f>
        <v>#REF!</v>
      </c>
      <c r="AB12" s="40" t="e">
        <f ca="1">Z12/2</f>
        <v>#REF!</v>
      </c>
      <c r="AC12" s="40" t="e">
        <f ca="1">IF(TODAY()-E12&gt;335,((M12+1+(LOG(J12)*4/3))*0.238),((M12+(((TODAY()-E12)^0.5)/(336^0.238))+(LOG(J12)*4/3))*0.238))</f>
        <v>#REF!</v>
      </c>
      <c r="AD12" s="40" t="e">
        <f ca="1">IF(TODAY()-E12&gt;335,((L12+1+(LOG(J12)*4/3))*0.378),((L12+(((TODAY()-E12)^0.5)/(336^0.516))+(LOG(J12)*4/3))*0.378))</f>
        <v>#REF!</v>
      </c>
      <c r="AE12" s="40" t="e">
        <f ca="1">IF(TODAY()-E12&gt;335,((L12+1+(LOG(J12)*4/3))*0.723),((L12+(((TODAY()-E12)^0.5)/(336^0.5))+(LOG(J12)*4/3))*0.723))</f>
        <v>#REF!</v>
      </c>
      <c r="AF12" s="40" t="e">
        <f ca="1">AD12/2</f>
        <v>#REF!</v>
      </c>
      <c r="AG12" s="40" t="e">
        <f ca="1">IF(TODAY()-E12&gt;335,((M12+1+(LOG(J12)*4/3))*0.385),((M12+(((TODAY()-E12)^0.5)/(336^0.238))+(LOG(J12)*4/3))*0.385))</f>
        <v>#REF!</v>
      </c>
      <c r="AH12" s="40" t="e">
        <f ca="1">IF(TODAY()-E12&gt;335,((L12+1+(LOG(J12)*4/3))*0.92),((L12+(((TODAY()-E12)^0.5)/(336^0.5))+(LOG(J12)*4/3))*0.92))</f>
        <v>#REF!</v>
      </c>
      <c r="AI12" s="40" t="e">
        <f ca="1">IF(TODAY()-E12&gt;335,((L12+1+(LOG(J12)*4/3))*0.414),((L12+(((TODAY()-E12)^0.5)/(336^0.414))+(LOG(J12)*4/3))*0.414))</f>
        <v>#REF!</v>
      </c>
      <c r="AJ12" s="40" t="e">
        <f ca="1">IF(TODAY()-E12&gt;335,((M12+1+(LOG(J12)*4/3))*0.167),((M12+(((TODAY()-E12)^0.5)/(336^0.5))+(LOG(J12)*4/3))*0.167))</f>
        <v>#REF!</v>
      </c>
      <c r="AK12" s="40" t="e">
        <f ca="1">IF(TODAY()-E12&gt;335,((N12+1+(LOG(J12)*4/3))*0.588),((N12+(((TODAY()-E12)^0.5)/(336^0.5))+(LOG(J12)*4/3))*0.588))</f>
        <v>#REF!</v>
      </c>
      <c r="AL12" s="40" t="e">
        <f ca="1">IF(TODAY()-E12&gt;335,((L12+1+(LOG(J12)*4/3))*0.754),((L12+(((TODAY()-E12)^0.5)/(336^0.5))+(LOG(J12)*4/3))*0.754))</f>
        <v>#REF!</v>
      </c>
      <c r="AM12" s="40" t="e">
        <f ca="1">IF(TODAY()-E12&gt;335,((L12+1+(LOG(J12)*4/3))*0.708),((L12+(((TODAY()-E12)^0.5)/(336^0.414))+(LOG(J12)*4/3))*0.708))</f>
        <v>#REF!</v>
      </c>
      <c r="AN12" s="40" t="e">
        <f ca="1">IF(TODAY()-E12&gt;335,((Q12+1+(LOG(J12)*4/3))*0.167),((Q12+(((TODAY()-E12)^0.5)/(336^0.5))+(LOG(J12)*4/3))*0.167))</f>
        <v>#REF!</v>
      </c>
      <c r="AO12" s="40" t="e">
        <f ca="1">IF(TODAY()-E12&gt;335,((R12+1+(LOG(J12)*4/3))*0.288),((R12+(((TODAY()-E12)^0.5)/(336^0.5))+(LOG(J12)*4/3))*0.288))</f>
        <v>#REF!</v>
      </c>
      <c r="AP12" s="40" t="e">
        <f ca="1">IF(TODAY()-E12&gt;335,((L12+1+(LOG(J12)*4/3))*0.27),((L12+(((TODAY()-E12)^0.5)/(336^0.5))+(LOG(J12)*4/3))*0.27))</f>
        <v>#REF!</v>
      </c>
      <c r="AQ12" s="40" t="e">
        <f ca="1">IF(TODAY()-E12&gt;335,((L12+1+(LOG(J12)*4/3))*0.594),((L12+(((TODAY()-E12)^0.5)/(336^0.5))+(LOG(J12)*4/3))*0.594))</f>
        <v>#REF!</v>
      </c>
      <c r="AR12" s="40" t="e">
        <f ca="1">AP12/2</f>
        <v>#REF!</v>
      </c>
      <c r="AS12" s="40" t="e">
        <f ca="1">IF(TODAY()-E12&gt;335,((M12+1+(LOG(J12)*4/3))*0.944),((M12+(((TODAY()-E12)^0.5)/(336^0.5))+(LOG(J12)*4/3))*0.944))</f>
        <v>#REF!</v>
      </c>
      <c r="AT12" s="40" t="e">
        <f ca="1">IF(TODAY()-E12&gt;335,((O12+1+(LOG(J12)*4/3))*0.13),((O12+(((TODAY()-E12)^0.5)/(336^0.5))+(LOG(J12)*4/3))*0.13))</f>
        <v>#REF!</v>
      </c>
      <c r="AU12" s="40" t="e">
        <f ca="1">IF(TODAY()-E12&gt;335,((P12+1+(LOG(J12)*4/3))*0.173)+((O12+1+(LOG(J12)*4/3))*0.12),((P12+(((TODAY()-E12)^0.5)/(336^0.5))+(LOG(J12)*4/3))*0.173)+((O12+(((TODAY()-E12)^0.5)/(336^0.5))+(LOG(J12)*4/3))*0.12))</f>
        <v>#REF!</v>
      </c>
      <c r="AV12" s="40" t="e">
        <f ca="1">AT12/2</f>
        <v>#REF!</v>
      </c>
      <c r="AW12" s="40" t="e">
        <f ca="1">IF(TODAY()-E12&gt;335,((L12+1+(LOG(J12)*4/3))*0.189),((L12+(((TODAY()-E12)^0.5)/(336^0.5))+(LOG(J12)*4/3))*0.189))</f>
        <v>#REF!</v>
      </c>
      <c r="AX12" s="40" t="e">
        <f ca="1">IF(TODAY()-E12&gt;335,((L12+1+(LOG(J12)*4/3))*0.4),((L12+(((TODAY()-E12)^0.5)/(336^0.5))+(LOG(J12)*4/3))*0.4))</f>
        <v>#REF!</v>
      </c>
      <c r="AY12" s="40" t="e">
        <f ca="1">AW12/2</f>
        <v>#REF!</v>
      </c>
      <c r="AZ12" s="40" t="e">
        <f ca="1">IF(TODAY()-E12&gt;335,((M12+1+(LOG(J12)*4/3))*1),((M12+(((TODAY()-E12)^0.5)/(336^0.5))+(LOG(J12)*4/3))*1))</f>
        <v>#REF!</v>
      </c>
      <c r="BA12" s="40" t="e">
        <f ca="1">IF(TODAY()-E12&gt;335,((O12+1+(LOG(J12)*4/3))*0.253),((O12+(((TODAY()-E12)^0.5)/(336^0.5))+(LOG(J12)*4/3))*0.253))</f>
        <v>#REF!</v>
      </c>
      <c r="BB12" s="40" t="e">
        <f ca="1">IF(TODAY()-E12&gt;335,((P12+1+(LOG(J12)*4/3))*0.21)+((O12+1+(LOG(J12)*4/3))*0.341),((P12+(((TODAY()-E12)^0.5)/(336^0.5))+(LOG(J12)*4/3))*0.21)+((O12+(((TODAY()-E12)^0.5)/(336^0.5))+(LOG(J12)*4/3))*0.341))</f>
        <v>#REF!</v>
      </c>
      <c r="BC12" s="40" t="e">
        <f ca="1">BA12/2</f>
        <v>#REF!</v>
      </c>
      <c r="BD12" s="40" t="e">
        <f ca="1">IF(TODAY()-E12&gt;335,((L12+1+(LOG(J12)*4/3))*0.291),((L12+(((TODAY()-E12)^0.5)/(336^0.5))+(LOG(J12)*4/3))*0.291))</f>
        <v>#REF!</v>
      </c>
      <c r="BE12" s="40" t="e">
        <f ca="1">IF(TODAY()-E12&gt;335,((L12+1+(LOG(J12)*4/3))*0.348),((L12+(((TODAY()-E12)^0.5)/(336^0.5))+(LOG(J12)*4/3))*0.348))</f>
        <v>#REF!</v>
      </c>
      <c r="BF12" s="40" t="e">
        <f ca="1">IF(TODAY()-E12&gt;335,((M12+1+(LOG(J12)*4/3))*0.881),((M12+(((TODAY()-E12)^0.5)/(336^0.5))+(LOG(J12)*4/3))*0.881))</f>
        <v>#REF!</v>
      </c>
      <c r="BG12" s="40" t="e">
        <f ca="1">IF(TODAY()-E12&gt;335,((N12+1+(LOG(J12)*4/3))*0.574)+((O12+1+(LOG(J12)*4/3))*0.315),((N12+(((TODAY()-E12)^0.5)/(336^0.5))+(LOG(J12)*4/3))*0.574)+((O12+(((TODAY()-E12)^0.5)/(336^0.5))+(LOG(J12)*4/3))*0.315))</f>
        <v>#REF!</v>
      </c>
      <c r="BH12" s="40" t="e">
        <f ca="1">IF(TODAY()-E12&gt;335,((O12+1+(LOG(J12)*4/3))*0.241),((O12+(((TODAY()-E12)^0.5)/(336^0.5))+(LOG(J12)*4/3))*0.241))</f>
        <v>#REF!</v>
      </c>
      <c r="BI12" s="40" t="e">
        <f ca="1">IF(TODAY()-E12&gt;335,((L12+1+(LOG(J12)*4/3))*0.485),((L12+(((TODAY()-E12)^0.5)/(336^0.5))+(LOG(J12)*4/3))*0.485))</f>
        <v>#REF!</v>
      </c>
      <c r="BJ12" s="40" t="e">
        <f ca="1">IF(TODAY()-E12&gt;335,((L12+1+(LOG(J12)*4/3))*0.264),((L12+(((TODAY()-E12)^0.5)/(336^0.5))+(LOG(J12)*4/3))*0.264))</f>
        <v>#REF!</v>
      </c>
      <c r="BK12" s="40" t="e">
        <f ca="1">IF(TODAY()-E12&gt;335,((M12+1+(LOG(J12)*4/3))*0.381),((M12+(((TODAY()-E12)^0.5)/(336^0.5))+(LOG(J12)*4/3))*0.381))</f>
        <v>#REF!</v>
      </c>
      <c r="BL12" s="40" t="e">
        <f ca="1">IF(TODAY()-E12&gt;335,((N12+1+(LOG(J12)*4/3))*0.673)+((O12+1+(LOG(J12)*4/3))*0.201),((N12+(((TODAY()-E12)^0.5)/(336^0.5))+(LOG(J12)*4/3))*0.673)+((O12+(((TODAY()-E12)^0.5)/(336^0.5))+(LOG(J12)*4/3))*0.201))</f>
        <v>#REF!</v>
      </c>
      <c r="BM12" s="40" t="e">
        <f ca="1">IF(TODAY()-E12&gt;335,((O12+1+(LOG(J12)*4/3))*0.052),((O12+(((TODAY()-E12)^0.5)/(336^0.5))+(LOG(J12)*4/3))*0.052))</f>
        <v>#REF!</v>
      </c>
      <c r="BN12" s="40" t="e">
        <f ca="1">IF(TODAY()-E12&gt;335,((L12+1+(LOG(J12)*4/3))*0.18),((L12+(((TODAY()-E12)^0.5)/(336^0.5))+(LOG(J12)*4/3))*0.18))</f>
        <v>#REF!</v>
      </c>
      <c r="BO12" s="40" t="e">
        <f ca="1">IF(TODAY()-E12&gt;335,((L12+1+(LOG(J12)*4/3))*0.068),((L12+(((TODAY()-E12)^0.5)/(336^0.5))+(LOG(J12)*4/3))*0.068))</f>
        <v>#REF!</v>
      </c>
      <c r="BP12" s="40" t="e">
        <f ca="1">IF(TODAY()-E12&gt;335,((M12+1+(LOG(J12)*4/3))*0.305),((M12+(((TODAY()-E12)^0.5)/(336^0.5))+(LOG(J12)*4/3))*0.305))</f>
        <v>#REF!</v>
      </c>
      <c r="BQ12" s="40" t="e">
        <f ca="1">IF(TODAY()-E12&gt;335,((N12+1+(LOG(J12)*4/3))*1)+((O12+1+(LOG(J12)*4/3))*0.286),((N12+(((TODAY()-E12)^0.5)/(336^0.5))+(LOG(J12)*4/3))*1)+((O12+(((TODAY()-E12)^0.5)/(336^0.5))+(LOG(J12)*4/3))*0.286))</f>
        <v>#REF!</v>
      </c>
      <c r="BR12" s="40" t="e">
        <f ca="1">IF(TODAY()-E12&gt;335,((O12+1+(LOG(J12)*4/3))*0.135),((O12+(((TODAY()-E12)^0.5)/(336^0.5))+(LOG(J12)*4/3))*0.135))</f>
        <v>#REF!</v>
      </c>
      <c r="BS12" s="40" t="e">
        <f ca="1">IF(TODAY()-E12&gt;335,((L12+1+(LOG(J12)*4/3))*0.284),((L12+(((TODAY()-E12)^0.5)/(336^0.5))+(LOG(J12)*4/3))*0.284))</f>
        <v>#REF!</v>
      </c>
      <c r="BT12" s="40" t="e">
        <f ca="1">IF(TODAY()-E12&gt;335,((L12+1+(LOG(J12)*4/3))*0.244),((L12+(((TODAY()-E12)^0.5)/(336^0.5))+(LOG(J12)*4/3))*0.244))</f>
        <v>#REF!</v>
      </c>
      <c r="BU12" s="40" t="e">
        <f ca="1">IF(TODAY()-E12&gt;335,((M12+1+(LOG(J12)*4/3))*0.631),((M12+(((TODAY()-E12)^0.5)/(336^0.5))+(LOG(J12)*4/3))*0.631))</f>
        <v>#REF!</v>
      </c>
      <c r="BV12" s="40" t="e">
        <f ca="1">IF(TODAY()-E12&gt;335,((N12+1+(LOG(J12)*4/3))*0.702)+((O12+1+(LOG(J12)*4/3))*0.193),((N12+(((TODAY()-E12)^0.5)/(336^0.5))+(LOG(J12)*4/3))*0.702)+((O12+(((TODAY()-E12)^0.5)/(336^0.5))+(LOG(J12)*4/3))*0.193))</f>
        <v>#REF!</v>
      </c>
      <c r="BW12" s="40" t="e">
        <f ca="1">IF(TODAY()-E12&gt;335,((O12+1+(LOG(J12)*4/3))*0.148),((O12+(((TODAY()-E12)^0.5)/(336^0.5))+(LOG(J12)*4/3))*0.148))</f>
        <v>#REF!</v>
      </c>
      <c r="BX12" s="40" t="e">
        <f ca="1">IF(TODAY()-E12&gt;335,((M12+1+(LOG(J12)*4/3))*0.406),((M12+(((TODAY()-E12)^0.5)/(336^0.5))+(LOG(J12)*4/3))*0.406))</f>
        <v>#REF!</v>
      </c>
      <c r="BY12" s="40" t="e">
        <f ca="1">IF(D12="TEC",IF(TODAY()-E12&gt;335,((N12+1+(LOG(J12)*4/3))*0.15)+((O12+1+(LOG(J12)*4/3))*0.324)+((P12+1+(LOG(J12)*4/3))*0.127),((N12+(((TODAY()-E12)^0.5)/(336^0.5))+(LOG(J12)*4/3))*0.15)+((O12+(((TODAY()-E12)^0.5)/(336^0.5))+(LOG(J12)*4/3))*0.324)+((P12+(((TODAY()-E12)^0.5)/(336^0.5))+(LOG(J12)*4/3))*0.127)),IF(TODAY()-E12&gt;335,((N12+1+(LOG(J12)*4/3))*0.144)+((O12+1+(LOG(J12)*4/3))*0.25)+((P12+1+(LOG(J12)*4/3))*0.127),((N12+(((TODAY()-E12)^0.5)/(336^0.5))+(LOG(J12)*4/3))*0.144)+((O12+(((TODAY()-E12)^0.5)/(336^0.5))+(LOG(J12)*4/3))*0.25)+((P12+(((TODAY()-E12)^0.5)/(336^0.5))+(LOG(J12)*4/3))*0.127)))</f>
        <v>#REF!</v>
      </c>
      <c r="BZ12" s="40" t="e">
        <f ca="1">IF(D12="TEC",IF(TODAY()-E12&gt;335,((O12+1+(LOG(J12)*4/3))*0.543)+((P12+1+(LOG(J12)*4/3))*0.583),((O12+(((TODAY()-E12)^0.5)/(336^0.5))+(LOG(J12)*4/3))*0.543)+((P12+(((TODAY()-E12)^0.5)/(336^0.5))+(LOG(J12)*4/3))*0.583)),IF(TODAY()-E12&gt;335,((O12+1+(LOG(J12)*4/3))*0.543)+((P12+1+(LOG(J12)*4/3))*0.583),((O12+(((TODAY()-E12)^0.5)/(336^0.5))+(LOG(J12)*4/3))*0.543)+((P12+(((TODAY()-E12)^0.5)/(336^0.5))+(LOG(J12)*4/3))*0.583)))</f>
        <v>#REF!</v>
      </c>
      <c r="CA12" s="40" t="e">
        <f ca="1">BY12</f>
        <v>#REF!</v>
      </c>
      <c r="CB12" s="40" t="e">
        <f ca="1">IF(TODAY()-E12&gt;335,((P12+1+(LOG(J12)*4/3))*0.26)+((N12+1+(LOG(J12)*4/3))*0.221)+((O12+1+(LOG(J12)*4/3))*0.142),((P12+(((TODAY()-E12)^0.5)/(336^0.5))+(LOG(J12)*4/3))*0.26)+((N12+(((TODAY()-E12)^0.5)/(336^0.5))+(LOG(J12)*4/3))*0.221)+((P12+(((TODAY()-E12)^0.5)/(336^0.5))+(LOG(J12)*4/3))*0.142))</f>
        <v>#REF!</v>
      </c>
      <c r="CC12" s="40" t="e">
        <f ca="1">IF(TODAY()-E12&gt;335,((P12+1+(LOG(J12)*4/3))*1)+((O12+1+(LOG(J12)*4/3))*0.369),((P12+(((TODAY()-E12)^0.5)/(336^0.5))+(LOG(J12)*4/3))*1)+((O12+(((TODAY()-E12)^0.5)/(336^0.5))+(LOG(J12)*4/3))*0.369))</f>
        <v>#REF!</v>
      </c>
      <c r="CD12" s="40" t="e">
        <f ca="1">CB12</f>
        <v>#REF!</v>
      </c>
      <c r="CE12" s="40" t="e">
        <f ca="1">IF(TODAY()-E12&gt;335,((M12+1+(LOG(J12)*4/3))*0.25),((M12+(((TODAY()-E12)^0.5)/(336^0.5))+(LOG(J12)*4/3))*0.25))</f>
        <v>#REF!</v>
      </c>
    </row>
    <row r="13" spans="1:83" x14ac:dyDescent="0.25">
      <c r="A13" t="e">
        <f>PLANTILLA!#REF!</f>
        <v>#REF!</v>
      </c>
      <c r="B13" t="e">
        <f>PLANTILLA!#REF!</f>
        <v>#REF!</v>
      </c>
      <c r="C13" s="36" t="e">
        <f>PLANTILLA!#REF!</f>
        <v>#REF!</v>
      </c>
      <c r="D13" s="69" t="e">
        <f>PLANTILLA!#REF!</f>
        <v>#REF!</v>
      </c>
      <c r="E13" s="33">
        <v>42337</v>
      </c>
      <c r="F13" s="51" t="e">
        <f>PLANTILLA!#REF!</f>
        <v>#REF!</v>
      </c>
      <c r="G13" s="52" t="e">
        <f t="shared" si="73"/>
        <v>#REF!</v>
      </c>
      <c r="H13" s="52" t="e">
        <f t="shared" si="74"/>
        <v>#REF!</v>
      </c>
      <c r="I13" s="55">
        <f t="shared" ca="1" si="6"/>
        <v>1</v>
      </c>
      <c r="J13" s="42" t="e">
        <f>PLANTILLA!#REF!</f>
        <v>#REF!</v>
      </c>
      <c r="K13" s="50" t="e">
        <f>PLANTILLA!#REF!</f>
        <v>#REF!</v>
      </c>
      <c r="L13" s="50" t="e">
        <f>PLANTILLA!#REF!</f>
        <v>#REF!</v>
      </c>
      <c r="M13" s="50" t="e">
        <f>PLANTILLA!#REF!</f>
        <v>#REF!</v>
      </c>
      <c r="N13" s="50" t="e">
        <f>PLANTILLA!#REF!</f>
        <v>#REF!</v>
      </c>
      <c r="O13" s="50" t="e">
        <f>PLANTILLA!#REF!</f>
        <v>#REF!</v>
      </c>
      <c r="P13" s="50" t="e">
        <f>PLANTILLA!#REF!</f>
        <v>#REF!</v>
      </c>
      <c r="Q13" s="50" t="e">
        <f>PLANTILLA!#REF!</f>
        <v>#REF!</v>
      </c>
      <c r="R13" s="50" t="e">
        <f t="shared" si="75"/>
        <v>#REF!</v>
      </c>
      <c r="S13" s="50" t="e">
        <f t="shared" si="76"/>
        <v>#REF!</v>
      </c>
      <c r="T13" s="50" t="e">
        <f t="shared" si="77"/>
        <v>#REF!</v>
      </c>
      <c r="U13" s="50" t="e">
        <f t="shared" ca="1" si="78"/>
        <v>#REF!</v>
      </c>
      <c r="V13" s="50" t="e">
        <f t="shared" ca="1" si="79"/>
        <v>#REF!</v>
      </c>
      <c r="W13" s="40" t="e">
        <f t="shared" ca="1" si="80"/>
        <v>#REF!</v>
      </c>
      <c r="X13" s="40" t="e">
        <f t="shared" ca="1" si="81"/>
        <v>#REF!</v>
      </c>
      <c r="Y13" s="40" t="e">
        <f t="shared" ca="1" si="82"/>
        <v>#REF!</v>
      </c>
      <c r="Z13" s="40" t="e">
        <f t="shared" ca="1" si="83"/>
        <v>#REF!</v>
      </c>
      <c r="AA13" s="40" t="e">
        <f t="shared" ca="1" si="84"/>
        <v>#REF!</v>
      </c>
      <c r="AB13" s="40" t="e">
        <f t="shared" ca="1" si="85"/>
        <v>#REF!</v>
      </c>
      <c r="AC13" s="40" t="e">
        <f t="shared" ca="1" si="86"/>
        <v>#REF!</v>
      </c>
      <c r="AD13" s="40" t="e">
        <f t="shared" ca="1" si="87"/>
        <v>#REF!</v>
      </c>
      <c r="AE13" s="40" t="e">
        <f t="shared" ca="1" si="88"/>
        <v>#REF!</v>
      </c>
      <c r="AF13" s="40" t="e">
        <f t="shared" ca="1" si="89"/>
        <v>#REF!</v>
      </c>
      <c r="AG13" s="40" t="e">
        <f t="shared" ca="1" si="90"/>
        <v>#REF!</v>
      </c>
      <c r="AH13" s="40" t="e">
        <f t="shared" ca="1" si="91"/>
        <v>#REF!</v>
      </c>
      <c r="AI13" s="40" t="e">
        <f t="shared" ca="1" si="92"/>
        <v>#REF!</v>
      </c>
      <c r="AJ13" s="40" t="e">
        <f t="shared" ca="1" si="93"/>
        <v>#REF!</v>
      </c>
      <c r="AK13" s="40" t="e">
        <f t="shared" ca="1" si="94"/>
        <v>#REF!</v>
      </c>
      <c r="AL13" s="40" t="e">
        <f t="shared" ca="1" si="95"/>
        <v>#REF!</v>
      </c>
      <c r="AM13" s="40" t="e">
        <f t="shared" ca="1" si="96"/>
        <v>#REF!</v>
      </c>
      <c r="AN13" s="40" t="e">
        <f t="shared" ca="1" si="97"/>
        <v>#REF!</v>
      </c>
      <c r="AO13" s="40" t="e">
        <f t="shared" ca="1" si="98"/>
        <v>#REF!</v>
      </c>
      <c r="AP13" s="40" t="e">
        <f t="shared" ca="1" si="99"/>
        <v>#REF!</v>
      </c>
      <c r="AQ13" s="40" t="e">
        <f t="shared" ca="1" si="100"/>
        <v>#REF!</v>
      </c>
      <c r="AR13" s="40" t="e">
        <f t="shared" ca="1" si="101"/>
        <v>#REF!</v>
      </c>
      <c r="AS13" s="40" t="e">
        <f t="shared" ca="1" si="102"/>
        <v>#REF!</v>
      </c>
      <c r="AT13" s="40" t="e">
        <f t="shared" ca="1" si="103"/>
        <v>#REF!</v>
      </c>
      <c r="AU13" s="40" t="e">
        <f t="shared" ca="1" si="104"/>
        <v>#REF!</v>
      </c>
      <c r="AV13" s="40" t="e">
        <f t="shared" ca="1" si="105"/>
        <v>#REF!</v>
      </c>
      <c r="AW13" s="40" t="e">
        <f t="shared" ca="1" si="106"/>
        <v>#REF!</v>
      </c>
      <c r="AX13" s="40" t="e">
        <f t="shared" ca="1" si="107"/>
        <v>#REF!</v>
      </c>
      <c r="AY13" s="40" t="e">
        <f t="shared" ca="1" si="108"/>
        <v>#REF!</v>
      </c>
      <c r="AZ13" s="40" t="e">
        <f t="shared" ca="1" si="109"/>
        <v>#REF!</v>
      </c>
      <c r="BA13" s="40" t="e">
        <f t="shared" ca="1" si="110"/>
        <v>#REF!</v>
      </c>
      <c r="BB13" s="40" t="e">
        <f t="shared" ca="1" si="111"/>
        <v>#REF!</v>
      </c>
      <c r="BC13" s="40" t="e">
        <f t="shared" ca="1" si="112"/>
        <v>#REF!</v>
      </c>
      <c r="BD13" s="40" t="e">
        <f t="shared" ca="1" si="113"/>
        <v>#REF!</v>
      </c>
      <c r="BE13" s="40" t="e">
        <f t="shared" ca="1" si="114"/>
        <v>#REF!</v>
      </c>
      <c r="BF13" s="40" t="e">
        <f t="shared" ca="1" si="115"/>
        <v>#REF!</v>
      </c>
      <c r="BG13" s="40" t="e">
        <f t="shared" ca="1" si="116"/>
        <v>#REF!</v>
      </c>
      <c r="BH13" s="40" t="e">
        <f t="shared" ca="1" si="117"/>
        <v>#REF!</v>
      </c>
      <c r="BI13" s="40" t="e">
        <f t="shared" ca="1" si="118"/>
        <v>#REF!</v>
      </c>
      <c r="BJ13" s="40" t="e">
        <f t="shared" ca="1" si="119"/>
        <v>#REF!</v>
      </c>
      <c r="BK13" s="40" t="e">
        <f t="shared" ca="1" si="120"/>
        <v>#REF!</v>
      </c>
      <c r="BL13" s="40" t="e">
        <f t="shared" ca="1" si="121"/>
        <v>#REF!</v>
      </c>
      <c r="BM13" s="40" t="e">
        <f t="shared" ca="1" si="122"/>
        <v>#REF!</v>
      </c>
      <c r="BN13" s="40" t="e">
        <f t="shared" ca="1" si="123"/>
        <v>#REF!</v>
      </c>
      <c r="BO13" s="40" t="e">
        <f t="shared" ca="1" si="124"/>
        <v>#REF!</v>
      </c>
      <c r="BP13" s="40" t="e">
        <f t="shared" ca="1" si="125"/>
        <v>#REF!</v>
      </c>
      <c r="BQ13" s="40" t="e">
        <f t="shared" ca="1" si="126"/>
        <v>#REF!</v>
      </c>
      <c r="BR13" s="40" t="e">
        <f t="shared" ca="1" si="127"/>
        <v>#REF!</v>
      </c>
      <c r="BS13" s="40" t="e">
        <f t="shared" ca="1" si="128"/>
        <v>#REF!</v>
      </c>
      <c r="BT13" s="40" t="e">
        <f t="shared" ca="1" si="129"/>
        <v>#REF!</v>
      </c>
      <c r="BU13" s="40" t="e">
        <f t="shared" ca="1" si="130"/>
        <v>#REF!</v>
      </c>
      <c r="BV13" s="40" t="e">
        <f t="shared" ca="1" si="131"/>
        <v>#REF!</v>
      </c>
      <c r="BW13" s="40" t="e">
        <f t="shared" ca="1" si="132"/>
        <v>#REF!</v>
      </c>
      <c r="BX13" s="40" t="e">
        <f t="shared" ca="1" si="133"/>
        <v>#REF!</v>
      </c>
      <c r="BY13" s="40" t="e">
        <f t="shared" ca="1" si="134"/>
        <v>#REF!</v>
      </c>
      <c r="BZ13" s="40" t="e">
        <f t="shared" ca="1" si="135"/>
        <v>#REF!</v>
      </c>
      <c r="CA13" s="40" t="e">
        <f t="shared" ca="1" si="136"/>
        <v>#REF!</v>
      </c>
      <c r="CB13" s="40" t="e">
        <f t="shared" ca="1" si="137"/>
        <v>#REF!</v>
      </c>
      <c r="CC13" s="40" t="e">
        <f t="shared" ca="1" si="138"/>
        <v>#REF!</v>
      </c>
      <c r="CD13" s="40" t="e">
        <f t="shared" ca="1" si="139"/>
        <v>#REF!</v>
      </c>
      <c r="CE13" s="40" t="e">
        <f t="shared" ca="1" si="140"/>
        <v>#REF!</v>
      </c>
    </row>
    <row r="14" spans="1:83" x14ac:dyDescent="0.25">
      <c r="A14" t="e">
        <f>PLANTILLA!#REF!</f>
        <v>#REF!</v>
      </c>
      <c r="B14" t="e">
        <f>PLANTILLA!#REF!</f>
        <v>#REF!</v>
      </c>
      <c r="C14" s="36" t="e">
        <f>PLANTILLA!#REF!</f>
        <v>#REF!</v>
      </c>
      <c r="D14" s="69" t="e">
        <f>PLANTILLA!#REF!</f>
        <v>#REF!</v>
      </c>
      <c r="E14" s="33">
        <v>42338</v>
      </c>
      <c r="F14" s="51" t="e">
        <f>PLANTILLA!#REF!</f>
        <v>#REF!</v>
      </c>
      <c r="G14" s="52" t="e">
        <f t="shared" si="73"/>
        <v>#REF!</v>
      </c>
      <c r="H14" s="52" t="e">
        <f t="shared" si="74"/>
        <v>#REF!</v>
      </c>
      <c r="I14" s="55">
        <f t="shared" ca="1" si="6"/>
        <v>1</v>
      </c>
      <c r="J14" s="42" t="e">
        <f>PLANTILLA!#REF!</f>
        <v>#REF!</v>
      </c>
      <c r="K14" s="50" t="e">
        <f>PLANTILLA!#REF!</f>
        <v>#REF!</v>
      </c>
      <c r="L14" s="50" t="e">
        <f>PLANTILLA!#REF!</f>
        <v>#REF!</v>
      </c>
      <c r="M14" s="50" t="e">
        <f>PLANTILLA!#REF!</f>
        <v>#REF!</v>
      </c>
      <c r="N14" s="50" t="e">
        <f>PLANTILLA!#REF!</f>
        <v>#REF!</v>
      </c>
      <c r="O14" s="50" t="e">
        <f>PLANTILLA!#REF!</f>
        <v>#REF!</v>
      </c>
      <c r="P14" s="50" t="e">
        <f>PLANTILLA!#REF!</f>
        <v>#REF!</v>
      </c>
      <c r="Q14" s="50" t="e">
        <f>PLANTILLA!#REF!</f>
        <v>#REF!</v>
      </c>
      <c r="R14" s="50" t="e">
        <f t="shared" si="75"/>
        <v>#REF!</v>
      </c>
      <c r="S14" s="50" t="e">
        <f t="shared" si="76"/>
        <v>#REF!</v>
      </c>
      <c r="T14" s="50" t="e">
        <f t="shared" si="77"/>
        <v>#REF!</v>
      </c>
      <c r="U14" s="50" t="e">
        <f t="shared" ca="1" si="78"/>
        <v>#REF!</v>
      </c>
      <c r="V14" s="50" t="e">
        <f t="shared" ca="1" si="79"/>
        <v>#REF!</v>
      </c>
      <c r="W14" s="40" t="e">
        <f t="shared" ca="1" si="80"/>
        <v>#REF!</v>
      </c>
      <c r="X14" s="40" t="e">
        <f t="shared" ca="1" si="81"/>
        <v>#REF!</v>
      </c>
      <c r="Y14" s="40" t="e">
        <f t="shared" ca="1" si="82"/>
        <v>#REF!</v>
      </c>
      <c r="Z14" s="40" t="e">
        <f t="shared" ca="1" si="83"/>
        <v>#REF!</v>
      </c>
      <c r="AA14" s="40" t="e">
        <f t="shared" ca="1" si="84"/>
        <v>#REF!</v>
      </c>
      <c r="AB14" s="40" t="e">
        <f t="shared" ca="1" si="85"/>
        <v>#REF!</v>
      </c>
      <c r="AC14" s="40" t="e">
        <f t="shared" ca="1" si="86"/>
        <v>#REF!</v>
      </c>
      <c r="AD14" s="40" t="e">
        <f t="shared" ca="1" si="87"/>
        <v>#REF!</v>
      </c>
      <c r="AE14" s="40" t="e">
        <f t="shared" ca="1" si="88"/>
        <v>#REF!</v>
      </c>
      <c r="AF14" s="40" t="e">
        <f t="shared" ca="1" si="89"/>
        <v>#REF!</v>
      </c>
      <c r="AG14" s="40" t="e">
        <f t="shared" ca="1" si="90"/>
        <v>#REF!</v>
      </c>
      <c r="AH14" s="40" t="e">
        <f t="shared" ca="1" si="91"/>
        <v>#REF!</v>
      </c>
      <c r="AI14" s="40" t="e">
        <f t="shared" ca="1" si="92"/>
        <v>#REF!</v>
      </c>
      <c r="AJ14" s="40" t="e">
        <f t="shared" ca="1" si="93"/>
        <v>#REF!</v>
      </c>
      <c r="AK14" s="40" t="e">
        <f t="shared" ca="1" si="94"/>
        <v>#REF!</v>
      </c>
      <c r="AL14" s="40" t="e">
        <f t="shared" ca="1" si="95"/>
        <v>#REF!</v>
      </c>
      <c r="AM14" s="40" t="e">
        <f t="shared" ca="1" si="96"/>
        <v>#REF!</v>
      </c>
      <c r="AN14" s="40" t="e">
        <f t="shared" ca="1" si="97"/>
        <v>#REF!</v>
      </c>
      <c r="AO14" s="40" t="e">
        <f t="shared" ca="1" si="98"/>
        <v>#REF!</v>
      </c>
      <c r="AP14" s="40" t="e">
        <f t="shared" ca="1" si="99"/>
        <v>#REF!</v>
      </c>
      <c r="AQ14" s="40" t="e">
        <f t="shared" ca="1" si="100"/>
        <v>#REF!</v>
      </c>
      <c r="AR14" s="40" t="e">
        <f t="shared" ca="1" si="101"/>
        <v>#REF!</v>
      </c>
      <c r="AS14" s="40" t="e">
        <f t="shared" ca="1" si="102"/>
        <v>#REF!</v>
      </c>
      <c r="AT14" s="40" t="e">
        <f t="shared" ca="1" si="103"/>
        <v>#REF!</v>
      </c>
      <c r="AU14" s="40" t="e">
        <f t="shared" ca="1" si="104"/>
        <v>#REF!</v>
      </c>
      <c r="AV14" s="40" t="e">
        <f t="shared" ca="1" si="105"/>
        <v>#REF!</v>
      </c>
      <c r="AW14" s="40" t="e">
        <f t="shared" ca="1" si="106"/>
        <v>#REF!</v>
      </c>
      <c r="AX14" s="40" t="e">
        <f t="shared" ca="1" si="107"/>
        <v>#REF!</v>
      </c>
      <c r="AY14" s="40" t="e">
        <f t="shared" ca="1" si="108"/>
        <v>#REF!</v>
      </c>
      <c r="AZ14" s="40" t="e">
        <f t="shared" ca="1" si="109"/>
        <v>#REF!</v>
      </c>
      <c r="BA14" s="40" t="e">
        <f t="shared" ca="1" si="110"/>
        <v>#REF!</v>
      </c>
      <c r="BB14" s="40" t="e">
        <f t="shared" ca="1" si="111"/>
        <v>#REF!</v>
      </c>
      <c r="BC14" s="40" t="e">
        <f t="shared" ca="1" si="112"/>
        <v>#REF!</v>
      </c>
      <c r="BD14" s="40" t="e">
        <f t="shared" ca="1" si="113"/>
        <v>#REF!</v>
      </c>
      <c r="BE14" s="40" t="e">
        <f t="shared" ca="1" si="114"/>
        <v>#REF!</v>
      </c>
      <c r="BF14" s="40" t="e">
        <f t="shared" ca="1" si="115"/>
        <v>#REF!</v>
      </c>
      <c r="BG14" s="40" t="e">
        <f t="shared" ca="1" si="116"/>
        <v>#REF!</v>
      </c>
      <c r="BH14" s="40" t="e">
        <f t="shared" ca="1" si="117"/>
        <v>#REF!</v>
      </c>
      <c r="BI14" s="40" t="e">
        <f t="shared" ca="1" si="118"/>
        <v>#REF!</v>
      </c>
      <c r="BJ14" s="40" t="e">
        <f t="shared" ca="1" si="119"/>
        <v>#REF!</v>
      </c>
      <c r="BK14" s="40" t="e">
        <f t="shared" ca="1" si="120"/>
        <v>#REF!</v>
      </c>
      <c r="BL14" s="40" t="e">
        <f t="shared" ca="1" si="121"/>
        <v>#REF!</v>
      </c>
      <c r="BM14" s="40" t="e">
        <f t="shared" ca="1" si="122"/>
        <v>#REF!</v>
      </c>
      <c r="BN14" s="40" t="e">
        <f t="shared" ca="1" si="123"/>
        <v>#REF!</v>
      </c>
      <c r="BO14" s="40" t="e">
        <f t="shared" ca="1" si="124"/>
        <v>#REF!</v>
      </c>
      <c r="BP14" s="40" t="e">
        <f t="shared" ca="1" si="125"/>
        <v>#REF!</v>
      </c>
      <c r="BQ14" s="40" t="e">
        <f t="shared" ca="1" si="126"/>
        <v>#REF!</v>
      </c>
      <c r="BR14" s="40" t="e">
        <f t="shared" ca="1" si="127"/>
        <v>#REF!</v>
      </c>
      <c r="BS14" s="40" t="e">
        <f t="shared" ca="1" si="128"/>
        <v>#REF!</v>
      </c>
      <c r="BT14" s="40" t="e">
        <f t="shared" ca="1" si="129"/>
        <v>#REF!</v>
      </c>
      <c r="BU14" s="40" t="e">
        <f t="shared" ca="1" si="130"/>
        <v>#REF!</v>
      </c>
      <c r="BV14" s="40" t="e">
        <f t="shared" ca="1" si="131"/>
        <v>#REF!</v>
      </c>
      <c r="BW14" s="40" t="e">
        <f t="shared" ca="1" si="132"/>
        <v>#REF!</v>
      </c>
      <c r="BX14" s="40" t="e">
        <f t="shared" ca="1" si="133"/>
        <v>#REF!</v>
      </c>
      <c r="BY14" s="40" t="e">
        <f t="shared" ca="1" si="134"/>
        <v>#REF!</v>
      </c>
      <c r="BZ14" s="40" t="e">
        <f t="shared" ca="1" si="135"/>
        <v>#REF!</v>
      </c>
      <c r="CA14" s="40" t="e">
        <f t="shared" ca="1" si="136"/>
        <v>#REF!</v>
      </c>
      <c r="CB14" s="40" t="e">
        <f t="shared" ca="1" si="137"/>
        <v>#REF!</v>
      </c>
      <c r="CC14" s="40" t="e">
        <f t="shared" ca="1" si="138"/>
        <v>#REF!</v>
      </c>
      <c r="CD14" s="40" t="e">
        <f t="shared" ca="1" si="139"/>
        <v>#REF!</v>
      </c>
      <c r="CE14" s="40" t="e">
        <f t="shared" ca="1" si="140"/>
        <v>#REF!</v>
      </c>
    </row>
    <row r="15" spans="1:83" x14ac:dyDescent="0.25">
      <c r="A15" t="str">
        <f>PLANTILLA!D23</f>
        <v>Adam Moss</v>
      </c>
      <c r="B15">
        <f>PLANTILLA!E23</f>
        <v>30</v>
      </c>
      <c r="C15" s="36">
        <f ca="1">PLANTILLA!F23</f>
        <v>31</v>
      </c>
      <c r="D15" s="69" t="str">
        <f>PLANTILLA!G23</f>
        <v>RAP</v>
      </c>
      <c r="E15" s="33">
        <v>42339</v>
      </c>
      <c r="F15" s="51">
        <f>PLANTILLA!Q23</f>
        <v>6</v>
      </c>
      <c r="G15" s="52">
        <f t="shared" si="73"/>
        <v>0.92582009977255142</v>
      </c>
      <c r="H15" s="52">
        <f t="shared" si="74"/>
        <v>0.99928545900129484</v>
      </c>
      <c r="I15" s="55">
        <f t="shared" ca="1" si="6"/>
        <v>1</v>
      </c>
      <c r="J15" s="42">
        <f>PLANTILLA!I23</f>
        <v>9.8000000000000007</v>
      </c>
      <c r="K15" s="50">
        <f>PLANTILLA!X23</f>
        <v>0</v>
      </c>
      <c r="L15" s="50">
        <f>PLANTILLA!Y23</f>
        <v>3.2</v>
      </c>
      <c r="M15" s="50">
        <f>PLANTILLA!Z23</f>
        <v>14.399999999999999</v>
      </c>
      <c r="N15" s="50">
        <f>PLANTILLA!AA23</f>
        <v>2.2999999999999998</v>
      </c>
      <c r="O15" s="50">
        <f>PLANTILLA!AB23</f>
        <v>14.266</v>
      </c>
      <c r="P15" s="50">
        <f>PLANTILLA!AC23</f>
        <v>9.0999999999999961</v>
      </c>
      <c r="Q15" s="50">
        <f>PLANTILLA!AD23</f>
        <v>16.299999999999997</v>
      </c>
      <c r="R15" s="50">
        <f t="shared" si="75"/>
        <v>4.3414999999999999</v>
      </c>
      <c r="S15" s="50">
        <f t="shared" si="76"/>
        <v>0.94399999999999973</v>
      </c>
      <c r="T15" s="50">
        <f t="shared" si="77"/>
        <v>0.61699999999999988</v>
      </c>
      <c r="U15" s="50">
        <f t="shared" ca="1" si="78"/>
        <v>17.24028375845818</v>
      </c>
      <c r="V15" s="50">
        <f t="shared" ca="1" si="79"/>
        <v>18.608328846085634</v>
      </c>
      <c r="W15" s="40">
        <f t="shared" ca="1" si="80"/>
        <v>2.9099871521060638</v>
      </c>
      <c r="X15" s="40">
        <f t="shared" ca="1" si="81"/>
        <v>4.3572304849586807</v>
      </c>
      <c r="Y15" s="40">
        <f t="shared" ca="1" si="82"/>
        <v>2.9099871521060638</v>
      </c>
      <c r="Z15" s="40">
        <f t="shared" ca="1" si="83"/>
        <v>2.8491635400764364</v>
      </c>
      <c r="AA15" s="40">
        <f t="shared" ca="1" si="84"/>
        <v>5.5216347675899931</v>
      </c>
      <c r="AB15" s="40">
        <f t="shared" ca="1" si="85"/>
        <v>1.4245817700382182</v>
      </c>
      <c r="AC15" s="40">
        <f t="shared" ca="1" si="86"/>
        <v>3.9797490746864184</v>
      </c>
      <c r="AD15" s="40">
        <f t="shared" ca="1" si="87"/>
        <v>2.0871779421490175</v>
      </c>
      <c r="AE15" s="40">
        <f t="shared" ca="1" si="88"/>
        <v>3.992141936967565</v>
      </c>
      <c r="AF15" s="40">
        <f t="shared" ca="1" si="89"/>
        <v>1.0435889710745088</v>
      </c>
      <c r="AG15" s="40">
        <f t="shared" ca="1" si="90"/>
        <v>6.4378293855221473</v>
      </c>
      <c r="AH15" s="40">
        <f t="shared" ca="1" si="91"/>
        <v>5.0799039861827939</v>
      </c>
      <c r="AI15" s="40">
        <f t="shared" ca="1" si="92"/>
        <v>2.2859567937822569</v>
      </c>
      <c r="AJ15" s="40">
        <f t="shared" ca="1" si="93"/>
        <v>2.7925130061875292</v>
      </c>
      <c r="AK15" s="40">
        <f t="shared" ca="1" si="94"/>
        <v>2.7175212433429157</v>
      </c>
      <c r="AL15" s="40">
        <f t="shared" ca="1" si="95"/>
        <v>4.1633126147628552</v>
      </c>
      <c r="AM15" s="40">
        <f t="shared" ca="1" si="96"/>
        <v>3.9093174154537147</v>
      </c>
      <c r="AN15" s="40">
        <f t="shared" ca="1" si="97"/>
        <v>3.1098130061875287</v>
      </c>
      <c r="AO15" s="40">
        <f t="shared" ca="1" si="98"/>
        <v>1.9189828130659177</v>
      </c>
      <c r="AP15" s="40">
        <f t="shared" ca="1" si="99"/>
        <v>1.4908413872492983</v>
      </c>
      <c r="AQ15" s="40">
        <f t="shared" ca="1" si="100"/>
        <v>3.2798510519484556</v>
      </c>
      <c r="AR15" s="40">
        <f t="shared" ca="1" si="101"/>
        <v>0.74542069362464913</v>
      </c>
      <c r="AS15" s="40">
        <f t="shared" ca="1" si="102"/>
        <v>15.785223220604953</v>
      </c>
      <c r="AT15" s="40">
        <f t="shared" ca="1" si="103"/>
        <v>2.1563925197866993</v>
      </c>
      <c r="AU15" s="40">
        <f t="shared" ca="1" si="104"/>
        <v>3.9664589869038673</v>
      </c>
      <c r="AV15" s="40">
        <f t="shared" ca="1" si="105"/>
        <v>1.0781962598933497</v>
      </c>
      <c r="AW15" s="40">
        <f t="shared" ca="1" si="106"/>
        <v>1.0435889710745088</v>
      </c>
      <c r="AX15" s="40">
        <f t="shared" ca="1" si="107"/>
        <v>2.2086539070359974</v>
      </c>
      <c r="AY15" s="40">
        <f t="shared" ca="1" si="108"/>
        <v>0.52179448553725438</v>
      </c>
      <c r="AZ15" s="40">
        <f t="shared" ca="1" si="109"/>
        <v>16.721634767589993</v>
      </c>
      <c r="BA15" s="40">
        <f t="shared" ca="1" si="110"/>
        <v>4.1966715962002681</v>
      </c>
      <c r="BB15" s="40">
        <f t="shared" ca="1" si="111"/>
        <v>8.0549267569420842</v>
      </c>
      <c r="BC15" s="40">
        <f t="shared" ca="1" si="112"/>
        <v>2.098335798100134</v>
      </c>
      <c r="BD15" s="40">
        <f t="shared" ca="1" si="113"/>
        <v>1.606795717368688</v>
      </c>
      <c r="BE15" s="40">
        <f t="shared" ca="1" si="114"/>
        <v>1.9215288991213175</v>
      </c>
      <c r="BF15" s="40">
        <f t="shared" ca="1" si="115"/>
        <v>14.731760230246785</v>
      </c>
      <c r="BG15" s="40">
        <f t="shared" ca="1" si="116"/>
        <v>7.8779233083875031</v>
      </c>
      <c r="BH15" s="40">
        <f t="shared" ca="1" si="117"/>
        <v>3.9976199789891882</v>
      </c>
      <c r="BI15" s="40">
        <f t="shared" ca="1" si="118"/>
        <v>2.6779928622811466</v>
      </c>
      <c r="BJ15" s="40">
        <f t="shared" ca="1" si="119"/>
        <v>1.4577115786437582</v>
      </c>
      <c r="BK15" s="40">
        <f t="shared" ca="1" si="120"/>
        <v>6.3709428464517872</v>
      </c>
      <c r="BL15" s="40">
        <f t="shared" ca="1" si="121"/>
        <v>6.4444747868736538</v>
      </c>
      <c r="BM15" s="40">
        <f t="shared" ca="1" si="122"/>
        <v>0.8625570079146796</v>
      </c>
      <c r="BN15" s="40">
        <f t="shared" ca="1" si="123"/>
        <v>0.9938942581661987</v>
      </c>
      <c r="BO15" s="40">
        <f t="shared" ca="1" si="124"/>
        <v>0.37547116419611953</v>
      </c>
      <c r="BP15" s="40">
        <f t="shared" ca="1" si="125"/>
        <v>5.1000986041149474</v>
      </c>
      <c r="BQ15" s="40">
        <f t="shared" ca="1" si="126"/>
        <v>9.365698311120731</v>
      </c>
      <c r="BR15" s="40">
        <f t="shared" ca="1" si="127"/>
        <v>2.2393306936246491</v>
      </c>
      <c r="BS15" s="40">
        <f t="shared" ca="1" si="128"/>
        <v>1.5681442739955578</v>
      </c>
      <c r="BT15" s="40">
        <f t="shared" ca="1" si="129"/>
        <v>1.3472788832919582</v>
      </c>
      <c r="BU15" s="40">
        <f t="shared" ca="1" si="130"/>
        <v>10.551351538349286</v>
      </c>
      <c r="BV15" s="40">
        <f t="shared" ca="1" si="131"/>
        <v>6.4458011169930431</v>
      </c>
      <c r="BW15" s="40">
        <f t="shared" ca="1" si="132"/>
        <v>2.4549699456033189</v>
      </c>
      <c r="BX15" s="40">
        <f t="shared" ca="1" si="133"/>
        <v>6.788983715641538</v>
      </c>
      <c r="BY15" s="40">
        <f t="shared" ca="1" si="134"/>
        <v>6.2629717139143857</v>
      </c>
      <c r="BZ15" s="40">
        <f t="shared" ca="1" si="135"/>
        <v>15.665898748306329</v>
      </c>
      <c r="CA15" s="40">
        <f t="shared" ca="1" si="136"/>
        <v>6.2629717139143857</v>
      </c>
      <c r="CB15" s="40">
        <f t="shared" ca="1" si="137"/>
        <v>6.3464504602085645</v>
      </c>
      <c r="CC15" s="40">
        <f t="shared" ca="1" si="138"/>
        <v>17.542471996830695</v>
      </c>
      <c r="CD15" s="40">
        <f t="shared" ca="1" si="139"/>
        <v>6.3464504602085645</v>
      </c>
      <c r="CE15" s="40">
        <f t="shared" ca="1" si="140"/>
        <v>4.1804086918974983</v>
      </c>
    </row>
    <row r="16" spans="1:83" x14ac:dyDescent="0.25">
      <c r="A16" t="str">
        <f>PLANTILLA!D24</f>
        <v>Rasheed Da'na</v>
      </c>
      <c r="B16">
        <f>PLANTILLA!E24</f>
        <v>29</v>
      </c>
      <c r="C16" s="36">
        <f ca="1">PLANTILLA!F24</f>
        <v>88</v>
      </c>
      <c r="D16" s="69" t="str">
        <f>PLANTILLA!G24</f>
        <v>RAP</v>
      </c>
      <c r="E16" s="33">
        <v>42341</v>
      </c>
      <c r="F16" s="51">
        <f>PLANTILLA!Q24</f>
        <v>5</v>
      </c>
      <c r="G16" s="52">
        <f t="shared" si="73"/>
        <v>0.84515425472851657</v>
      </c>
      <c r="H16" s="52">
        <f t="shared" si="74"/>
        <v>0.92504826128926143</v>
      </c>
      <c r="I16" s="55">
        <f t="shared" ca="1" si="6"/>
        <v>1</v>
      </c>
      <c r="J16" s="42">
        <f>PLANTILLA!I24</f>
        <v>9.5</v>
      </c>
      <c r="K16" s="50">
        <f>PLANTILLA!X24</f>
        <v>0</v>
      </c>
      <c r="L16" s="50">
        <f>PLANTILLA!Y24</f>
        <v>2.0384615384615383</v>
      </c>
      <c r="M16" s="50">
        <f>PLANTILLA!Z24</f>
        <v>13.499999999999998</v>
      </c>
      <c r="N16" s="50">
        <f>PLANTILLA!AA24</f>
        <v>4.0999999999999996</v>
      </c>
      <c r="O16" s="50">
        <f>PLANTILLA!AB24</f>
        <v>14.352222222222222</v>
      </c>
      <c r="P16" s="50">
        <f>PLANTILLA!AC24</f>
        <v>10.095333333333334</v>
      </c>
      <c r="Q16" s="50">
        <f>PLANTILLA!AD24</f>
        <v>15.399999999999999</v>
      </c>
      <c r="R16" s="50">
        <f t="shared" si="75"/>
        <v>4.2178632478632476</v>
      </c>
      <c r="S16" s="50">
        <f t="shared" si="76"/>
        <v>0.96676666666666655</v>
      </c>
      <c r="T16" s="50">
        <f t="shared" si="77"/>
        <v>0.54353846153846141</v>
      </c>
      <c r="U16" s="50">
        <f t="shared" ca="1" si="78"/>
        <v>14.962299464158837</v>
      </c>
      <c r="V16" s="50">
        <f t="shared" ca="1" si="79"/>
        <v>16.37671351326911</v>
      </c>
      <c r="W16" s="40">
        <f t="shared" ca="1" si="80"/>
        <v>2.5736856611716035</v>
      </c>
      <c r="X16" s="40">
        <f t="shared" ca="1" si="81"/>
        <v>3.8403343864166906</v>
      </c>
      <c r="Y16" s="40">
        <f t="shared" ca="1" si="82"/>
        <v>2.5736856611716035</v>
      </c>
      <c r="Z16" s="40">
        <f t="shared" ca="1" si="83"/>
        <v>2.240519994284881</v>
      </c>
      <c r="AA16" s="40">
        <f t="shared" ca="1" si="84"/>
        <v>4.3420930121800021</v>
      </c>
      <c r="AB16" s="40">
        <f t="shared" ca="1" si="85"/>
        <v>1.1202599971424405</v>
      </c>
      <c r="AC16" s="40">
        <f t="shared" ca="1" si="86"/>
        <v>3.7612642907449936</v>
      </c>
      <c r="AD16" s="40">
        <f t="shared" ca="1" si="87"/>
        <v>1.6413111586040408</v>
      </c>
      <c r="AE16" s="40">
        <f t="shared" ca="1" si="88"/>
        <v>3.1393332478061415</v>
      </c>
      <c r="AF16" s="40">
        <f t="shared" ca="1" si="89"/>
        <v>0.82065557930202038</v>
      </c>
      <c r="AG16" s="40">
        <f t="shared" ca="1" si="90"/>
        <v>6.0843981173816077</v>
      </c>
      <c r="AH16" s="40">
        <f t="shared" ca="1" si="91"/>
        <v>3.9947255712056022</v>
      </c>
      <c r="AI16" s="40">
        <f t="shared" ca="1" si="92"/>
        <v>1.7976265070425208</v>
      </c>
      <c r="AJ16" s="40">
        <f t="shared" ca="1" si="93"/>
        <v>2.6392064561109834</v>
      </c>
      <c r="AK16" s="40">
        <f t="shared" ca="1" si="94"/>
        <v>3.7653353065464561</v>
      </c>
      <c r="AL16" s="40">
        <f t="shared" ca="1" si="95"/>
        <v>3.2739381311837215</v>
      </c>
      <c r="AM16" s="40">
        <f t="shared" ca="1" si="96"/>
        <v>3.0742018526234411</v>
      </c>
      <c r="AN16" s="40">
        <f t="shared" ca="1" si="97"/>
        <v>2.9565064561109837</v>
      </c>
      <c r="AO16" s="40">
        <f t="shared" ca="1" si="98"/>
        <v>1.8781904798155327</v>
      </c>
      <c r="AP16" s="40">
        <f t="shared" ca="1" si="99"/>
        <v>1.1723651132886006</v>
      </c>
      <c r="AQ16" s="40">
        <f t="shared" ca="1" si="100"/>
        <v>2.5792032492349213</v>
      </c>
      <c r="AR16" s="40">
        <f t="shared" ca="1" si="101"/>
        <v>0.5861825566443003</v>
      </c>
      <c r="AS16" s="40">
        <f t="shared" ca="1" si="102"/>
        <v>14.918628111190227</v>
      </c>
      <c r="AT16" s="40">
        <f t="shared" ca="1" si="103"/>
        <v>2.1652609804722891</v>
      </c>
      <c r="AU16" s="40">
        <f t="shared" ca="1" si="104"/>
        <v>4.1437233551328427</v>
      </c>
      <c r="AV16" s="40">
        <f t="shared" ca="1" si="105"/>
        <v>1.0826304902361445</v>
      </c>
      <c r="AW16" s="40">
        <f t="shared" ca="1" si="106"/>
        <v>0.82065557930202038</v>
      </c>
      <c r="AX16" s="40">
        <f t="shared" ca="1" si="107"/>
        <v>1.7368372048720009</v>
      </c>
      <c r="AY16" s="40">
        <f t="shared" ca="1" si="108"/>
        <v>0.41032778965101019</v>
      </c>
      <c r="AZ16" s="40">
        <f t="shared" ca="1" si="109"/>
        <v>15.803631473718461</v>
      </c>
      <c r="BA16" s="40">
        <f t="shared" ca="1" si="110"/>
        <v>4.2139309850729934</v>
      </c>
      <c r="BB16" s="40">
        <f t="shared" ca="1" si="111"/>
        <v>8.2834287197966514</v>
      </c>
      <c r="BC16" s="40">
        <f t="shared" ca="1" si="112"/>
        <v>2.1069654925364967</v>
      </c>
      <c r="BD16" s="40">
        <f t="shared" ca="1" si="113"/>
        <v>1.2635490665443805</v>
      </c>
      <c r="BE16" s="40">
        <f t="shared" ca="1" si="114"/>
        <v>1.5110483682386406</v>
      </c>
      <c r="BF16" s="40">
        <f t="shared" ca="1" si="115"/>
        <v>13.922999328345965</v>
      </c>
      <c r="BG16" s="40">
        <f t="shared" ca="1" si="116"/>
        <v>8.9222783801357135</v>
      </c>
      <c r="BH16" s="40">
        <f t="shared" ca="1" si="117"/>
        <v>4.014060740721705</v>
      </c>
      <c r="BI16" s="40">
        <f t="shared" ca="1" si="118"/>
        <v>2.1059151109073011</v>
      </c>
      <c r="BJ16" s="40">
        <f t="shared" ca="1" si="119"/>
        <v>1.1463125552155207</v>
      </c>
      <c r="BK16" s="40">
        <f t="shared" ca="1" si="120"/>
        <v>6.021183591486734</v>
      </c>
      <c r="BL16" s="40">
        <f t="shared" ca="1" si="121"/>
        <v>7.6574705746966032</v>
      </c>
      <c r="BM16" s="40">
        <f t="shared" ca="1" si="122"/>
        <v>0.86610439218891555</v>
      </c>
      <c r="BN16" s="40">
        <f t="shared" ca="1" si="123"/>
        <v>0.78157674219240036</v>
      </c>
      <c r="BO16" s="40">
        <f t="shared" ca="1" si="124"/>
        <v>0.29526232482824016</v>
      </c>
      <c r="BP16" s="40">
        <f t="shared" ca="1" si="125"/>
        <v>4.8201075994841309</v>
      </c>
      <c r="BQ16" s="40">
        <f t="shared" ca="1" si="126"/>
        <v>11.167205630757499</v>
      </c>
      <c r="BR16" s="40">
        <f t="shared" ca="1" si="127"/>
        <v>2.2485402489519926</v>
      </c>
      <c r="BS16" s="40">
        <f t="shared" ca="1" si="128"/>
        <v>1.2331544154591205</v>
      </c>
      <c r="BT16" s="40">
        <f t="shared" ca="1" si="129"/>
        <v>1.0594706949719206</v>
      </c>
      <c r="BU16" s="40">
        <f t="shared" ca="1" si="130"/>
        <v>9.9720914599163493</v>
      </c>
      <c r="BV16" s="40">
        <f t="shared" ca="1" si="131"/>
        <v>7.7099290578669137</v>
      </c>
      <c r="BW16" s="40">
        <f t="shared" ca="1" si="132"/>
        <v>2.4650663469992211</v>
      </c>
      <c r="BX16" s="40">
        <f t="shared" ca="1" si="133"/>
        <v>6.416274378329696</v>
      </c>
      <c r="BY16" s="40">
        <f t="shared" ca="1" si="134"/>
        <v>6.6607548866962079</v>
      </c>
      <c r="BZ16" s="40">
        <f t="shared" ca="1" si="135"/>
        <v>16.272725039406989</v>
      </c>
      <c r="CA16" s="40">
        <f t="shared" ca="1" si="136"/>
        <v>6.6607548866962079</v>
      </c>
      <c r="CB16" s="40">
        <f t="shared" ca="1" si="137"/>
        <v>7.0040646303488252</v>
      </c>
      <c r="CC16" s="40">
        <f t="shared" ca="1" si="138"/>
        <v>18.544974820853909</v>
      </c>
      <c r="CD16" s="40">
        <f t="shared" ca="1" si="139"/>
        <v>7.0040646303488252</v>
      </c>
      <c r="CE16" s="40">
        <f t="shared" ca="1" si="140"/>
        <v>3.9509078684296153</v>
      </c>
    </row>
    <row r="17" spans="1:83" x14ac:dyDescent="0.25">
      <c r="A17" t="str">
        <f>PLANTILLA!D12</f>
        <v>Enrique Cubas</v>
      </c>
      <c r="B17">
        <f>PLANTILLA!E12</f>
        <v>17</v>
      </c>
      <c r="C17" s="36">
        <f ca="1">PLANTILLA!F12</f>
        <v>42</v>
      </c>
      <c r="D17" s="240" t="str">
        <f>PLANTILLA!G12</f>
        <v>RAP</v>
      </c>
      <c r="E17" s="33">
        <v>42342</v>
      </c>
      <c r="F17" s="51">
        <f>PLANTILLA!Q12</f>
        <v>6</v>
      </c>
      <c r="G17" s="52">
        <f t="shared" ref="G17:G28" si="141">(F17/7)^0.5</f>
        <v>0.92582009977255142</v>
      </c>
      <c r="H17" s="52">
        <f t="shared" ref="H17:H28" si="142">IF(F17=7,1,((F17+0.99)/7)^0.5)</f>
        <v>0.99928545900129484</v>
      </c>
      <c r="I17" s="55">
        <f t="shared" ref="I17:I28" ca="1" si="143">IF(TODAY()-E17&gt;335,1,((TODAY()-E17)^0.5)/336^0.5)</f>
        <v>1</v>
      </c>
      <c r="J17" s="42">
        <f>PLANTILLA!I12</f>
        <v>1</v>
      </c>
      <c r="K17" s="50">
        <f>PLANTILLA!X12</f>
        <v>0</v>
      </c>
      <c r="L17" s="50">
        <f>PLANTILLA!Y12</f>
        <v>2</v>
      </c>
      <c r="M17" s="50">
        <f>PLANTILLA!Z12</f>
        <v>5.7</v>
      </c>
      <c r="N17" s="50">
        <f>PLANTILLA!AA12</f>
        <v>5.5</v>
      </c>
      <c r="O17" s="50">
        <f>PLANTILLA!AB12</f>
        <v>5.25</v>
      </c>
      <c r="P17" s="50">
        <f>PLANTILLA!AC12</f>
        <v>3</v>
      </c>
      <c r="Q17" s="50">
        <f>PLANTILLA!AD12</f>
        <v>5</v>
      </c>
      <c r="R17" s="50">
        <f t="shared" ref="R17:R28" si="144">((2*(O17+1))+(L17+1))/8</f>
        <v>1.9375</v>
      </c>
      <c r="S17" s="50">
        <f t="shared" ref="S17:S28" si="145">(0.5*P17+ 0.3*Q17)/10</f>
        <v>0.3</v>
      </c>
      <c r="T17" s="50">
        <f t="shared" ref="T17:T28" si="146">(0.4*L17+0.3*Q17)/10</f>
        <v>0.22999999999999998</v>
      </c>
      <c r="U17" s="50">
        <f t="shared" ref="U17:U28" ca="1" si="147">IF(TODAY()-E17&gt;335,(Q17+1+(LOG(J17)*4/3))*(F17/7)^0.5,(Q17+((TODAY()-E17)^0.5)/(336^0.5)+(LOG(J17)*4/3))*(F17/7)^0.5)</f>
        <v>5.5549205986353085</v>
      </c>
      <c r="V17" s="50">
        <f t="shared" ref="V17:V28" ca="1" si="148">IF(F17=7,U17,IF(TODAY()-E17&gt;335,(Q17+1+(LOG(J17)*4/3))*((F17+0.99)/7)^0.5,(Q17+((TODAY()-E17)^0.5)/(336^0.5)+(LOG(J17)*4/3))*((F17+0.99)/7)^0.5))</f>
        <v>5.9957127540077693</v>
      </c>
      <c r="W17" s="40">
        <f t="shared" ref="W17:W28" ca="1" si="149">IF(TODAY()-E17&gt;335,((K17+1+(LOG(J17)*4/3))*0.597)+((L17+1+(LOG(J17)*4/3))*0.276),((K17+(((TODAY()-E17)^0.5)/(336^0.5))+(LOG(J17)*4/3))*0.597)+((L17+(((TODAY()-E17)^0.5)/(336^0.5))+(LOG(J17)*4/3))*0.276))</f>
        <v>1.425</v>
      </c>
      <c r="X17" s="40">
        <f t="shared" ref="X17:X28" ca="1" si="150">IF(TODAY()-E17&gt;335,((K17+1+(LOG(J17)*4/3))*0.866)+((L17+1+(LOG(J17)*4/3))*0.425),((K17+(((TODAY()-E17)^0.5)/(336^0.5))+(LOG(J17)*4/3))*0.866)+((L17+(((TODAY()-E17)^0.5)/(336^0.5))+(LOG(J17)*4/3))*0.425))</f>
        <v>2.141</v>
      </c>
      <c r="Y17" s="40">
        <f t="shared" ref="Y17:Y28" ca="1" si="151">W17</f>
        <v>1.425</v>
      </c>
      <c r="Z17" s="40">
        <f t="shared" ref="Z17:Z28" ca="1" si="152">IF(TODAY()-E17&gt;335,((L17+1+(LOG(J17)*4/3))*0.516),((L17+(((TODAY()-E17)^0.5)/(336^0.516))+(LOG(J17)*4/3))*0.516))</f>
        <v>1.548</v>
      </c>
      <c r="AA17" s="40">
        <f t="shared" ref="AA17:AA28" ca="1" si="153">IF(TODAY()-E17&gt;335,((L17+1+(LOG(J17)*4/3))*1),((L17+(((TODAY()-E17)^0.5)/(336^0.5))+(LOG(J17)*4/3))*1))</f>
        <v>3</v>
      </c>
      <c r="AB17" s="40">
        <f t="shared" ref="AB17:AB28" ca="1" si="154">Z17/2</f>
        <v>0.77400000000000002</v>
      </c>
      <c r="AC17" s="40">
        <f t="shared" ref="AC17:AC28" ca="1" si="155">IF(TODAY()-E17&gt;335,((M17+1+(LOG(J17)*4/3))*0.238),((M17+(((TODAY()-E17)^0.5)/(336^0.238))+(LOG(J17)*4/3))*0.238))</f>
        <v>1.5946</v>
      </c>
      <c r="AD17" s="40">
        <f t="shared" ref="AD17:AD28" ca="1" si="156">IF(TODAY()-E17&gt;335,((L17+1+(LOG(J17)*4/3))*0.378),((L17+(((TODAY()-E17)^0.5)/(336^0.516))+(LOG(J17)*4/3))*0.378))</f>
        <v>1.1339999999999999</v>
      </c>
      <c r="AE17" s="40">
        <f t="shared" ref="AE17:AE28" ca="1" si="157">IF(TODAY()-E17&gt;335,((L17+1+(LOG(J17)*4/3))*0.723),((L17+(((TODAY()-E17)^0.5)/(336^0.5))+(LOG(J17)*4/3))*0.723))</f>
        <v>2.169</v>
      </c>
      <c r="AF17" s="40">
        <f t="shared" ref="AF17:AF28" ca="1" si="158">AD17/2</f>
        <v>0.56699999999999995</v>
      </c>
      <c r="AG17" s="40">
        <f t="shared" ref="AG17:AG28" ca="1" si="159">IF(TODAY()-E17&gt;335,((M17+1+(LOG(J17)*4/3))*0.385),((M17+(((TODAY()-E17)^0.5)/(336^0.238))+(LOG(J17)*4/3))*0.385))</f>
        <v>2.5795000000000003</v>
      </c>
      <c r="AH17" s="40">
        <f t="shared" ref="AH17:AH28" ca="1" si="160">IF(TODAY()-E17&gt;335,((L17+1+(LOG(J17)*4/3))*0.92),((L17+(((TODAY()-E17)^0.5)/(336^0.5))+(LOG(J17)*4/3))*0.92))</f>
        <v>2.7600000000000002</v>
      </c>
      <c r="AI17" s="40">
        <f t="shared" ref="AI17:AI28" ca="1" si="161">IF(TODAY()-E17&gt;335,((L17+1+(LOG(J17)*4/3))*0.414),((L17+(((TODAY()-E17)^0.5)/(336^0.414))+(LOG(J17)*4/3))*0.414))</f>
        <v>1.242</v>
      </c>
      <c r="AJ17" s="40">
        <f t="shared" ref="AJ17:AJ28" ca="1" si="162">IF(TODAY()-E17&gt;335,((M17+1+(LOG(J17)*4/3))*0.167),((M17+(((TODAY()-E17)^0.5)/(336^0.5))+(LOG(J17)*4/3))*0.167))</f>
        <v>1.1189</v>
      </c>
      <c r="AK17" s="40">
        <f t="shared" ref="AK17:AK28" ca="1" si="163">IF(TODAY()-E17&gt;335,((N17+1+(LOG(J17)*4/3))*0.588),((N17+(((TODAY()-E17)^0.5)/(336^0.5))+(LOG(J17)*4/3))*0.588))</f>
        <v>3.8219999999999996</v>
      </c>
      <c r="AL17" s="40">
        <f t="shared" ref="AL17:AL28" ca="1" si="164">IF(TODAY()-E17&gt;335,((L17+1+(LOG(J17)*4/3))*0.754),((L17+(((TODAY()-E17)^0.5)/(336^0.5))+(LOG(J17)*4/3))*0.754))</f>
        <v>2.262</v>
      </c>
      <c r="AM17" s="40">
        <f t="shared" ref="AM17:AM28" ca="1" si="165">IF(TODAY()-E17&gt;335,((L17+1+(LOG(J17)*4/3))*0.708),((L17+(((TODAY()-E17)^0.5)/(336^0.414))+(LOG(J17)*4/3))*0.708))</f>
        <v>2.1239999999999997</v>
      </c>
      <c r="AN17" s="40">
        <f t="shared" ref="AN17:AN28" ca="1" si="166">IF(TODAY()-E17&gt;335,((Q17+1+(LOG(J17)*4/3))*0.167),((Q17+(((TODAY()-E17)^0.5)/(336^0.5))+(LOG(J17)*4/3))*0.167))</f>
        <v>1.002</v>
      </c>
      <c r="AO17" s="40">
        <f t="shared" ref="AO17:AO28" ca="1" si="167">IF(TODAY()-E17&gt;335,((R17+1+(LOG(J17)*4/3))*0.288),((R17+(((TODAY()-E17)^0.5)/(336^0.5))+(LOG(J17)*4/3))*0.288))</f>
        <v>0.84599999999999997</v>
      </c>
      <c r="AP17" s="40">
        <f t="shared" ref="AP17:AP28" ca="1" si="168">IF(TODAY()-E17&gt;335,((L17+1+(LOG(J17)*4/3))*0.27),((L17+(((TODAY()-E17)^0.5)/(336^0.5))+(LOG(J17)*4/3))*0.27))</f>
        <v>0.81</v>
      </c>
      <c r="AQ17" s="40">
        <f t="shared" ref="AQ17:AQ28" ca="1" si="169">IF(TODAY()-E17&gt;335,((L17+1+(LOG(J17)*4/3))*0.594),((L17+(((TODAY()-E17)^0.5)/(336^0.5))+(LOG(J17)*4/3))*0.594))</f>
        <v>1.782</v>
      </c>
      <c r="AR17" s="40">
        <f t="shared" ref="AR17:AR28" ca="1" si="170">AP17/2</f>
        <v>0.40500000000000003</v>
      </c>
      <c r="AS17" s="40">
        <f t="shared" ref="AS17:AS28" ca="1" si="171">IF(TODAY()-E17&gt;335,((M17+1+(LOG(J17)*4/3))*0.944),((M17+(((TODAY()-E17)^0.5)/(336^0.5))+(LOG(J17)*4/3))*0.944))</f>
        <v>6.3247999999999998</v>
      </c>
      <c r="AT17" s="40">
        <f t="shared" ref="AT17:AT28" ca="1" si="172">IF(TODAY()-E17&gt;335,((O17+1+(LOG(J17)*4/3))*0.13),((O17+(((TODAY()-E17)^0.5)/(336^0.5))+(LOG(J17)*4/3))*0.13))</f>
        <v>0.8125</v>
      </c>
      <c r="AU17" s="40">
        <f t="shared" ref="AU17:AU28" ca="1" si="173">IF(TODAY()-E17&gt;335,((P17+1+(LOG(J17)*4/3))*0.173)+((O17+1+(LOG(J17)*4/3))*0.12),((P17+(((TODAY()-E17)^0.5)/(336^0.5))+(LOG(J17)*4/3))*0.173)+((O17+(((TODAY()-E17)^0.5)/(336^0.5))+(LOG(J17)*4/3))*0.12))</f>
        <v>1.4419999999999999</v>
      </c>
      <c r="AV17" s="40">
        <f t="shared" ref="AV17:AV28" ca="1" si="174">AT17/2</f>
        <v>0.40625</v>
      </c>
      <c r="AW17" s="40">
        <f t="shared" ref="AW17:AW28" ca="1" si="175">IF(TODAY()-E17&gt;335,((L17+1+(LOG(J17)*4/3))*0.189),((L17+(((TODAY()-E17)^0.5)/(336^0.5))+(LOG(J17)*4/3))*0.189))</f>
        <v>0.56699999999999995</v>
      </c>
      <c r="AX17" s="40">
        <f t="shared" ref="AX17:AX28" ca="1" si="176">IF(TODAY()-E17&gt;335,((L17+1+(LOG(J17)*4/3))*0.4),((L17+(((TODAY()-E17)^0.5)/(336^0.5))+(LOG(J17)*4/3))*0.4))</f>
        <v>1.2000000000000002</v>
      </c>
      <c r="AY17" s="40">
        <f t="shared" ref="AY17:AY28" ca="1" si="177">AW17/2</f>
        <v>0.28349999999999997</v>
      </c>
      <c r="AZ17" s="40">
        <f t="shared" ref="AZ17:AZ28" ca="1" si="178">IF(TODAY()-E17&gt;335,((M17+1+(LOG(J17)*4/3))*1),((M17+(((TODAY()-E17)^0.5)/(336^0.5))+(LOG(J17)*4/3))*1))</f>
        <v>6.7</v>
      </c>
      <c r="BA17" s="40">
        <f t="shared" ref="BA17:BA28" ca="1" si="179">IF(TODAY()-E17&gt;335,((O17+1+(LOG(J17)*4/3))*0.253),((O17+(((TODAY()-E17)^0.5)/(336^0.5))+(LOG(J17)*4/3))*0.253))</f>
        <v>1.58125</v>
      </c>
      <c r="BB17" s="40">
        <f t="shared" ref="BB17:BB28" ca="1" si="180">IF(TODAY()-E17&gt;335,((P17+1+(LOG(J17)*4/3))*0.21)+((O17+1+(LOG(J17)*4/3))*0.341),((P17+(((TODAY()-E17)^0.5)/(336^0.5))+(LOG(J17)*4/3))*0.21)+((O17+(((TODAY()-E17)^0.5)/(336^0.5))+(LOG(J17)*4/3))*0.341))</f>
        <v>2.9712499999999999</v>
      </c>
      <c r="BC17" s="40">
        <f t="shared" ref="BC17:BC28" ca="1" si="181">BA17/2</f>
        <v>0.79062500000000002</v>
      </c>
      <c r="BD17" s="40">
        <f t="shared" ref="BD17:BD28" ca="1" si="182">IF(TODAY()-E17&gt;335,((L17+1+(LOG(J17)*4/3))*0.291),((L17+(((TODAY()-E17)^0.5)/(336^0.5))+(LOG(J17)*4/3))*0.291))</f>
        <v>0.873</v>
      </c>
      <c r="BE17" s="40">
        <f t="shared" ref="BE17:BE28" ca="1" si="183">IF(TODAY()-E17&gt;335,((L17+1+(LOG(J17)*4/3))*0.348),((L17+(((TODAY()-E17)^0.5)/(336^0.5))+(LOG(J17)*4/3))*0.348))</f>
        <v>1.044</v>
      </c>
      <c r="BF17" s="40">
        <f t="shared" ref="BF17:BF28" ca="1" si="184">IF(TODAY()-E17&gt;335,((M17+1+(LOG(J17)*4/3))*0.881),((M17+(((TODAY()-E17)^0.5)/(336^0.5))+(LOG(J17)*4/3))*0.881))</f>
        <v>5.9027000000000003</v>
      </c>
      <c r="BG17" s="40">
        <f t="shared" ref="BG17:BG28" ca="1" si="185">IF(TODAY()-E17&gt;335,((N17+1+(LOG(J17)*4/3))*0.574)+((O17+1+(LOG(J17)*4/3))*0.315),((N17+(((TODAY()-E17)^0.5)/(336^0.5))+(LOG(J17)*4/3))*0.574)+((O17+(((TODAY()-E17)^0.5)/(336^0.5))+(LOG(J17)*4/3))*0.315))</f>
        <v>5.6997499999999999</v>
      </c>
      <c r="BH17" s="40">
        <f t="shared" ref="BH17:BH28" ca="1" si="186">IF(TODAY()-E17&gt;335,((O17+1+(LOG(J17)*4/3))*0.241),((O17+(((TODAY()-E17)^0.5)/(336^0.5))+(LOG(J17)*4/3))*0.241))</f>
        <v>1.5062499999999999</v>
      </c>
      <c r="BI17" s="40">
        <f t="shared" ref="BI17:BI28" ca="1" si="187">IF(TODAY()-E17&gt;335,((L17+1+(LOG(J17)*4/3))*0.485),((L17+(((TODAY()-E17)^0.5)/(336^0.5))+(LOG(J17)*4/3))*0.485))</f>
        <v>1.4550000000000001</v>
      </c>
      <c r="BJ17" s="40">
        <f t="shared" ref="BJ17:BJ28" ca="1" si="188">IF(TODAY()-E17&gt;335,((L17+1+(LOG(J17)*4/3))*0.264),((L17+(((TODAY()-E17)^0.5)/(336^0.5))+(LOG(J17)*4/3))*0.264))</f>
        <v>0.79200000000000004</v>
      </c>
      <c r="BK17" s="40">
        <f t="shared" ref="BK17:BK28" ca="1" si="189">IF(TODAY()-E17&gt;335,((M17+1+(LOG(J17)*4/3))*0.381),((M17+(((TODAY()-E17)^0.5)/(336^0.5))+(LOG(J17)*4/3))*0.381))</f>
        <v>2.5527000000000002</v>
      </c>
      <c r="BL17" s="40">
        <f t="shared" ref="BL17:BL28" ca="1" si="190">IF(TODAY()-E17&gt;335,((N17+1+(LOG(J17)*4/3))*0.673)+((O17+1+(LOG(J17)*4/3))*0.201),((N17+(((TODAY()-E17)^0.5)/(336^0.5))+(LOG(J17)*4/3))*0.673)+((O17+(((TODAY()-E17)^0.5)/(336^0.5))+(LOG(J17)*4/3))*0.201))</f>
        <v>5.6307500000000008</v>
      </c>
      <c r="BM17" s="40">
        <f t="shared" ref="BM17:BM28" ca="1" si="191">IF(TODAY()-E17&gt;335,((O17+1+(LOG(J17)*4/3))*0.052),((O17+(((TODAY()-E17)^0.5)/(336^0.5))+(LOG(J17)*4/3))*0.052))</f>
        <v>0.32500000000000001</v>
      </c>
      <c r="BN17" s="40">
        <f t="shared" ref="BN17:BN28" ca="1" si="192">IF(TODAY()-E17&gt;335,((L17+1+(LOG(J17)*4/3))*0.18),((L17+(((TODAY()-E17)^0.5)/(336^0.5))+(LOG(J17)*4/3))*0.18))</f>
        <v>0.54</v>
      </c>
      <c r="BO17" s="40">
        <f t="shared" ref="BO17:BO28" ca="1" si="193">IF(TODAY()-E17&gt;335,((L17+1+(LOG(J17)*4/3))*0.068),((L17+(((TODAY()-E17)^0.5)/(336^0.5))+(LOG(J17)*4/3))*0.068))</f>
        <v>0.20400000000000001</v>
      </c>
      <c r="BP17" s="40">
        <f t="shared" ref="BP17:BP28" ca="1" si="194">IF(TODAY()-E17&gt;335,((M17+1+(LOG(J17)*4/3))*0.305),((M17+(((TODAY()-E17)^0.5)/(336^0.5))+(LOG(J17)*4/3))*0.305))</f>
        <v>2.0434999999999999</v>
      </c>
      <c r="BQ17" s="40">
        <f t="shared" ref="BQ17:BQ28" ca="1" si="195">IF(TODAY()-E17&gt;335,((N17+1+(LOG(J17)*4/3))*1)+((O17+1+(LOG(J17)*4/3))*0.286),((N17+(((TODAY()-E17)^0.5)/(336^0.5))+(LOG(J17)*4/3))*1)+((O17+(((TODAY()-E17)^0.5)/(336^0.5))+(LOG(J17)*4/3))*0.286))</f>
        <v>8.2874999999999996</v>
      </c>
      <c r="BR17" s="40">
        <f t="shared" ref="BR17:BR28" ca="1" si="196">IF(TODAY()-E17&gt;335,((O17+1+(LOG(J17)*4/3))*0.135),((O17+(((TODAY()-E17)^0.5)/(336^0.5))+(LOG(J17)*4/3))*0.135))</f>
        <v>0.84375</v>
      </c>
      <c r="BS17" s="40">
        <f t="shared" ref="BS17:BS28" ca="1" si="197">IF(TODAY()-E17&gt;335,((L17+1+(LOG(J17)*4/3))*0.284),((L17+(((TODAY()-E17)^0.5)/(336^0.5))+(LOG(J17)*4/3))*0.284))</f>
        <v>0.85199999999999987</v>
      </c>
      <c r="BT17" s="40">
        <f t="shared" ref="BT17:BT28" ca="1" si="198">IF(TODAY()-E17&gt;335,((L17+1+(LOG(J17)*4/3))*0.244),((L17+(((TODAY()-E17)^0.5)/(336^0.5))+(LOG(J17)*4/3))*0.244))</f>
        <v>0.73199999999999998</v>
      </c>
      <c r="BU17" s="40">
        <f t="shared" ref="BU17:BU28" ca="1" si="199">IF(TODAY()-E17&gt;335,((M17+1+(LOG(J17)*4/3))*0.631),((M17+(((TODAY()-E17)^0.5)/(336^0.5))+(LOG(J17)*4/3))*0.631))</f>
        <v>4.2277000000000005</v>
      </c>
      <c r="BV17" s="40">
        <f t="shared" ref="BV17:BV28" ca="1" si="200">IF(TODAY()-E17&gt;335,((N17+1+(LOG(J17)*4/3))*0.702)+((O17+1+(LOG(J17)*4/3))*0.193),((N17+(((TODAY()-E17)^0.5)/(336^0.5))+(LOG(J17)*4/3))*0.702)+((O17+(((TODAY()-E17)^0.5)/(336^0.5))+(LOG(J17)*4/3))*0.193))</f>
        <v>5.7692499999999995</v>
      </c>
      <c r="BW17" s="40">
        <f t="shared" ref="BW17:BW28" ca="1" si="201">IF(TODAY()-E17&gt;335,((O17+1+(LOG(J17)*4/3))*0.148),((O17+(((TODAY()-E17)^0.5)/(336^0.5))+(LOG(J17)*4/3))*0.148))</f>
        <v>0.92499999999999993</v>
      </c>
      <c r="BX17" s="40">
        <f t="shared" ref="BX17:BX28" ca="1" si="202">IF(TODAY()-E17&gt;335,((M17+1+(LOG(J17)*4/3))*0.406),((M17+(((TODAY()-E17)^0.5)/(336^0.5))+(LOG(J17)*4/3))*0.406))</f>
        <v>2.7202000000000002</v>
      </c>
      <c r="BY17" s="40">
        <f t="shared" ref="BY17:BY28" ca="1" si="203">IF(D17="TEC",IF(TODAY()-E17&gt;335,((N17+1+(LOG(J17)*4/3))*0.15)+((O17+1+(LOG(J17)*4/3))*0.324)+((P17+1+(LOG(J17)*4/3))*0.127),((N17+(((TODAY()-E17)^0.5)/(336^0.5))+(LOG(J17)*4/3))*0.15)+((O17+(((TODAY()-E17)^0.5)/(336^0.5))+(LOG(J17)*4/3))*0.324)+((P17+(((TODAY()-E17)^0.5)/(336^0.5))+(LOG(J17)*4/3))*0.127)),IF(TODAY()-E17&gt;335,((N17+1+(LOG(J17)*4/3))*0.144)+((O17+1+(LOG(J17)*4/3))*0.25)+((P17+1+(LOG(J17)*4/3))*0.127),((N17+(((TODAY()-E17)^0.5)/(336^0.5))+(LOG(J17)*4/3))*0.144)+((O17+(((TODAY()-E17)^0.5)/(336^0.5))+(LOG(J17)*4/3))*0.25)+((P17+(((TODAY()-E17)^0.5)/(336^0.5))+(LOG(J17)*4/3))*0.127)))</f>
        <v>3.0065</v>
      </c>
      <c r="BZ17" s="40">
        <f t="shared" ref="BZ17:BZ28" ca="1" si="204">IF(D17="TEC",IF(TODAY()-E17&gt;335,((O17+1+(LOG(J17)*4/3))*0.543)+((P17+1+(LOG(J17)*4/3))*0.583),((O17+(((TODAY()-E17)^0.5)/(336^0.5))+(LOG(J17)*4/3))*0.543)+((P17+(((TODAY()-E17)^0.5)/(336^0.5))+(LOG(J17)*4/3))*0.583)),IF(TODAY()-E17&gt;335,((O17+1+(LOG(J17)*4/3))*0.543)+((P17+1+(LOG(J17)*4/3))*0.583),((O17+(((TODAY()-E17)^0.5)/(336^0.5))+(LOG(J17)*4/3))*0.543)+((P17+(((TODAY()-E17)^0.5)/(336^0.5))+(LOG(J17)*4/3))*0.583)))</f>
        <v>5.7257499999999997</v>
      </c>
      <c r="CA17" s="40">
        <f t="shared" ref="CA17:CA28" ca="1" si="205">BY17</f>
        <v>3.0065</v>
      </c>
      <c r="CB17" s="40">
        <f t="shared" ref="CB17:CB28" ca="1" si="206">IF(TODAY()-E17&gt;335,((P17+1+(LOG(J17)*4/3))*0.26)+((N17+1+(LOG(J17)*4/3))*0.221)+((O17+1+(LOG(J17)*4/3))*0.142),((P17+(((TODAY()-E17)^0.5)/(336^0.5))+(LOG(J17)*4/3))*0.26)+((N17+(((TODAY()-E17)^0.5)/(336^0.5))+(LOG(J17)*4/3))*0.221)+((P17+(((TODAY()-E17)^0.5)/(336^0.5))+(LOG(J17)*4/3))*0.142))</f>
        <v>3.3639999999999999</v>
      </c>
      <c r="CC17" s="40">
        <f t="shared" ref="CC17:CC28" ca="1" si="207">IF(TODAY()-E17&gt;335,((P17+1+(LOG(J17)*4/3))*1)+((O17+1+(LOG(J17)*4/3))*0.369),((P17+(((TODAY()-E17)^0.5)/(336^0.5))+(LOG(J17)*4/3))*1)+((O17+(((TODAY()-E17)^0.5)/(336^0.5))+(LOG(J17)*4/3))*0.369))</f>
        <v>6.3062500000000004</v>
      </c>
      <c r="CD17" s="40">
        <f t="shared" ref="CD17:CD28" ca="1" si="208">CB17</f>
        <v>3.3639999999999999</v>
      </c>
      <c r="CE17" s="40">
        <f t="shared" ref="CE17:CE28" ca="1" si="209">IF(TODAY()-E17&gt;335,((M17+1+(LOG(J17)*4/3))*0.25),((M17+(((TODAY()-E17)^0.5)/(336^0.5))+(LOG(J17)*4/3))*0.25))</f>
        <v>1.675</v>
      </c>
    </row>
    <row r="18" spans="1:83" x14ac:dyDescent="0.25">
      <c r="A18" t="str">
        <f>PLANTILLA!D5</f>
        <v>Valeri Gomis</v>
      </c>
      <c r="B18">
        <f>PLANTILLA!E5</f>
        <v>17</v>
      </c>
      <c r="C18" s="36">
        <f ca="1">PLANTILLA!F5</f>
        <v>46</v>
      </c>
      <c r="D18" s="240" t="str">
        <f>PLANTILLA!G5</f>
        <v>IMP</v>
      </c>
      <c r="E18" s="33">
        <v>42343</v>
      </c>
      <c r="F18" s="51">
        <f>PLANTILLA!Q5</f>
        <v>6</v>
      </c>
      <c r="G18" s="52">
        <f t="shared" si="141"/>
        <v>0.92582009977255142</v>
      </c>
      <c r="H18" s="52">
        <f t="shared" si="142"/>
        <v>0.99928545900129484</v>
      </c>
      <c r="I18" s="55">
        <f t="shared" ca="1" si="143"/>
        <v>1</v>
      </c>
      <c r="J18" s="42">
        <f>PLANTILLA!I5</f>
        <v>1</v>
      </c>
      <c r="K18" s="50">
        <f>PLANTILLA!X5</f>
        <v>0</v>
      </c>
      <c r="L18" s="50">
        <f>PLANTILLA!Y5</f>
        <v>6</v>
      </c>
      <c r="M18" s="50">
        <f>PLANTILLA!Z5</f>
        <v>3</v>
      </c>
      <c r="N18" s="50">
        <f>PLANTILLA!AA5</f>
        <v>3</v>
      </c>
      <c r="O18" s="50">
        <f>PLANTILLA!AB5</f>
        <v>5.2</v>
      </c>
      <c r="P18" s="50">
        <f>PLANTILLA!AC5</f>
        <v>2</v>
      </c>
      <c r="Q18" s="50">
        <f>PLANTILLA!AD5</f>
        <v>3</v>
      </c>
      <c r="R18" s="50">
        <f t="shared" si="144"/>
        <v>2.4249999999999998</v>
      </c>
      <c r="S18" s="50">
        <f t="shared" si="145"/>
        <v>0.19</v>
      </c>
      <c r="T18" s="50">
        <f t="shared" si="146"/>
        <v>0.33</v>
      </c>
      <c r="U18" s="50">
        <f t="shared" ca="1" si="147"/>
        <v>3.7032803990902057</v>
      </c>
      <c r="V18" s="50">
        <f t="shared" ca="1" si="148"/>
        <v>3.9971418360051794</v>
      </c>
      <c r="W18" s="40">
        <f t="shared" ca="1" si="149"/>
        <v>2.5289999999999999</v>
      </c>
      <c r="X18" s="40">
        <f t="shared" ca="1" si="150"/>
        <v>3.8410000000000002</v>
      </c>
      <c r="Y18" s="40">
        <f t="shared" ca="1" si="151"/>
        <v>2.5289999999999999</v>
      </c>
      <c r="Z18" s="40">
        <f t="shared" ca="1" si="152"/>
        <v>3.6120000000000001</v>
      </c>
      <c r="AA18" s="40">
        <f t="shared" ca="1" si="153"/>
        <v>7</v>
      </c>
      <c r="AB18" s="40">
        <f t="shared" ca="1" si="154"/>
        <v>1.806</v>
      </c>
      <c r="AC18" s="40">
        <f t="shared" ca="1" si="155"/>
        <v>0.95199999999999996</v>
      </c>
      <c r="AD18" s="40">
        <f t="shared" ca="1" si="156"/>
        <v>2.6459999999999999</v>
      </c>
      <c r="AE18" s="40">
        <f t="shared" ca="1" si="157"/>
        <v>5.0609999999999999</v>
      </c>
      <c r="AF18" s="40">
        <f t="shared" ca="1" si="158"/>
        <v>1.323</v>
      </c>
      <c r="AG18" s="40">
        <f t="shared" ca="1" si="159"/>
        <v>1.54</v>
      </c>
      <c r="AH18" s="40">
        <f t="shared" ca="1" si="160"/>
        <v>6.44</v>
      </c>
      <c r="AI18" s="40">
        <f t="shared" ca="1" si="161"/>
        <v>2.8979999999999997</v>
      </c>
      <c r="AJ18" s="40">
        <f t="shared" ca="1" si="162"/>
        <v>0.66800000000000004</v>
      </c>
      <c r="AK18" s="40">
        <f t="shared" ca="1" si="163"/>
        <v>2.3519999999999999</v>
      </c>
      <c r="AL18" s="40">
        <f t="shared" ca="1" si="164"/>
        <v>5.2780000000000005</v>
      </c>
      <c r="AM18" s="40">
        <f t="shared" ca="1" si="165"/>
        <v>4.9559999999999995</v>
      </c>
      <c r="AN18" s="40">
        <f t="shared" ca="1" si="166"/>
        <v>0.66800000000000004</v>
      </c>
      <c r="AO18" s="40">
        <f t="shared" ca="1" si="167"/>
        <v>0.98639999999999983</v>
      </c>
      <c r="AP18" s="40">
        <f t="shared" ca="1" si="168"/>
        <v>1.8900000000000001</v>
      </c>
      <c r="AQ18" s="40">
        <f t="shared" ca="1" si="169"/>
        <v>4.1579999999999995</v>
      </c>
      <c r="AR18" s="40">
        <f t="shared" ca="1" si="170"/>
        <v>0.94500000000000006</v>
      </c>
      <c r="AS18" s="40">
        <f t="shared" ca="1" si="171"/>
        <v>3.7759999999999998</v>
      </c>
      <c r="AT18" s="40">
        <f t="shared" ca="1" si="172"/>
        <v>0.80600000000000005</v>
      </c>
      <c r="AU18" s="40">
        <f t="shared" ca="1" si="173"/>
        <v>1.2629999999999999</v>
      </c>
      <c r="AV18" s="40">
        <f t="shared" ca="1" si="174"/>
        <v>0.40300000000000002</v>
      </c>
      <c r="AW18" s="40">
        <f t="shared" ca="1" si="175"/>
        <v>1.323</v>
      </c>
      <c r="AX18" s="40">
        <f t="shared" ca="1" si="176"/>
        <v>2.8000000000000003</v>
      </c>
      <c r="AY18" s="40">
        <f t="shared" ca="1" si="177"/>
        <v>0.66149999999999998</v>
      </c>
      <c r="AZ18" s="40">
        <f t="shared" ca="1" si="178"/>
        <v>4</v>
      </c>
      <c r="BA18" s="40">
        <f t="shared" ca="1" si="179"/>
        <v>1.5686</v>
      </c>
      <c r="BB18" s="40">
        <f t="shared" ca="1" si="180"/>
        <v>2.7442000000000002</v>
      </c>
      <c r="BC18" s="40">
        <f t="shared" ca="1" si="181"/>
        <v>0.7843</v>
      </c>
      <c r="BD18" s="40">
        <f t="shared" ca="1" si="182"/>
        <v>2.0369999999999999</v>
      </c>
      <c r="BE18" s="40">
        <f t="shared" ca="1" si="183"/>
        <v>2.4359999999999999</v>
      </c>
      <c r="BF18" s="40">
        <f t="shared" ca="1" si="184"/>
        <v>3.524</v>
      </c>
      <c r="BG18" s="40">
        <f t="shared" ca="1" si="185"/>
        <v>4.2489999999999997</v>
      </c>
      <c r="BH18" s="40">
        <f t="shared" ca="1" si="186"/>
        <v>1.4942</v>
      </c>
      <c r="BI18" s="40">
        <f t="shared" ca="1" si="187"/>
        <v>3.395</v>
      </c>
      <c r="BJ18" s="40">
        <f t="shared" ca="1" si="188"/>
        <v>1.8480000000000001</v>
      </c>
      <c r="BK18" s="40">
        <f t="shared" ca="1" si="189"/>
        <v>1.524</v>
      </c>
      <c r="BL18" s="40">
        <f t="shared" ca="1" si="190"/>
        <v>3.9382000000000001</v>
      </c>
      <c r="BM18" s="40">
        <f t="shared" ca="1" si="191"/>
        <v>0.32240000000000002</v>
      </c>
      <c r="BN18" s="40">
        <f t="shared" ca="1" si="192"/>
        <v>1.26</v>
      </c>
      <c r="BO18" s="40">
        <f t="shared" ca="1" si="193"/>
        <v>0.47600000000000003</v>
      </c>
      <c r="BP18" s="40">
        <f t="shared" ca="1" si="194"/>
        <v>1.22</v>
      </c>
      <c r="BQ18" s="40">
        <f t="shared" ca="1" si="195"/>
        <v>5.7732000000000001</v>
      </c>
      <c r="BR18" s="40">
        <f t="shared" ca="1" si="196"/>
        <v>0.83700000000000008</v>
      </c>
      <c r="BS18" s="40">
        <f t="shared" ca="1" si="197"/>
        <v>1.9879999999999998</v>
      </c>
      <c r="BT18" s="40">
        <f t="shared" ca="1" si="198"/>
        <v>1.708</v>
      </c>
      <c r="BU18" s="40">
        <f t="shared" ca="1" si="199"/>
        <v>2.524</v>
      </c>
      <c r="BV18" s="40">
        <f t="shared" ca="1" si="200"/>
        <v>4.0045999999999999</v>
      </c>
      <c r="BW18" s="40">
        <f t="shared" ca="1" si="201"/>
        <v>0.91759999999999997</v>
      </c>
      <c r="BX18" s="40">
        <f t="shared" ca="1" si="202"/>
        <v>1.6240000000000001</v>
      </c>
      <c r="BY18" s="40">
        <f t="shared" ca="1" si="203"/>
        <v>2.5069999999999997</v>
      </c>
      <c r="BZ18" s="40">
        <f t="shared" ca="1" si="204"/>
        <v>5.1156000000000006</v>
      </c>
      <c r="CA18" s="40">
        <f t="shared" ca="1" si="205"/>
        <v>2.5069999999999997</v>
      </c>
      <c r="CB18" s="40">
        <f t="shared" ca="1" si="206"/>
        <v>2.5444</v>
      </c>
      <c r="CC18" s="40">
        <f t="shared" ca="1" si="207"/>
        <v>5.2877999999999998</v>
      </c>
      <c r="CD18" s="40">
        <f t="shared" ca="1" si="208"/>
        <v>2.5444</v>
      </c>
      <c r="CE18" s="40">
        <f t="shared" ca="1" si="209"/>
        <v>1</v>
      </c>
    </row>
    <row r="19" spans="1:83" x14ac:dyDescent="0.25">
      <c r="A19" t="str">
        <f>PLANTILLA!D13</f>
        <v>Juan Garcia Peñuela</v>
      </c>
      <c r="B19">
        <f>PLANTILLA!E13</f>
        <v>17</v>
      </c>
      <c r="C19" s="36">
        <f ca="1">PLANTILLA!F13</f>
        <v>42</v>
      </c>
      <c r="D19" s="240" t="str">
        <f>PLANTILLA!G13</f>
        <v>IMP</v>
      </c>
      <c r="E19" s="33">
        <v>42344</v>
      </c>
      <c r="F19" s="51">
        <f>PLANTILLA!Q13</f>
        <v>5</v>
      </c>
      <c r="G19" s="52">
        <f t="shared" si="141"/>
        <v>0.84515425472851657</v>
      </c>
      <c r="H19" s="52">
        <f t="shared" si="142"/>
        <v>0.92504826128926143</v>
      </c>
      <c r="I19" s="55">
        <f t="shared" ca="1" si="143"/>
        <v>1</v>
      </c>
      <c r="J19" s="42">
        <f>PLANTILLA!I13</f>
        <v>0.5</v>
      </c>
      <c r="K19" s="50">
        <f>PLANTILLA!X13</f>
        <v>0</v>
      </c>
      <c r="L19" s="50">
        <f>PLANTILLA!Y13</f>
        <v>3</v>
      </c>
      <c r="M19" s="50">
        <f>PLANTILLA!Z13</f>
        <v>5</v>
      </c>
      <c r="N19" s="50">
        <f>PLANTILLA!AA13</f>
        <v>4</v>
      </c>
      <c r="O19" s="50">
        <f>PLANTILLA!AB13</f>
        <v>4</v>
      </c>
      <c r="P19" s="50">
        <f>PLANTILLA!AC13</f>
        <v>3</v>
      </c>
      <c r="Q19" s="50">
        <f>PLANTILLA!AD13</f>
        <v>3</v>
      </c>
      <c r="R19" s="50">
        <f t="shared" si="144"/>
        <v>1.75</v>
      </c>
      <c r="S19" s="50">
        <f t="shared" si="145"/>
        <v>0.24</v>
      </c>
      <c r="T19" s="50">
        <f t="shared" si="146"/>
        <v>0.21000000000000002</v>
      </c>
      <c r="U19" s="50">
        <f t="shared" ca="1" si="147"/>
        <v>3.0413946433989723</v>
      </c>
      <c r="V19" s="50">
        <f t="shared" ca="1" si="148"/>
        <v>3.328903346377206</v>
      </c>
      <c r="W19" s="40">
        <f t="shared" ca="1" si="149"/>
        <v>1.3506010850471259</v>
      </c>
      <c r="X19" s="40">
        <f t="shared" ca="1" si="150"/>
        <v>2.0478270341304006</v>
      </c>
      <c r="Y19" s="40">
        <f t="shared" ca="1" si="151"/>
        <v>1.3506010850471259</v>
      </c>
      <c r="Z19" s="40">
        <f t="shared" ca="1" si="152"/>
        <v>1.8568913629831809</v>
      </c>
      <c r="AA19" s="40">
        <f t="shared" ca="1" si="153"/>
        <v>3.5986266724480251</v>
      </c>
      <c r="AB19" s="40">
        <f t="shared" ca="1" si="154"/>
        <v>0.92844568149159046</v>
      </c>
      <c r="AC19" s="40">
        <f t="shared" ca="1" si="155"/>
        <v>1.3324731480426297</v>
      </c>
      <c r="AD19" s="40">
        <f t="shared" ca="1" si="156"/>
        <v>1.3602808821853536</v>
      </c>
      <c r="AE19" s="40">
        <f t="shared" ca="1" si="157"/>
        <v>2.6018070841799221</v>
      </c>
      <c r="AF19" s="40">
        <f t="shared" ca="1" si="158"/>
        <v>0.6801404410926768</v>
      </c>
      <c r="AG19" s="40">
        <f t="shared" ca="1" si="159"/>
        <v>2.1554712688924895</v>
      </c>
      <c r="AH19" s="40">
        <f t="shared" ca="1" si="160"/>
        <v>3.3107365386521832</v>
      </c>
      <c r="AI19" s="40">
        <f t="shared" ca="1" si="161"/>
        <v>1.4898314423934824</v>
      </c>
      <c r="AJ19" s="40">
        <f t="shared" ca="1" si="162"/>
        <v>0.9349706542988202</v>
      </c>
      <c r="AK19" s="40">
        <f t="shared" ca="1" si="163"/>
        <v>2.7039924833994382</v>
      </c>
      <c r="AL19" s="40">
        <f t="shared" ca="1" si="164"/>
        <v>2.7133645110258109</v>
      </c>
      <c r="AM19" s="40">
        <f t="shared" ca="1" si="165"/>
        <v>2.5478276840932015</v>
      </c>
      <c r="AN19" s="40">
        <f t="shared" ca="1" si="166"/>
        <v>0.60097065429882024</v>
      </c>
      <c r="AO19" s="40">
        <f t="shared" ca="1" si="167"/>
        <v>0.6764044816650312</v>
      </c>
      <c r="AP19" s="40">
        <f t="shared" ca="1" si="168"/>
        <v>0.97162920156096688</v>
      </c>
      <c r="AQ19" s="40">
        <f t="shared" ca="1" si="169"/>
        <v>2.137584243434127</v>
      </c>
      <c r="AR19" s="40">
        <f t="shared" ca="1" si="170"/>
        <v>0.48581460078048344</v>
      </c>
      <c r="AS19" s="40">
        <f t="shared" ca="1" si="171"/>
        <v>5.2851035787909346</v>
      </c>
      <c r="AT19" s="40">
        <f t="shared" ca="1" si="172"/>
        <v>0.59782146741824327</v>
      </c>
      <c r="AU19" s="40">
        <f t="shared" ca="1" si="173"/>
        <v>1.1743976150272712</v>
      </c>
      <c r="AV19" s="40">
        <f t="shared" ca="1" si="174"/>
        <v>0.29891073370912163</v>
      </c>
      <c r="AW19" s="40">
        <f t="shared" ca="1" si="175"/>
        <v>0.6801404410926768</v>
      </c>
      <c r="AX19" s="40">
        <f t="shared" ca="1" si="176"/>
        <v>1.4394506689792101</v>
      </c>
      <c r="AY19" s="40">
        <f t="shared" ca="1" si="177"/>
        <v>0.3400702205463384</v>
      </c>
      <c r="AZ19" s="40">
        <f t="shared" ca="1" si="178"/>
        <v>5.5986266724480247</v>
      </c>
      <c r="BA19" s="40">
        <f t="shared" ca="1" si="179"/>
        <v>1.1634525481293503</v>
      </c>
      <c r="BB19" s="40">
        <f t="shared" ca="1" si="180"/>
        <v>2.323843296518862</v>
      </c>
      <c r="BC19" s="40">
        <f t="shared" ca="1" si="181"/>
        <v>0.58172627406467514</v>
      </c>
      <c r="BD19" s="40">
        <f t="shared" ca="1" si="182"/>
        <v>1.0472003616823753</v>
      </c>
      <c r="BE19" s="40">
        <f t="shared" ca="1" si="183"/>
        <v>1.2523220820119128</v>
      </c>
      <c r="BF19" s="40">
        <f t="shared" ca="1" si="184"/>
        <v>4.9323900984267102</v>
      </c>
      <c r="BG19" s="40">
        <f t="shared" ca="1" si="185"/>
        <v>4.0881791118062942</v>
      </c>
      <c r="BH19" s="40">
        <f t="shared" ca="1" si="186"/>
        <v>1.1082690280599738</v>
      </c>
      <c r="BI19" s="40">
        <f t="shared" ca="1" si="187"/>
        <v>1.7453339361372922</v>
      </c>
      <c r="BJ19" s="40">
        <f t="shared" ca="1" si="188"/>
        <v>0.95003744152627867</v>
      </c>
      <c r="BK19" s="40">
        <f t="shared" ca="1" si="189"/>
        <v>2.1330767622026974</v>
      </c>
      <c r="BL19" s="40">
        <f t="shared" ca="1" si="190"/>
        <v>4.0191997117195735</v>
      </c>
      <c r="BM19" s="40">
        <f t="shared" ca="1" si="191"/>
        <v>0.23912858696729727</v>
      </c>
      <c r="BN19" s="40">
        <f t="shared" ca="1" si="192"/>
        <v>0.64775280104064448</v>
      </c>
      <c r="BO19" s="40">
        <f t="shared" ca="1" si="193"/>
        <v>0.24470661372646574</v>
      </c>
      <c r="BP19" s="40">
        <f t="shared" ca="1" si="194"/>
        <v>1.7075811350966474</v>
      </c>
      <c r="BQ19" s="40">
        <f t="shared" ca="1" si="195"/>
        <v>5.91383390076816</v>
      </c>
      <c r="BR19" s="40">
        <f t="shared" ca="1" si="196"/>
        <v>0.62081460078048334</v>
      </c>
      <c r="BS19" s="40">
        <f t="shared" ca="1" si="197"/>
        <v>1.0220099749752392</v>
      </c>
      <c r="BT19" s="40">
        <f t="shared" ca="1" si="198"/>
        <v>0.87806490807731807</v>
      </c>
      <c r="BU19" s="40">
        <f t="shared" ca="1" si="199"/>
        <v>3.5327334303147038</v>
      </c>
      <c r="BV19" s="40">
        <f t="shared" ca="1" si="200"/>
        <v>4.115770871840982</v>
      </c>
      <c r="BW19" s="40">
        <f t="shared" ca="1" si="201"/>
        <v>0.68059674752230759</v>
      </c>
      <c r="BX19" s="40">
        <f t="shared" ca="1" si="202"/>
        <v>2.273042429013898</v>
      </c>
      <c r="BY19" s="40">
        <f t="shared" ca="1" si="203"/>
        <v>2.2688844963454211</v>
      </c>
      <c r="BZ19" s="40">
        <f t="shared" ca="1" si="204"/>
        <v>4.5950536331764766</v>
      </c>
      <c r="CA19" s="40">
        <f t="shared" ca="1" si="205"/>
        <v>2.2688844963454211</v>
      </c>
      <c r="CB19" s="40">
        <f t="shared" ca="1" si="206"/>
        <v>2.6049444169351195</v>
      </c>
      <c r="CC19" s="40">
        <f t="shared" ca="1" si="207"/>
        <v>5.2955199145813463</v>
      </c>
      <c r="CD19" s="40">
        <f t="shared" ca="1" si="208"/>
        <v>2.6049444169351195</v>
      </c>
      <c r="CE19" s="40">
        <f t="shared" ca="1" si="209"/>
        <v>1.3996566681120062</v>
      </c>
    </row>
    <row r="20" spans="1:83" x14ac:dyDescent="0.25">
      <c r="A20" t="str">
        <f>PLANTILLA!D9</f>
        <v>Fernando Gazón</v>
      </c>
      <c r="B20">
        <f>PLANTILLA!E9</f>
        <v>17</v>
      </c>
      <c r="C20" s="36">
        <f ca="1">PLANTILLA!F9</f>
        <v>83</v>
      </c>
      <c r="D20" s="240" t="str">
        <f>PLANTILLA!G9</f>
        <v>IMP</v>
      </c>
      <c r="E20" s="33">
        <v>42345</v>
      </c>
      <c r="F20" s="51">
        <f>PLANTILLA!Q9</f>
        <v>6</v>
      </c>
      <c r="G20" s="52">
        <f t="shared" si="141"/>
        <v>0.92582009977255142</v>
      </c>
      <c r="H20" s="52">
        <f t="shared" si="142"/>
        <v>0.99928545900129484</v>
      </c>
      <c r="I20" s="55">
        <f t="shared" ca="1" si="143"/>
        <v>1</v>
      </c>
      <c r="J20" s="42">
        <f>PLANTILLA!I9</f>
        <v>0.5</v>
      </c>
      <c r="K20" s="50">
        <f>PLANTILLA!X9</f>
        <v>0</v>
      </c>
      <c r="L20" s="50">
        <f>PLANTILLA!Y9</f>
        <v>3</v>
      </c>
      <c r="M20" s="50">
        <f>PLANTILLA!Z9</f>
        <v>6</v>
      </c>
      <c r="N20" s="50">
        <f>PLANTILLA!AA9</f>
        <v>3</v>
      </c>
      <c r="O20" s="50">
        <f>PLANTILLA!AB9</f>
        <v>3.5</v>
      </c>
      <c r="P20" s="50">
        <f>PLANTILLA!AC9</f>
        <v>4</v>
      </c>
      <c r="Q20" s="50">
        <f>PLANTILLA!AD9</f>
        <v>3</v>
      </c>
      <c r="R20" s="50">
        <f t="shared" si="144"/>
        <v>1.625</v>
      </c>
      <c r="S20" s="50">
        <f t="shared" si="145"/>
        <v>0.28999999999999998</v>
      </c>
      <c r="T20" s="50">
        <f t="shared" si="146"/>
        <v>0.21000000000000002</v>
      </c>
      <c r="U20" s="50">
        <f t="shared" ca="1" si="147"/>
        <v>3.3316809049299954</v>
      </c>
      <c r="V20" s="50">
        <f t="shared" ca="1" si="148"/>
        <v>3.596055306151527</v>
      </c>
      <c r="W20" s="40">
        <f t="shared" ca="1" si="149"/>
        <v>1.3506010850471259</v>
      </c>
      <c r="X20" s="40">
        <f t="shared" ca="1" si="150"/>
        <v>2.0478270341304006</v>
      </c>
      <c r="Y20" s="40">
        <f t="shared" ca="1" si="151"/>
        <v>1.3506010850471259</v>
      </c>
      <c r="Z20" s="40">
        <f t="shared" ca="1" si="152"/>
        <v>1.8568913629831809</v>
      </c>
      <c r="AA20" s="40">
        <f t="shared" ca="1" si="153"/>
        <v>3.5986266724480251</v>
      </c>
      <c r="AB20" s="40">
        <f t="shared" ca="1" si="154"/>
        <v>0.92844568149159046</v>
      </c>
      <c r="AC20" s="40">
        <f t="shared" ca="1" si="155"/>
        <v>1.5704731480426297</v>
      </c>
      <c r="AD20" s="40">
        <f t="shared" ca="1" si="156"/>
        <v>1.3602808821853536</v>
      </c>
      <c r="AE20" s="40">
        <f t="shared" ca="1" si="157"/>
        <v>2.6018070841799221</v>
      </c>
      <c r="AF20" s="40">
        <f t="shared" ca="1" si="158"/>
        <v>0.6801404410926768</v>
      </c>
      <c r="AG20" s="40">
        <f t="shared" ca="1" si="159"/>
        <v>2.5404712688924898</v>
      </c>
      <c r="AH20" s="40">
        <f t="shared" ca="1" si="160"/>
        <v>3.3107365386521832</v>
      </c>
      <c r="AI20" s="40">
        <f t="shared" ca="1" si="161"/>
        <v>1.4898314423934824</v>
      </c>
      <c r="AJ20" s="40">
        <f t="shared" ca="1" si="162"/>
        <v>1.1019706542988201</v>
      </c>
      <c r="AK20" s="40">
        <f t="shared" ca="1" si="163"/>
        <v>2.1159924833994386</v>
      </c>
      <c r="AL20" s="40">
        <f t="shared" ca="1" si="164"/>
        <v>2.7133645110258109</v>
      </c>
      <c r="AM20" s="40">
        <f t="shared" ca="1" si="165"/>
        <v>2.5478276840932015</v>
      </c>
      <c r="AN20" s="40">
        <f t="shared" ca="1" si="166"/>
        <v>0.60097065429882024</v>
      </c>
      <c r="AO20" s="40">
        <f t="shared" ca="1" si="167"/>
        <v>0.64040448166503117</v>
      </c>
      <c r="AP20" s="40">
        <f t="shared" ca="1" si="168"/>
        <v>0.97162920156096688</v>
      </c>
      <c r="AQ20" s="40">
        <f t="shared" ca="1" si="169"/>
        <v>2.137584243434127</v>
      </c>
      <c r="AR20" s="40">
        <f t="shared" ca="1" si="170"/>
        <v>0.48581460078048344</v>
      </c>
      <c r="AS20" s="40">
        <f t="shared" ca="1" si="171"/>
        <v>6.2291035787909346</v>
      </c>
      <c r="AT20" s="40">
        <f t="shared" ca="1" si="172"/>
        <v>0.53282146741824321</v>
      </c>
      <c r="AU20" s="40">
        <f t="shared" ca="1" si="173"/>
        <v>1.2873976150272712</v>
      </c>
      <c r="AV20" s="40">
        <f t="shared" ca="1" si="174"/>
        <v>0.26641073370912161</v>
      </c>
      <c r="AW20" s="40">
        <f t="shared" ca="1" si="175"/>
        <v>0.6801404410926768</v>
      </c>
      <c r="AX20" s="40">
        <f t="shared" ca="1" si="176"/>
        <v>1.4394506689792101</v>
      </c>
      <c r="AY20" s="40">
        <f t="shared" ca="1" si="177"/>
        <v>0.3400702205463384</v>
      </c>
      <c r="AZ20" s="40">
        <f t="shared" ca="1" si="178"/>
        <v>6.5986266724480247</v>
      </c>
      <c r="BA20" s="40">
        <f t="shared" ca="1" si="179"/>
        <v>1.0369525481293502</v>
      </c>
      <c r="BB20" s="40">
        <f t="shared" ca="1" si="180"/>
        <v>2.3633432965188614</v>
      </c>
      <c r="BC20" s="40">
        <f t="shared" ca="1" si="181"/>
        <v>0.51847627406467511</v>
      </c>
      <c r="BD20" s="40">
        <f t="shared" ca="1" si="182"/>
        <v>1.0472003616823753</v>
      </c>
      <c r="BE20" s="40">
        <f t="shared" ca="1" si="183"/>
        <v>1.2523220820119128</v>
      </c>
      <c r="BF20" s="40">
        <f t="shared" ca="1" si="184"/>
        <v>5.8133900984267095</v>
      </c>
      <c r="BG20" s="40">
        <f t="shared" ca="1" si="185"/>
        <v>3.3566791118062942</v>
      </c>
      <c r="BH20" s="40">
        <f t="shared" ca="1" si="186"/>
        <v>0.98776902805997391</v>
      </c>
      <c r="BI20" s="40">
        <f t="shared" ca="1" si="187"/>
        <v>1.7453339361372922</v>
      </c>
      <c r="BJ20" s="40">
        <f t="shared" ca="1" si="188"/>
        <v>0.95003744152627867</v>
      </c>
      <c r="BK20" s="40">
        <f t="shared" ca="1" si="189"/>
        <v>2.5140767622026976</v>
      </c>
      <c r="BL20" s="40">
        <f t="shared" ca="1" si="190"/>
        <v>3.2456997117195741</v>
      </c>
      <c r="BM20" s="40">
        <f t="shared" ca="1" si="191"/>
        <v>0.21312858696729728</v>
      </c>
      <c r="BN20" s="40">
        <f t="shared" ca="1" si="192"/>
        <v>0.64775280104064448</v>
      </c>
      <c r="BO20" s="40">
        <f t="shared" ca="1" si="193"/>
        <v>0.24470661372646574</v>
      </c>
      <c r="BP20" s="40">
        <f t="shared" ca="1" si="194"/>
        <v>2.0125811350966476</v>
      </c>
      <c r="BQ20" s="40">
        <f t="shared" ca="1" si="195"/>
        <v>4.7708339007681602</v>
      </c>
      <c r="BR20" s="40">
        <f t="shared" ca="1" si="196"/>
        <v>0.55331460078048333</v>
      </c>
      <c r="BS20" s="40">
        <f t="shared" ca="1" si="197"/>
        <v>1.0220099749752392</v>
      </c>
      <c r="BT20" s="40">
        <f t="shared" ca="1" si="198"/>
        <v>0.87806490807731807</v>
      </c>
      <c r="BU20" s="40">
        <f t="shared" ca="1" si="199"/>
        <v>4.1637334303147036</v>
      </c>
      <c r="BV20" s="40">
        <f t="shared" ca="1" si="200"/>
        <v>3.3172708718409822</v>
      </c>
      <c r="BW20" s="40">
        <f t="shared" ca="1" si="201"/>
        <v>0.60659674752230763</v>
      </c>
      <c r="BX20" s="40">
        <f t="shared" ca="1" si="202"/>
        <v>2.6790424290138981</v>
      </c>
      <c r="BY20" s="40">
        <f t="shared" ca="1" si="203"/>
        <v>2.1268844963454208</v>
      </c>
      <c r="BZ20" s="40">
        <f t="shared" ca="1" si="204"/>
        <v>4.9065536331764754</v>
      </c>
      <c r="CA20" s="40">
        <f t="shared" ca="1" si="205"/>
        <v>2.1268844963454208</v>
      </c>
      <c r="CB20" s="40">
        <f t="shared" ca="1" si="206"/>
        <v>2.5729444169351199</v>
      </c>
      <c r="CC20" s="40">
        <f t="shared" ca="1" si="207"/>
        <v>6.1110199145813455</v>
      </c>
      <c r="CD20" s="40">
        <f t="shared" ca="1" si="208"/>
        <v>2.5729444169351199</v>
      </c>
      <c r="CE20" s="40">
        <f t="shared" ca="1" si="209"/>
        <v>1.6496566681120062</v>
      </c>
    </row>
    <row r="21" spans="1:83" x14ac:dyDescent="0.25">
      <c r="A21" t="str">
        <f>PLANTILLA!D15</f>
        <v>Santiago Serra</v>
      </c>
      <c r="B21">
        <f>PLANTILLA!E15</f>
        <v>17</v>
      </c>
      <c r="C21" s="36">
        <f ca="1">PLANTILLA!F15</f>
        <v>40</v>
      </c>
      <c r="D21" s="240" t="str">
        <f>PLANTILLA!G15</f>
        <v>CAB</v>
      </c>
      <c r="E21" s="33">
        <v>42346</v>
      </c>
      <c r="F21" s="51">
        <f>PLANTILLA!Q15</f>
        <v>4</v>
      </c>
      <c r="G21" s="52">
        <f t="shared" si="141"/>
        <v>0.7559289460184544</v>
      </c>
      <c r="H21" s="52">
        <f t="shared" si="142"/>
        <v>0.84430867747355465</v>
      </c>
      <c r="I21" s="55">
        <f t="shared" ca="1" si="143"/>
        <v>1</v>
      </c>
      <c r="J21" s="42">
        <f>PLANTILLA!I15</f>
        <v>1</v>
      </c>
      <c r="K21" s="50">
        <f>PLANTILLA!X15</f>
        <v>1</v>
      </c>
      <c r="L21" s="50">
        <f>PLANTILLA!Y15</f>
        <v>4</v>
      </c>
      <c r="M21" s="50">
        <f>PLANTILLA!Z15</f>
        <v>2</v>
      </c>
      <c r="N21" s="50">
        <f>PLANTILLA!AA15</f>
        <v>3</v>
      </c>
      <c r="O21" s="50">
        <f>PLANTILLA!AB15</f>
        <v>4.25</v>
      </c>
      <c r="P21" s="50">
        <f>PLANTILLA!AC15</f>
        <v>5</v>
      </c>
      <c r="Q21" s="50">
        <f>PLANTILLA!AD15</f>
        <v>6</v>
      </c>
      <c r="R21" s="50">
        <f t="shared" si="144"/>
        <v>1.9375</v>
      </c>
      <c r="S21" s="50">
        <f t="shared" si="145"/>
        <v>0.43</v>
      </c>
      <c r="T21" s="50">
        <f t="shared" si="146"/>
        <v>0.33999999999999997</v>
      </c>
      <c r="U21" s="50">
        <f t="shared" ca="1" si="147"/>
        <v>5.2915026221291805</v>
      </c>
      <c r="V21" s="50">
        <f t="shared" ca="1" si="148"/>
        <v>5.9101607423148828</v>
      </c>
      <c r="W21" s="40">
        <f t="shared" ca="1" si="149"/>
        <v>2.5739999999999998</v>
      </c>
      <c r="X21" s="40">
        <f t="shared" ca="1" si="150"/>
        <v>3.8570000000000002</v>
      </c>
      <c r="Y21" s="40">
        <f t="shared" ca="1" si="151"/>
        <v>2.5739999999999998</v>
      </c>
      <c r="Z21" s="40">
        <f t="shared" ca="1" si="152"/>
        <v>2.58</v>
      </c>
      <c r="AA21" s="40">
        <f t="shared" ca="1" si="153"/>
        <v>5</v>
      </c>
      <c r="AB21" s="40">
        <f t="shared" ca="1" si="154"/>
        <v>1.29</v>
      </c>
      <c r="AC21" s="40">
        <f t="shared" ca="1" si="155"/>
        <v>0.71399999999999997</v>
      </c>
      <c r="AD21" s="40">
        <f t="shared" ca="1" si="156"/>
        <v>1.8900000000000001</v>
      </c>
      <c r="AE21" s="40">
        <f t="shared" ca="1" si="157"/>
        <v>3.6149999999999998</v>
      </c>
      <c r="AF21" s="40">
        <f t="shared" ca="1" si="158"/>
        <v>0.94500000000000006</v>
      </c>
      <c r="AG21" s="40">
        <f t="shared" ca="1" si="159"/>
        <v>1.155</v>
      </c>
      <c r="AH21" s="40">
        <f t="shared" ca="1" si="160"/>
        <v>4.6000000000000005</v>
      </c>
      <c r="AI21" s="40">
        <f t="shared" ca="1" si="161"/>
        <v>2.0699999999999998</v>
      </c>
      <c r="AJ21" s="40">
        <f t="shared" ca="1" si="162"/>
        <v>0.501</v>
      </c>
      <c r="AK21" s="40">
        <f t="shared" ca="1" si="163"/>
        <v>2.3519999999999999</v>
      </c>
      <c r="AL21" s="40">
        <f t="shared" ca="1" si="164"/>
        <v>3.77</v>
      </c>
      <c r="AM21" s="40">
        <f t="shared" ca="1" si="165"/>
        <v>3.54</v>
      </c>
      <c r="AN21" s="40">
        <f t="shared" ca="1" si="166"/>
        <v>1.169</v>
      </c>
      <c r="AO21" s="40">
        <f t="shared" ca="1" si="167"/>
        <v>0.84599999999999997</v>
      </c>
      <c r="AP21" s="40">
        <f t="shared" ca="1" si="168"/>
        <v>1.35</v>
      </c>
      <c r="AQ21" s="40">
        <f t="shared" ca="1" si="169"/>
        <v>2.9699999999999998</v>
      </c>
      <c r="AR21" s="40">
        <f t="shared" ca="1" si="170"/>
        <v>0.67500000000000004</v>
      </c>
      <c r="AS21" s="40">
        <f t="shared" ca="1" si="171"/>
        <v>2.8319999999999999</v>
      </c>
      <c r="AT21" s="40">
        <f t="shared" ca="1" si="172"/>
        <v>0.6825</v>
      </c>
      <c r="AU21" s="40">
        <f t="shared" ca="1" si="173"/>
        <v>1.6679999999999997</v>
      </c>
      <c r="AV21" s="40">
        <f t="shared" ca="1" si="174"/>
        <v>0.34125</v>
      </c>
      <c r="AW21" s="40">
        <f t="shared" ca="1" si="175"/>
        <v>0.94500000000000006</v>
      </c>
      <c r="AX21" s="40">
        <f t="shared" ca="1" si="176"/>
        <v>2</v>
      </c>
      <c r="AY21" s="40">
        <f t="shared" ca="1" si="177"/>
        <v>0.47250000000000003</v>
      </c>
      <c r="AZ21" s="40">
        <f t="shared" ca="1" si="178"/>
        <v>3</v>
      </c>
      <c r="BA21" s="40">
        <f t="shared" ca="1" si="179"/>
        <v>1.3282499999999999</v>
      </c>
      <c r="BB21" s="40">
        <f t="shared" ca="1" si="180"/>
        <v>3.0502500000000001</v>
      </c>
      <c r="BC21" s="40">
        <f t="shared" ca="1" si="181"/>
        <v>0.66412499999999997</v>
      </c>
      <c r="BD21" s="40">
        <f t="shared" ca="1" si="182"/>
        <v>1.4549999999999998</v>
      </c>
      <c r="BE21" s="40">
        <f t="shared" ca="1" si="183"/>
        <v>1.7399999999999998</v>
      </c>
      <c r="BF21" s="40">
        <f t="shared" ca="1" si="184"/>
        <v>2.6429999999999998</v>
      </c>
      <c r="BG21" s="40">
        <f t="shared" ca="1" si="185"/>
        <v>3.9497499999999999</v>
      </c>
      <c r="BH21" s="40">
        <f t="shared" ca="1" si="186"/>
        <v>1.26525</v>
      </c>
      <c r="BI21" s="40">
        <f t="shared" ca="1" si="187"/>
        <v>2.4249999999999998</v>
      </c>
      <c r="BJ21" s="40">
        <f t="shared" ca="1" si="188"/>
        <v>1.32</v>
      </c>
      <c r="BK21" s="40">
        <f t="shared" ca="1" si="189"/>
        <v>1.143</v>
      </c>
      <c r="BL21" s="40">
        <f t="shared" ca="1" si="190"/>
        <v>3.7472500000000002</v>
      </c>
      <c r="BM21" s="40">
        <f t="shared" ca="1" si="191"/>
        <v>0.27299999999999996</v>
      </c>
      <c r="BN21" s="40">
        <f t="shared" ca="1" si="192"/>
        <v>0.89999999999999991</v>
      </c>
      <c r="BO21" s="40">
        <f t="shared" ca="1" si="193"/>
        <v>0.34</v>
      </c>
      <c r="BP21" s="40">
        <f t="shared" ca="1" si="194"/>
        <v>0.91500000000000004</v>
      </c>
      <c r="BQ21" s="40">
        <f t="shared" ca="1" si="195"/>
        <v>5.5015000000000001</v>
      </c>
      <c r="BR21" s="40">
        <f t="shared" ca="1" si="196"/>
        <v>0.70874999999999999</v>
      </c>
      <c r="BS21" s="40">
        <f t="shared" ca="1" si="197"/>
        <v>1.42</v>
      </c>
      <c r="BT21" s="40">
        <f t="shared" ca="1" si="198"/>
        <v>1.22</v>
      </c>
      <c r="BU21" s="40">
        <f t="shared" ca="1" si="199"/>
        <v>1.893</v>
      </c>
      <c r="BV21" s="40">
        <f t="shared" ca="1" si="200"/>
        <v>3.82125</v>
      </c>
      <c r="BW21" s="40">
        <f t="shared" ca="1" si="201"/>
        <v>0.77699999999999991</v>
      </c>
      <c r="BX21" s="40">
        <f t="shared" ca="1" si="202"/>
        <v>1.218</v>
      </c>
      <c r="BY21" s="40">
        <f t="shared" ca="1" si="203"/>
        <v>2.6505000000000001</v>
      </c>
      <c r="BZ21" s="40">
        <f t="shared" ca="1" si="204"/>
        <v>6.3487499999999999</v>
      </c>
      <c r="CA21" s="40">
        <f t="shared" ca="1" si="205"/>
        <v>2.6505000000000001</v>
      </c>
      <c r="CB21" s="40">
        <f t="shared" ca="1" si="206"/>
        <v>3.1894999999999998</v>
      </c>
      <c r="CC21" s="40">
        <f t="shared" ca="1" si="207"/>
        <v>7.9372499999999997</v>
      </c>
      <c r="CD21" s="40">
        <f t="shared" ca="1" si="208"/>
        <v>3.1894999999999998</v>
      </c>
      <c r="CE21" s="40">
        <f t="shared" ca="1" si="209"/>
        <v>0.75</v>
      </c>
    </row>
    <row r="22" spans="1:83" x14ac:dyDescent="0.25">
      <c r="A22" t="str">
        <f>PLANTILLA!D8</f>
        <v>Eckardt Hägerling</v>
      </c>
      <c r="B22">
        <f>PLANTILLA!E8</f>
        <v>17</v>
      </c>
      <c r="C22" s="36">
        <f ca="1">PLANTILLA!F8</f>
        <v>42</v>
      </c>
      <c r="D22" s="240" t="str">
        <f>PLANTILLA!G8</f>
        <v>IMP</v>
      </c>
      <c r="E22" s="33">
        <v>42347</v>
      </c>
      <c r="F22" s="51">
        <f>PLANTILLA!Q8</f>
        <v>6</v>
      </c>
      <c r="G22" s="52">
        <f t="shared" si="141"/>
        <v>0.92582009977255142</v>
      </c>
      <c r="H22" s="52">
        <f t="shared" si="142"/>
        <v>0.99928545900129484</v>
      </c>
      <c r="I22" s="55">
        <f t="shared" ca="1" si="143"/>
        <v>1</v>
      </c>
      <c r="J22" s="42">
        <f>PLANTILLA!I8</f>
        <v>1</v>
      </c>
      <c r="K22" s="50">
        <f>PLANTILLA!X8</f>
        <v>0</v>
      </c>
      <c r="L22" s="50">
        <f>PLANTILLA!Y8</f>
        <v>5</v>
      </c>
      <c r="M22" s="50">
        <f>PLANTILLA!Z8</f>
        <v>3</v>
      </c>
      <c r="N22" s="50">
        <f>PLANTILLA!AA8</f>
        <v>4</v>
      </c>
      <c r="O22" s="50">
        <f>PLANTILLA!AB8</f>
        <v>2.3828</v>
      </c>
      <c r="P22" s="50">
        <f>PLANTILLA!AC8</f>
        <v>3</v>
      </c>
      <c r="Q22" s="50">
        <f>PLANTILLA!AD8</f>
        <v>3</v>
      </c>
      <c r="R22" s="50">
        <f t="shared" si="144"/>
        <v>1.5956999999999999</v>
      </c>
      <c r="S22" s="50">
        <f t="shared" si="145"/>
        <v>0.24</v>
      </c>
      <c r="T22" s="50">
        <f t="shared" si="146"/>
        <v>0.28999999999999998</v>
      </c>
      <c r="U22" s="50">
        <f t="shared" ca="1" si="147"/>
        <v>3.7032803990902057</v>
      </c>
      <c r="V22" s="50">
        <f t="shared" ca="1" si="148"/>
        <v>3.9971418360051794</v>
      </c>
      <c r="W22" s="40">
        <f t="shared" ca="1" si="149"/>
        <v>2.2530000000000001</v>
      </c>
      <c r="X22" s="40">
        <f t="shared" ca="1" si="150"/>
        <v>3.4159999999999999</v>
      </c>
      <c r="Y22" s="40">
        <f t="shared" ca="1" si="151"/>
        <v>2.2530000000000001</v>
      </c>
      <c r="Z22" s="40">
        <f t="shared" ca="1" si="152"/>
        <v>3.0960000000000001</v>
      </c>
      <c r="AA22" s="40">
        <f t="shared" ca="1" si="153"/>
        <v>6</v>
      </c>
      <c r="AB22" s="40">
        <f t="shared" ca="1" si="154"/>
        <v>1.548</v>
      </c>
      <c r="AC22" s="40">
        <f t="shared" ca="1" si="155"/>
        <v>0.95199999999999996</v>
      </c>
      <c r="AD22" s="40">
        <f t="shared" ca="1" si="156"/>
        <v>2.2679999999999998</v>
      </c>
      <c r="AE22" s="40">
        <f t="shared" ca="1" si="157"/>
        <v>4.3380000000000001</v>
      </c>
      <c r="AF22" s="40">
        <f t="shared" ca="1" si="158"/>
        <v>1.1339999999999999</v>
      </c>
      <c r="AG22" s="40">
        <f t="shared" ca="1" si="159"/>
        <v>1.54</v>
      </c>
      <c r="AH22" s="40">
        <f t="shared" ca="1" si="160"/>
        <v>5.5200000000000005</v>
      </c>
      <c r="AI22" s="40">
        <f t="shared" ca="1" si="161"/>
        <v>2.484</v>
      </c>
      <c r="AJ22" s="40">
        <f t="shared" ca="1" si="162"/>
        <v>0.66800000000000004</v>
      </c>
      <c r="AK22" s="40">
        <f t="shared" ca="1" si="163"/>
        <v>2.94</v>
      </c>
      <c r="AL22" s="40">
        <f t="shared" ca="1" si="164"/>
        <v>4.524</v>
      </c>
      <c r="AM22" s="40">
        <f t="shared" ca="1" si="165"/>
        <v>4.2479999999999993</v>
      </c>
      <c r="AN22" s="40">
        <f t="shared" ca="1" si="166"/>
        <v>0.66800000000000004</v>
      </c>
      <c r="AO22" s="40">
        <f t="shared" ca="1" si="167"/>
        <v>0.74756159999999994</v>
      </c>
      <c r="AP22" s="40">
        <f t="shared" ca="1" si="168"/>
        <v>1.62</v>
      </c>
      <c r="AQ22" s="40">
        <f t="shared" ca="1" si="169"/>
        <v>3.5640000000000001</v>
      </c>
      <c r="AR22" s="40">
        <f t="shared" ca="1" si="170"/>
        <v>0.81</v>
      </c>
      <c r="AS22" s="40">
        <f t="shared" ca="1" si="171"/>
        <v>3.7759999999999998</v>
      </c>
      <c r="AT22" s="40">
        <f t="shared" ca="1" si="172"/>
        <v>0.43976400000000004</v>
      </c>
      <c r="AU22" s="40">
        <f t="shared" ca="1" si="173"/>
        <v>1.0979359999999998</v>
      </c>
      <c r="AV22" s="40">
        <f t="shared" ca="1" si="174"/>
        <v>0.21988200000000002</v>
      </c>
      <c r="AW22" s="40">
        <f t="shared" ca="1" si="175"/>
        <v>1.1339999999999999</v>
      </c>
      <c r="AX22" s="40">
        <f t="shared" ca="1" si="176"/>
        <v>2.4000000000000004</v>
      </c>
      <c r="AY22" s="40">
        <f t="shared" ca="1" si="177"/>
        <v>0.56699999999999995</v>
      </c>
      <c r="AZ22" s="40">
        <f t="shared" ca="1" si="178"/>
        <v>4</v>
      </c>
      <c r="BA22" s="40">
        <f t="shared" ca="1" si="179"/>
        <v>0.85584840000000006</v>
      </c>
      <c r="BB22" s="40">
        <f t="shared" ca="1" si="180"/>
        <v>1.9935347999999999</v>
      </c>
      <c r="BC22" s="40">
        <f t="shared" ca="1" si="181"/>
        <v>0.42792420000000003</v>
      </c>
      <c r="BD22" s="40">
        <f t="shared" ca="1" si="182"/>
        <v>1.746</v>
      </c>
      <c r="BE22" s="40">
        <f t="shared" ca="1" si="183"/>
        <v>2.0880000000000001</v>
      </c>
      <c r="BF22" s="40">
        <f t="shared" ca="1" si="184"/>
        <v>3.524</v>
      </c>
      <c r="BG22" s="40">
        <f t="shared" ca="1" si="185"/>
        <v>3.9355819999999997</v>
      </c>
      <c r="BH22" s="40">
        <f t="shared" ca="1" si="186"/>
        <v>0.81525479999999995</v>
      </c>
      <c r="BI22" s="40">
        <f t="shared" ca="1" si="187"/>
        <v>2.91</v>
      </c>
      <c r="BJ22" s="40">
        <f t="shared" ca="1" si="188"/>
        <v>1.5840000000000001</v>
      </c>
      <c r="BK22" s="40">
        <f t="shared" ca="1" si="189"/>
        <v>1.524</v>
      </c>
      <c r="BL22" s="40">
        <f t="shared" ca="1" si="190"/>
        <v>4.0449428000000003</v>
      </c>
      <c r="BM22" s="40">
        <f t="shared" ca="1" si="191"/>
        <v>0.1759056</v>
      </c>
      <c r="BN22" s="40">
        <f t="shared" ca="1" si="192"/>
        <v>1.08</v>
      </c>
      <c r="BO22" s="40">
        <f t="shared" ca="1" si="193"/>
        <v>0.40800000000000003</v>
      </c>
      <c r="BP22" s="40">
        <f t="shared" ca="1" si="194"/>
        <v>1.22</v>
      </c>
      <c r="BQ22" s="40">
        <f t="shared" ca="1" si="195"/>
        <v>5.9674807999999997</v>
      </c>
      <c r="BR22" s="40">
        <f t="shared" ca="1" si="196"/>
        <v>0.45667800000000003</v>
      </c>
      <c r="BS22" s="40">
        <f t="shared" ca="1" si="197"/>
        <v>1.7039999999999997</v>
      </c>
      <c r="BT22" s="40">
        <f t="shared" ca="1" si="198"/>
        <v>1.464</v>
      </c>
      <c r="BU22" s="40">
        <f t="shared" ca="1" si="199"/>
        <v>2.524</v>
      </c>
      <c r="BV22" s="40">
        <f t="shared" ca="1" si="200"/>
        <v>4.1628803999999997</v>
      </c>
      <c r="BW22" s="40">
        <f t="shared" ca="1" si="201"/>
        <v>0.50065439999999994</v>
      </c>
      <c r="BX22" s="40">
        <f t="shared" ca="1" si="202"/>
        <v>1.6240000000000001</v>
      </c>
      <c r="BY22" s="40">
        <f t="shared" ca="1" si="203"/>
        <v>2.0737000000000001</v>
      </c>
      <c r="BZ22" s="40">
        <f t="shared" ca="1" si="204"/>
        <v>4.1688603999999998</v>
      </c>
      <c r="CA22" s="40">
        <f t="shared" ca="1" si="205"/>
        <v>2.0737000000000001</v>
      </c>
      <c r="CB22" s="40">
        <f t="shared" ca="1" si="206"/>
        <v>2.6253576000000001</v>
      </c>
      <c r="CC22" s="40">
        <f t="shared" ca="1" si="207"/>
        <v>5.2482531999999997</v>
      </c>
      <c r="CD22" s="40">
        <f t="shared" ca="1" si="208"/>
        <v>2.6253576000000001</v>
      </c>
      <c r="CE22" s="40">
        <f t="shared" ca="1" si="209"/>
        <v>1</v>
      </c>
    </row>
    <row r="23" spans="1:83" x14ac:dyDescent="0.25">
      <c r="A23" t="str">
        <f>PLANTILLA!D14</f>
        <v>Paulo Beltrán</v>
      </c>
      <c r="B23">
        <f>PLANTILLA!E14</f>
        <v>17</v>
      </c>
      <c r="C23" s="36">
        <f ca="1">PLANTILLA!F14</f>
        <v>50</v>
      </c>
      <c r="D23" s="240" t="str">
        <f>PLANTILLA!G14</f>
        <v>RAP</v>
      </c>
      <c r="E23" s="33">
        <v>42348</v>
      </c>
      <c r="F23" s="51">
        <f>PLANTILLA!Q14</f>
        <v>5</v>
      </c>
      <c r="G23" s="52">
        <f t="shared" si="141"/>
        <v>0.84515425472851657</v>
      </c>
      <c r="H23" s="52">
        <f t="shared" si="142"/>
        <v>0.92504826128926143</v>
      </c>
      <c r="I23" s="55">
        <f t="shared" ca="1" si="143"/>
        <v>1</v>
      </c>
      <c r="J23" s="42">
        <f>PLANTILLA!I14</f>
        <v>1</v>
      </c>
      <c r="K23" s="50">
        <f>PLANTILLA!X14</f>
        <v>0</v>
      </c>
      <c r="L23" s="50">
        <f>PLANTILLA!Y14</f>
        <v>4</v>
      </c>
      <c r="M23" s="50">
        <f>PLANTILLA!Z14</f>
        <v>2</v>
      </c>
      <c r="N23" s="50">
        <f>PLANTILLA!AA14</f>
        <v>5</v>
      </c>
      <c r="O23" s="50">
        <f>PLANTILLA!AB14</f>
        <v>3.29</v>
      </c>
      <c r="P23" s="50">
        <f>PLANTILLA!AC14</f>
        <v>4</v>
      </c>
      <c r="Q23" s="50">
        <f>PLANTILLA!AD14</f>
        <v>4</v>
      </c>
      <c r="R23" s="50">
        <f t="shared" si="144"/>
        <v>1.6975</v>
      </c>
      <c r="S23" s="50">
        <f t="shared" si="145"/>
        <v>0.32</v>
      </c>
      <c r="T23" s="50">
        <f t="shared" si="146"/>
        <v>0.27999999999999997</v>
      </c>
      <c r="U23" s="50">
        <f t="shared" ca="1" si="147"/>
        <v>4.2257712736425832</v>
      </c>
      <c r="V23" s="50">
        <f t="shared" ca="1" si="148"/>
        <v>4.6252413064463074</v>
      </c>
      <c r="W23" s="40">
        <f t="shared" ca="1" si="149"/>
        <v>1.9770000000000001</v>
      </c>
      <c r="X23" s="40">
        <f t="shared" ca="1" si="150"/>
        <v>2.9910000000000001</v>
      </c>
      <c r="Y23" s="40">
        <f t="shared" ca="1" si="151"/>
        <v>1.9770000000000001</v>
      </c>
      <c r="Z23" s="40">
        <f t="shared" ca="1" si="152"/>
        <v>2.58</v>
      </c>
      <c r="AA23" s="40">
        <f t="shared" ca="1" si="153"/>
        <v>5</v>
      </c>
      <c r="AB23" s="40">
        <f t="shared" ca="1" si="154"/>
        <v>1.29</v>
      </c>
      <c r="AC23" s="40">
        <f t="shared" ca="1" si="155"/>
        <v>0.71399999999999997</v>
      </c>
      <c r="AD23" s="40">
        <f t="shared" ca="1" si="156"/>
        <v>1.8900000000000001</v>
      </c>
      <c r="AE23" s="40">
        <f t="shared" ca="1" si="157"/>
        <v>3.6149999999999998</v>
      </c>
      <c r="AF23" s="40">
        <f t="shared" ca="1" si="158"/>
        <v>0.94500000000000006</v>
      </c>
      <c r="AG23" s="40">
        <f t="shared" ca="1" si="159"/>
        <v>1.155</v>
      </c>
      <c r="AH23" s="40">
        <f t="shared" ca="1" si="160"/>
        <v>4.6000000000000005</v>
      </c>
      <c r="AI23" s="40">
        <f t="shared" ca="1" si="161"/>
        <v>2.0699999999999998</v>
      </c>
      <c r="AJ23" s="40">
        <f t="shared" ca="1" si="162"/>
        <v>0.501</v>
      </c>
      <c r="AK23" s="40">
        <f t="shared" ca="1" si="163"/>
        <v>3.5279999999999996</v>
      </c>
      <c r="AL23" s="40">
        <f t="shared" ca="1" si="164"/>
        <v>3.77</v>
      </c>
      <c r="AM23" s="40">
        <f t="shared" ca="1" si="165"/>
        <v>3.54</v>
      </c>
      <c r="AN23" s="40">
        <f t="shared" ca="1" si="166"/>
        <v>0.83500000000000008</v>
      </c>
      <c r="AO23" s="40">
        <f t="shared" ca="1" si="167"/>
        <v>0.7768799999999999</v>
      </c>
      <c r="AP23" s="40">
        <f t="shared" ca="1" si="168"/>
        <v>1.35</v>
      </c>
      <c r="AQ23" s="40">
        <f t="shared" ca="1" si="169"/>
        <v>2.9699999999999998</v>
      </c>
      <c r="AR23" s="40">
        <f t="shared" ca="1" si="170"/>
        <v>0.67500000000000004</v>
      </c>
      <c r="AS23" s="40">
        <f t="shared" ca="1" si="171"/>
        <v>2.8319999999999999</v>
      </c>
      <c r="AT23" s="40">
        <f t="shared" ca="1" si="172"/>
        <v>0.55769999999999997</v>
      </c>
      <c r="AU23" s="40">
        <f t="shared" ca="1" si="173"/>
        <v>1.3797999999999999</v>
      </c>
      <c r="AV23" s="40">
        <f t="shared" ca="1" si="174"/>
        <v>0.27884999999999999</v>
      </c>
      <c r="AW23" s="40">
        <f t="shared" ca="1" si="175"/>
        <v>0.94500000000000006</v>
      </c>
      <c r="AX23" s="40">
        <f t="shared" ca="1" si="176"/>
        <v>2</v>
      </c>
      <c r="AY23" s="40">
        <f t="shared" ca="1" si="177"/>
        <v>0.47250000000000003</v>
      </c>
      <c r="AZ23" s="40">
        <f t="shared" ca="1" si="178"/>
        <v>3</v>
      </c>
      <c r="BA23" s="40">
        <f t="shared" ca="1" si="179"/>
        <v>1.0853699999999999</v>
      </c>
      <c r="BB23" s="40">
        <f t="shared" ca="1" si="180"/>
        <v>2.5128900000000001</v>
      </c>
      <c r="BC23" s="40">
        <f t="shared" ca="1" si="181"/>
        <v>0.54268499999999997</v>
      </c>
      <c r="BD23" s="40">
        <f t="shared" ca="1" si="182"/>
        <v>1.4549999999999998</v>
      </c>
      <c r="BE23" s="40">
        <f t="shared" ca="1" si="183"/>
        <v>1.7399999999999998</v>
      </c>
      <c r="BF23" s="40">
        <f t="shared" ca="1" si="184"/>
        <v>2.6429999999999998</v>
      </c>
      <c r="BG23" s="40">
        <f t="shared" ca="1" si="185"/>
        <v>4.79535</v>
      </c>
      <c r="BH23" s="40">
        <f t="shared" ca="1" si="186"/>
        <v>1.03389</v>
      </c>
      <c r="BI23" s="40">
        <f t="shared" ca="1" si="187"/>
        <v>2.4249999999999998</v>
      </c>
      <c r="BJ23" s="40">
        <f t="shared" ca="1" si="188"/>
        <v>1.32</v>
      </c>
      <c r="BK23" s="40">
        <f t="shared" ca="1" si="189"/>
        <v>1.143</v>
      </c>
      <c r="BL23" s="40">
        <f t="shared" ca="1" si="190"/>
        <v>4.90029</v>
      </c>
      <c r="BM23" s="40">
        <f t="shared" ca="1" si="191"/>
        <v>0.22308</v>
      </c>
      <c r="BN23" s="40">
        <f t="shared" ca="1" si="192"/>
        <v>0.89999999999999991</v>
      </c>
      <c r="BO23" s="40">
        <f t="shared" ca="1" si="193"/>
        <v>0.34</v>
      </c>
      <c r="BP23" s="40">
        <f t="shared" ca="1" si="194"/>
        <v>0.91500000000000004</v>
      </c>
      <c r="BQ23" s="40">
        <f t="shared" ca="1" si="195"/>
        <v>7.2269399999999999</v>
      </c>
      <c r="BR23" s="40">
        <f t="shared" ca="1" si="196"/>
        <v>0.57915000000000005</v>
      </c>
      <c r="BS23" s="40">
        <f t="shared" ca="1" si="197"/>
        <v>1.42</v>
      </c>
      <c r="BT23" s="40">
        <f t="shared" ca="1" si="198"/>
        <v>1.22</v>
      </c>
      <c r="BU23" s="40">
        <f t="shared" ca="1" si="199"/>
        <v>1.893</v>
      </c>
      <c r="BV23" s="40">
        <f t="shared" ca="1" si="200"/>
        <v>5.0399699999999994</v>
      </c>
      <c r="BW23" s="40">
        <f t="shared" ca="1" si="201"/>
        <v>0.63491999999999993</v>
      </c>
      <c r="BX23" s="40">
        <f t="shared" ca="1" si="202"/>
        <v>1.218</v>
      </c>
      <c r="BY23" s="40">
        <f t="shared" ca="1" si="203"/>
        <v>2.5714999999999999</v>
      </c>
      <c r="BZ23" s="40">
        <f t="shared" ca="1" si="204"/>
        <v>5.2444699999999997</v>
      </c>
      <c r="CA23" s="40">
        <f t="shared" ca="1" si="205"/>
        <v>2.5714999999999999</v>
      </c>
      <c r="CB23" s="40">
        <f t="shared" ca="1" si="206"/>
        <v>3.2351800000000002</v>
      </c>
      <c r="CC23" s="40">
        <f t="shared" ca="1" si="207"/>
        <v>6.5830099999999998</v>
      </c>
      <c r="CD23" s="40">
        <f t="shared" ca="1" si="208"/>
        <v>3.2351800000000002</v>
      </c>
      <c r="CE23" s="40">
        <f t="shared" ca="1" si="209"/>
        <v>0.75</v>
      </c>
    </row>
    <row r="24" spans="1:83" x14ac:dyDescent="0.25">
      <c r="A24" t="str">
        <f>PLANTILLA!D16</f>
        <v>Nicolás Eans</v>
      </c>
      <c r="B24">
        <f>PLANTILLA!E16</f>
        <v>17</v>
      </c>
      <c r="C24" s="36">
        <f ca="1">PLANTILLA!F16</f>
        <v>83</v>
      </c>
      <c r="D24" s="240" t="str">
        <f>PLANTILLA!G16</f>
        <v>TEC</v>
      </c>
      <c r="E24" s="33">
        <v>42349</v>
      </c>
      <c r="F24" s="51">
        <f>PLANTILLA!Q16</f>
        <v>7</v>
      </c>
      <c r="G24" s="52">
        <f t="shared" si="141"/>
        <v>1</v>
      </c>
      <c r="H24" s="52">
        <f t="shared" si="142"/>
        <v>1</v>
      </c>
      <c r="I24" s="55">
        <f t="shared" ca="1" si="143"/>
        <v>1</v>
      </c>
      <c r="J24" s="42">
        <f>PLANTILLA!I16</f>
        <v>0.5</v>
      </c>
      <c r="K24" s="50">
        <f>PLANTILLA!X16</f>
        <v>0</v>
      </c>
      <c r="L24" s="50">
        <f>PLANTILLA!Y16</f>
        <v>5</v>
      </c>
      <c r="M24" s="50">
        <f>PLANTILLA!Z16</f>
        <v>2</v>
      </c>
      <c r="N24" s="50">
        <f>PLANTILLA!AA16</f>
        <v>3</v>
      </c>
      <c r="O24" s="50">
        <f>PLANTILLA!AB16</f>
        <v>4.5</v>
      </c>
      <c r="P24" s="50">
        <f>PLANTILLA!AC16</f>
        <v>6</v>
      </c>
      <c r="Q24" s="50">
        <f>PLANTILLA!AD16</f>
        <v>3</v>
      </c>
      <c r="R24" s="50">
        <f t="shared" si="144"/>
        <v>2.125</v>
      </c>
      <c r="S24" s="50">
        <f t="shared" si="145"/>
        <v>0.39</v>
      </c>
      <c r="T24" s="50">
        <f t="shared" si="146"/>
        <v>0.28999999999999998</v>
      </c>
      <c r="U24" s="50">
        <f t="shared" ca="1" si="147"/>
        <v>3.5986266724480251</v>
      </c>
      <c r="V24" s="50">
        <f t="shared" ca="1" si="148"/>
        <v>3.5986266724480251</v>
      </c>
      <c r="W24" s="40">
        <f t="shared" ca="1" si="149"/>
        <v>1.902601085047126</v>
      </c>
      <c r="X24" s="40">
        <f t="shared" ca="1" si="150"/>
        <v>2.8978270341304002</v>
      </c>
      <c r="Y24" s="40">
        <f t="shared" ca="1" si="151"/>
        <v>1.902601085047126</v>
      </c>
      <c r="Z24" s="40">
        <f t="shared" ca="1" si="152"/>
        <v>2.8888913629831809</v>
      </c>
      <c r="AA24" s="40">
        <f t="shared" ca="1" si="153"/>
        <v>5.5986266724480247</v>
      </c>
      <c r="AB24" s="40">
        <f t="shared" ca="1" si="154"/>
        <v>1.4444456814915905</v>
      </c>
      <c r="AC24" s="40">
        <f t="shared" ca="1" si="155"/>
        <v>0.61847314804262998</v>
      </c>
      <c r="AD24" s="40">
        <f t="shared" ca="1" si="156"/>
        <v>2.1162808821853534</v>
      </c>
      <c r="AE24" s="40">
        <f t="shared" ca="1" si="157"/>
        <v>4.0478070841799214</v>
      </c>
      <c r="AF24" s="40">
        <f t="shared" ca="1" si="158"/>
        <v>1.0581404410926767</v>
      </c>
      <c r="AG24" s="40">
        <f t="shared" ca="1" si="159"/>
        <v>1.0004712688924897</v>
      </c>
      <c r="AH24" s="40">
        <f t="shared" ca="1" si="160"/>
        <v>5.1507365386521826</v>
      </c>
      <c r="AI24" s="40">
        <f t="shared" ca="1" si="161"/>
        <v>2.3178314423934823</v>
      </c>
      <c r="AJ24" s="40">
        <f t="shared" ca="1" si="162"/>
        <v>0.4339706542988202</v>
      </c>
      <c r="AK24" s="40">
        <f t="shared" ca="1" si="163"/>
        <v>2.1159924833994386</v>
      </c>
      <c r="AL24" s="40">
        <f t="shared" ca="1" si="164"/>
        <v>4.2213645110258105</v>
      </c>
      <c r="AM24" s="40">
        <f t="shared" ca="1" si="165"/>
        <v>3.9638276840932014</v>
      </c>
      <c r="AN24" s="40">
        <f t="shared" ca="1" si="166"/>
        <v>0.60097065429882024</v>
      </c>
      <c r="AO24" s="40">
        <f t="shared" ca="1" si="167"/>
        <v>0.78440448166503118</v>
      </c>
      <c r="AP24" s="40">
        <f t="shared" ca="1" si="168"/>
        <v>1.5116292015609667</v>
      </c>
      <c r="AQ24" s="40">
        <f t="shared" ca="1" si="169"/>
        <v>3.3255842434341267</v>
      </c>
      <c r="AR24" s="40">
        <f t="shared" ca="1" si="170"/>
        <v>0.75581460078048335</v>
      </c>
      <c r="AS24" s="40">
        <f t="shared" ca="1" si="171"/>
        <v>2.4531035787909357</v>
      </c>
      <c r="AT24" s="40">
        <f t="shared" ca="1" si="172"/>
        <v>0.66282146741824322</v>
      </c>
      <c r="AU24" s="40">
        <f t="shared" ca="1" si="173"/>
        <v>1.753397615027271</v>
      </c>
      <c r="AV24" s="40">
        <f t="shared" ca="1" si="174"/>
        <v>0.33141073370912161</v>
      </c>
      <c r="AW24" s="40">
        <f t="shared" ca="1" si="175"/>
        <v>1.0581404410926767</v>
      </c>
      <c r="AX24" s="40">
        <f t="shared" ca="1" si="176"/>
        <v>2.23945066897921</v>
      </c>
      <c r="AY24" s="40">
        <f t="shared" ca="1" si="177"/>
        <v>0.52907022054633834</v>
      </c>
      <c r="AZ24" s="40">
        <f t="shared" ca="1" si="178"/>
        <v>2.5986266724480251</v>
      </c>
      <c r="BA24" s="40">
        <f t="shared" ca="1" si="179"/>
        <v>1.2899525481293503</v>
      </c>
      <c r="BB24" s="40">
        <f t="shared" ca="1" si="180"/>
        <v>3.1243432965188616</v>
      </c>
      <c r="BC24" s="40">
        <f t="shared" ca="1" si="181"/>
        <v>0.64497627406467517</v>
      </c>
      <c r="BD24" s="40">
        <f t="shared" ca="1" si="182"/>
        <v>1.6292003616823751</v>
      </c>
      <c r="BE24" s="40">
        <f t="shared" ca="1" si="183"/>
        <v>1.9483220820119125</v>
      </c>
      <c r="BF24" s="40">
        <f t="shared" ca="1" si="184"/>
        <v>2.2893900984267104</v>
      </c>
      <c r="BG24" s="40">
        <f t="shared" ca="1" si="185"/>
        <v>3.6716791118062941</v>
      </c>
      <c r="BH24" s="40">
        <f t="shared" ca="1" si="186"/>
        <v>1.2287690280599739</v>
      </c>
      <c r="BI24" s="40">
        <f t="shared" ca="1" si="187"/>
        <v>2.7153339361372919</v>
      </c>
      <c r="BJ24" s="40">
        <f t="shared" ca="1" si="188"/>
        <v>1.4780374415262787</v>
      </c>
      <c r="BK24" s="40">
        <f t="shared" ca="1" si="189"/>
        <v>0.99007676220269758</v>
      </c>
      <c r="BL24" s="40">
        <f t="shared" ca="1" si="190"/>
        <v>3.4466997117195741</v>
      </c>
      <c r="BM24" s="40">
        <f t="shared" ca="1" si="191"/>
        <v>0.2651285869672973</v>
      </c>
      <c r="BN24" s="40">
        <f t="shared" ca="1" si="192"/>
        <v>1.0077528010406445</v>
      </c>
      <c r="BO24" s="40">
        <f t="shared" ca="1" si="193"/>
        <v>0.38070661372646569</v>
      </c>
      <c r="BP24" s="40">
        <f t="shared" ca="1" si="194"/>
        <v>0.79258113509664763</v>
      </c>
      <c r="BQ24" s="40">
        <f t="shared" ca="1" si="195"/>
        <v>5.0568339007681598</v>
      </c>
      <c r="BR24" s="40">
        <f t="shared" ca="1" si="196"/>
        <v>0.68831460078048334</v>
      </c>
      <c r="BS24" s="40">
        <f t="shared" ca="1" si="197"/>
        <v>1.5900099749752388</v>
      </c>
      <c r="BT24" s="40">
        <f t="shared" ca="1" si="198"/>
        <v>1.366064908077318</v>
      </c>
      <c r="BU24" s="40">
        <f t="shared" ca="1" si="199"/>
        <v>1.639733430314704</v>
      </c>
      <c r="BV24" s="40">
        <f t="shared" ca="1" si="200"/>
        <v>3.5102708718409823</v>
      </c>
      <c r="BW24" s="40">
        <f t="shared" ca="1" si="201"/>
        <v>0.75459674752230765</v>
      </c>
      <c r="BX24" s="40">
        <f t="shared" ca="1" si="202"/>
        <v>1.0550424290138982</v>
      </c>
      <c r="BY24" s="40">
        <f t="shared" ca="1" si="203"/>
        <v>3.0297746301412629</v>
      </c>
      <c r="BZ24" s="40">
        <f t="shared" ca="1" si="204"/>
        <v>6.6155536331764759</v>
      </c>
      <c r="CA24" s="40">
        <f t="shared" ca="1" si="205"/>
        <v>3.0297746301412629</v>
      </c>
      <c r="CB24" s="40">
        <f t="shared" ca="1" si="206"/>
        <v>3.2349444169351198</v>
      </c>
      <c r="CC24" s="40">
        <f t="shared" ca="1" si="207"/>
        <v>8.4800199145813462</v>
      </c>
      <c r="CD24" s="40">
        <f t="shared" ca="1" si="208"/>
        <v>3.2349444169351198</v>
      </c>
      <c r="CE24" s="40">
        <f t="shared" ca="1" si="209"/>
        <v>0.64965666811200629</v>
      </c>
    </row>
    <row r="25" spans="1:83" x14ac:dyDescent="0.25">
      <c r="A25" t="str">
        <f>PLANTILLA!D7</f>
        <v>Roberto Montero</v>
      </c>
      <c r="B25">
        <f>PLANTILLA!E7</f>
        <v>17</v>
      </c>
      <c r="C25" s="36">
        <f ca="1">PLANTILLA!F7</f>
        <v>90</v>
      </c>
      <c r="D25" s="240" t="str">
        <f>PLANTILLA!G7</f>
        <v>TEC</v>
      </c>
      <c r="E25" s="33">
        <v>42350</v>
      </c>
      <c r="F25" s="51">
        <f>PLANTILLA!Q7</f>
        <v>5</v>
      </c>
      <c r="G25" s="52">
        <f t="shared" si="141"/>
        <v>0.84515425472851657</v>
      </c>
      <c r="H25" s="52">
        <f t="shared" si="142"/>
        <v>0.92504826128926143</v>
      </c>
      <c r="I25" s="55">
        <f t="shared" ca="1" si="143"/>
        <v>1</v>
      </c>
      <c r="J25" s="42">
        <f>PLANTILLA!I7</f>
        <v>0.5</v>
      </c>
      <c r="K25" s="50">
        <f>PLANTILLA!X7</f>
        <v>0</v>
      </c>
      <c r="L25" s="50">
        <f>PLANTILLA!Y7</f>
        <v>6</v>
      </c>
      <c r="M25" s="50">
        <f>PLANTILLA!Z7</f>
        <v>4</v>
      </c>
      <c r="N25" s="50">
        <f>PLANTILLA!AA7</f>
        <v>4</v>
      </c>
      <c r="O25" s="50">
        <f>PLANTILLA!AB7</f>
        <v>3.0528</v>
      </c>
      <c r="P25" s="50">
        <f>PLANTILLA!AC7</f>
        <v>3</v>
      </c>
      <c r="Q25" s="50">
        <f>PLANTILLA!AD7</f>
        <v>6</v>
      </c>
      <c r="R25" s="50">
        <f t="shared" si="144"/>
        <v>1.8881999999999999</v>
      </c>
      <c r="S25" s="50">
        <f t="shared" si="145"/>
        <v>0.32999999999999996</v>
      </c>
      <c r="T25" s="50">
        <f t="shared" si="146"/>
        <v>0.42000000000000004</v>
      </c>
      <c r="U25" s="50">
        <f t="shared" ca="1" si="147"/>
        <v>5.5768574075845212</v>
      </c>
      <c r="V25" s="50">
        <f t="shared" ca="1" si="148"/>
        <v>6.1040481302449905</v>
      </c>
      <c r="W25" s="40">
        <f t="shared" ca="1" si="149"/>
        <v>2.1786010850471258</v>
      </c>
      <c r="X25" s="40">
        <f t="shared" ca="1" si="150"/>
        <v>3.3228270341304</v>
      </c>
      <c r="Y25" s="40">
        <f t="shared" ca="1" si="151"/>
        <v>2.1786010850471258</v>
      </c>
      <c r="Z25" s="40">
        <f t="shared" ca="1" si="152"/>
        <v>3.404891362983181</v>
      </c>
      <c r="AA25" s="40">
        <f t="shared" ca="1" si="153"/>
        <v>6.5986266724480247</v>
      </c>
      <c r="AB25" s="40">
        <f t="shared" ca="1" si="154"/>
        <v>1.7024456814915905</v>
      </c>
      <c r="AC25" s="40">
        <f t="shared" ca="1" si="155"/>
        <v>1.0944731480426297</v>
      </c>
      <c r="AD25" s="40">
        <f t="shared" ca="1" si="156"/>
        <v>2.4942808821853535</v>
      </c>
      <c r="AE25" s="40">
        <f t="shared" ca="1" si="157"/>
        <v>4.7708070841799213</v>
      </c>
      <c r="AF25" s="40">
        <f t="shared" ca="1" si="158"/>
        <v>1.2471404410926767</v>
      </c>
      <c r="AG25" s="40">
        <f t="shared" ca="1" si="159"/>
        <v>1.7704712688924895</v>
      </c>
      <c r="AH25" s="40">
        <f t="shared" ca="1" si="160"/>
        <v>6.0707365386521825</v>
      </c>
      <c r="AI25" s="40">
        <f t="shared" ca="1" si="161"/>
        <v>2.731831442393482</v>
      </c>
      <c r="AJ25" s="40">
        <f t="shared" ca="1" si="162"/>
        <v>0.76797065429882017</v>
      </c>
      <c r="AK25" s="40">
        <f t="shared" ca="1" si="163"/>
        <v>2.7039924833994382</v>
      </c>
      <c r="AL25" s="40">
        <f t="shared" ca="1" si="164"/>
        <v>4.9753645110258109</v>
      </c>
      <c r="AM25" s="40">
        <f t="shared" ca="1" si="165"/>
        <v>4.6718276840932011</v>
      </c>
      <c r="AN25" s="40">
        <f t="shared" ca="1" si="166"/>
        <v>1.1019706542988201</v>
      </c>
      <c r="AO25" s="40">
        <f t="shared" ca="1" si="167"/>
        <v>0.71620608166503119</v>
      </c>
      <c r="AP25" s="40">
        <f t="shared" ca="1" si="168"/>
        <v>1.7816292015609667</v>
      </c>
      <c r="AQ25" s="40">
        <f t="shared" ca="1" si="169"/>
        <v>3.9195842434341266</v>
      </c>
      <c r="AR25" s="40">
        <f t="shared" ca="1" si="170"/>
        <v>0.89081460078048336</v>
      </c>
      <c r="AS25" s="40">
        <f t="shared" ca="1" si="171"/>
        <v>4.3411035787909347</v>
      </c>
      <c r="AT25" s="40">
        <f t="shared" ca="1" si="172"/>
        <v>0.47468546741824325</v>
      </c>
      <c r="AU25" s="40">
        <f t="shared" ca="1" si="173"/>
        <v>1.0607336150272713</v>
      </c>
      <c r="AV25" s="40">
        <f t="shared" ca="1" si="174"/>
        <v>0.23734273370912162</v>
      </c>
      <c r="AW25" s="40">
        <f t="shared" ca="1" si="175"/>
        <v>1.2471404410926767</v>
      </c>
      <c r="AX25" s="40">
        <f t="shared" ca="1" si="176"/>
        <v>2.6394506689792099</v>
      </c>
      <c r="AY25" s="40">
        <f t="shared" ca="1" si="177"/>
        <v>0.62357022054633837</v>
      </c>
      <c r="AZ25" s="40">
        <f t="shared" ca="1" si="178"/>
        <v>4.5986266724480247</v>
      </c>
      <c r="BA25" s="40">
        <f t="shared" ca="1" si="179"/>
        <v>0.92381094812935027</v>
      </c>
      <c r="BB25" s="40">
        <f t="shared" ca="1" si="180"/>
        <v>2.0008480965188618</v>
      </c>
      <c r="BC25" s="40">
        <f t="shared" ca="1" si="181"/>
        <v>0.46190547406467514</v>
      </c>
      <c r="BD25" s="40">
        <f t="shared" ca="1" si="182"/>
        <v>1.9202003616823751</v>
      </c>
      <c r="BE25" s="40">
        <f t="shared" ca="1" si="183"/>
        <v>2.2963220820119123</v>
      </c>
      <c r="BF25" s="40">
        <f t="shared" ca="1" si="184"/>
        <v>4.0513900984267099</v>
      </c>
      <c r="BG25" s="40">
        <f t="shared" ca="1" si="185"/>
        <v>3.7898111118062938</v>
      </c>
      <c r="BH25" s="40">
        <f t="shared" ca="1" si="186"/>
        <v>0.87999382805997395</v>
      </c>
      <c r="BI25" s="40">
        <f t="shared" ca="1" si="187"/>
        <v>3.2003339361372918</v>
      </c>
      <c r="BJ25" s="40">
        <f t="shared" ca="1" si="188"/>
        <v>1.7420374415262787</v>
      </c>
      <c r="BK25" s="40">
        <f t="shared" ca="1" si="189"/>
        <v>1.7520767622026974</v>
      </c>
      <c r="BL25" s="40">
        <f t="shared" ca="1" si="190"/>
        <v>3.8288125117195735</v>
      </c>
      <c r="BM25" s="40">
        <f t="shared" ca="1" si="191"/>
        <v>0.18987418696729727</v>
      </c>
      <c r="BN25" s="40">
        <f t="shared" ca="1" si="192"/>
        <v>1.1877528010406444</v>
      </c>
      <c r="BO25" s="40">
        <f t="shared" ca="1" si="193"/>
        <v>0.4487066137264657</v>
      </c>
      <c r="BP25" s="40">
        <f t="shared" ca="1" si="194"/>
        <v>1.4025811350966475</v>
      </c>
      <c r="BQ25" s="40">
        <f t="shared" ca="1" si="195"/>
        <v>5.6429347007681594</v>
      </c>
      <c r="BR25" s="40">
        <f t="shared" ca="1" si="196"/>
        <v>0.49294260078048335</v>
      </c>
      <c r="BS25" s="40">
        <f t="shared" ca="1" si="197"/>
        <v>1.8740099749752388</v>
      </c>
      <c r="BT25" s="40">
        <f t="shared" ca="1" si="198"/>
        <v>1.6100649080773179</v>
      </c>
      <c r="BU25" s="40">
        <f t="shared" ca="1" si="199"/>
        <v>2.9017334303147035</v>
      </c>
      <c r="BV25" s="40">
        <f t="shared" ca="1" si="200"/>
        <v>3.9329612718409819</v>
      </c>
      <c r="BW25" s="40">
        <f t="shared" ca="1" si="201"/>
        <v>0.54041114752230768</v>
      </c>
      <c r="BX25" s="40">
        <f t="shared" ca="1" si="202"/>
        <v>1.8670424290138981</v>
      </c>
      <c r="BY25" s="40">
        <f t="shared" ca="1" si="203"/>
        <v>2.3298818301412627</v>
      </c>
      <c r="BZ25" s="40">
        <f t="shared" ca="1" si="204"/>
        <v>4.0807240331764758</v>
      </c>
      <c r="CA25" s="40">
        <f t="shared" ca="1" si="205"/>
        <v>2.3298818301412627</v>
      </c>
      <c r="CB25" s="40">
        <f t="shared" ca="1" si="206"/>
        <v>2.4704420169351193</v>
      </c>
      <c r="CC25" s="40">
        <f t="shared" ca="1" si="207"/>
        <v>4.9460031145813463</v>
      </c>
      <c r="CD25" s="40">
        <f t="shared" ca="1" si="208"/>
        <v>2.4704420169351193</v>
      </c>
      <c r="CE25" s="40">
        <f t="shared" ca="1" si="209"/>
        <v>1.1496566681120062</v>
      </c>
    </row>
    <row r="26" spans="1:83" x14ac:dyDescent="0.25">
      <c r="A26" t="str">
        <f>PLANTILLA!D10</f>
        <v>Roberto Abenoza</v>
      </c>
      <c r="B26">
        <f>PLANTILLA!E10</f>
        <v>17</v>
      </c>
      <c r="C26" s="36">
        <f ca="1">PLANTILLA!F10</f>
        <v>71</v>
      </c>
      <c r="D26" s="240" t="str">
        <f>PLANTILLA!G10</f>
        <v>CAB</v>
      </c>
      <c r="E26" s="33">
        <v>42351</v>
      </c>
      <c r="F26" s="51">
        <f>PLANTILLA!Q10</f>
        <v>5</v>
      </c>
      <c r="G26" s="52">
        <f t="shared" si="141"/>
        <v>0.84515425472851657</v>
      </c>
      <c r="H26" s="52">
        <f t="shared" si="142"/>
        <v>0.92504826128926143</v>
      </c>
      <c r="I26" s="55">
        <f t="shared" ca="1" si="143"/>
        <v>1</v>
      </c>
      <c r="J26" s="42">
        <f>PLANTILLA!I10</f>
        <v>0.5</v>
      </c>
      <c r="K26" s="50">
        <f>PLANTILLA!X10</f>
        <v>0</v>
      </c>
      <c r="L26" s="50">
        <f>PLANTILLA!Y10</f>
        <v>2</v>
      </c>
      <c r="M26" s="50">
        <f>PLANTILLA!Z10</f>
        <v>5</v>
      </c>
      <c r="N26" s="50">
        <f>PLANTILLA!AA10</f>
        <v>3</v>
      </c>
      <c r="O26" s="50">
        <f>PLANTILLA!AB10</f>
        <v>2.1055999999999999</v>
      </c>
      <c r="P26" s="50">
        <f>PLANTILLA!AC10</f>
        <v>5</v>
      </c>
      <c r="Q26" s="50">
        <f>PLANTILLA!AD10</f>
        <v>5</v>
      </c>
      <c r="R26" s="50">
        <f t="shared" si="144"/>
        <v>1.1514</v>
      </c>
      <c r="S26" s="50">
        <f t="shared" si="145"/>
        <v>0.4</v>
      </c>
      <c r="T26" s="50">
        <f t="shared" si="146"/>
        <v>0.22999999999999998</v>
      </c>
      <c r="U26" s="50">
        <f t="shared" ca="1" si="147"/>
        <v>4.7317031528560047</v>
      </c>
      <c r="V26" s="50">
        <f t="shared" ca="1" si="148"/>
        <v>5.1789998689557288</v>
      </c>
      <c r="W26" s="40">
        <f t="shared" ca="1" si="149"/>
        <v>1.0746010850471259</v>
      </c>
      <c r="X26" s="40">
        <f t="shared" ca="1" si="150"/>
        <v>1.6228270341304003</v>
      </c>
      <c r="Y26" s="40">
        <f t="shared" ca="1" si="151"/>
        <v>1.0746010850471259</v>
      </c>
      <c r="Z26" s="40">
        <f t="shared" ca="1" si="152"/>
        <v>1.3408913629831809</v>
      </c>
      <c r="AA26" s="40">
        <f t="shared" ca="1" si="153"/>
        <v>2.5986266724480251</v>
      </c>
      <c r="AB26" s="40">
        <f t="shared" ca="1" si="154"/>
        <v>0.67044568149159045</v>
      </c>
      <c r="AC26" s="40">
        <f t="shared" ca="1" si="155"/>
        <v>1.3324731480426297</v>
      </c>
      <c r="AD26" s="40">
        <f t="shared" ca="1" si="156"/>
        <v>0.98228088218535348</v>
      </c>
      <c r="AE26" s="40">
        <f t="shared" ca="1" si="157"/>
        <v>1.878807084179922</v>
      </c>
      <c r="AF26" s="40">
        <f t="shared" ca="1" si="158"/>
        <v>0.49114044109267674</v>
      </c>
      <c r="AG26" s="40">
        <f t="shared" ca="1" si="159"/>
        <v>2.1554712688924895</v>
      </c>
      <c r="AH26" s="40">
        <f t="shared" ca="1" si="160"/>
        <v>2.3907365386521833</v>
      </c>
      <c r="AI26" s="40">
        <f t="shared" ca="1" si="161"/>
        <v>1.0758314423934823</v>
      </c>
      <c r="AJ26" s="40">
        <f t="shared" ca="1" si="162"/>
        <v>0.9349706542988202</v>
      </c>
      <c r="AK26" s="40">
        <f t="shared" ca="1" si="163"/>
        <v>2.1159924833994386</v>
      </c>
      <c r="AL26" s="40">
        <f t="shared" ca="1" si="164"/>
        <v>1.9593645110258109</v>
      </c>
      <c r="AM26" s="40">
        <f t="shared" ca="1" si="165"/>
        <v>1.8398276840932017</v>
      </c>
      <c r="AN26" s="40">
        <f t="shared" ca="1" si="166"/>
        <v>0.9349706542988202</v>
      </c>
      <c r="AO26" s="40">
        <f t="shared" ca="1" si="167"/>
        <v>0.50400768166503118</v>
      </c>
      <c r="AP26" s="40">
        <f t="shared" ca="1" si="168"/>
        <v>0.70162920156096686</v>
      </c>
      <c r="AQ26" s="40">
        <f t="shared" ca="1" si="169"/>
        <v>1.5435842434341269</v>
      </c>
      <c r="AR26" s="40">
        <f t="shared" ca="1" si="170"/>
        <v>0.35081460078048343</v>
      </c>
      <c r="AS26" s="40">
        <f t="shared" ca="1" si="171"/>
        <v>5.2851035787909346</v>
      </c>
      <c r="AT26" s="40">
        <f t="shared" ca="1" si="172"/>
        <v>0.35154946741824328</v>
      </c>
      <c r="AU26" s="40">
        <f t="shared" ca="1" si="173"/>
        <v>1.2930696150272711</v>
      </c>
      <c r="AV26" s="40">
        <f t="shared" ca="1" si="174"/>
        <v>0.17577473370912164</v>
      </c>
      <c r="AW26" s="40">
        <f t="shared" ca="1" si="175"/>
        <v>0.49114044109267674</v>
      </c>
      <c r="AX26" s="40">
        <f t="shared" ca="1" si="176"/>
        <v>1.03945066897921</v>
      </c>
      <c r="AY26" s="40">
        <f t="shared" ca="1" si="177"/>
        <v>0.24557022054633837</v>
      </c>
      <c r="AZ26" s="40">
        <f t="shared" ca="1" si="178"/>
        <v>5.5986266724480247</v>
      </c>
      <c r="BA26" s="40">
        <f t="shared" ca="1" si="179"/>
        <v>0.68416934812935037</v>
      </c>
      <c r="BB26" s="40">
        <f t="shared" ca="1" si="180"/>
        <v>2.0978528965188619</v>
      </c>
      <c r="BC26" s="40">
        <f t="shared" ca="1" si="181"/>
        <v>0.34208467406467519</v>
      </c>
      <c r="BD26" s="40">
        <f t="shared" ca="1" si="182"/>
        <v>0.75620036168237525</v>
      </c>
      <c r="BE26" s="40">
        <f t="shared" ca="1" si="183"/>
        <v>0.90432208201191266</v>
      </c>
      <c r="BF26" s="40">
        <f t="shared" ca="1" si="184"/>
        <v>4.9323900984267102</v>
      </c>
      <c r="BG26" s="40">
        <f t="shared" ca="1" si="185"/>
        <v>2.9174431118062945</v>
      </c>
      <c r="BH26" s="40">
        <f t="shared" ca="1" si="186"/>
        <v>0.65171862805997405</v>
      </c>
      <c r="BI26" s="40">
        <f t="shared" ca="1" si="187"/>
        <v>1.2603339361372921</v>
      </c>
      <c r="BJ26" s="40">
        <f t="shared" ca="1" si="188"/>
        <v>0.68603744152627866</v>
      </c>
      <c r="BK26" s="40">
        <f t="shared" ca="1" si="189"/>
        <v>2.1330767622026974</v>
      </c>
      <c r="BL26" s="40">
        <f t="shared" ca="1" si="190"/>
        <v>2.9654253117195744</v>
      </c>
      <c r="BM26" s="40">
        <f t="shared" ca="1" si="191"/>
        <v>0.14061978696729729</v>
      </c>
      <c r="BN26" s="40">
        <f t="shared" ca="1" si="192"/>
        <v>0.46775280104064448</v>
      </c>
      <c r="BO26" s="40">
        <f t="shared" ca="1" si="193"/>
        <v>0.17670661372646573</v>
      </c>
      <c r="BP26" s="40">
        <f t="shared" ca="1" si="194"/>
        <v>1.7075811350966474</v>
      </c>
      <c r="BQ26" s="40">
        <f t="shared" ca="1" si="195"/>
        <v>4.3720355007681606</v>
      </c>
      <c r="BR26" s="40">
        <f t="shared" ca="1" si="196"/>
        <v>0.36507060078048342</v>
      </c>
      <c r="BS26" s="40">
        <f t="shared" ca="1" si="197"/>
        <v>0.73800997497523912</v>
      </c>
      <c r="BT26" s="40">
        <f t="shared" ca="1" si="198"/>
        <v>0.63406490807731808</v>
      </c>
      <c r="BU26" s="40">
        <f t="shared" ca="1" si="199"/>
        <v>3.5327334303147038</v>
      </c>
      <c r="BV26" s="40">
        <f t="shared" ca="1" si="200"/>
        <v>3.0481516718409822</v>
      </c>
      <c r="BW26" s="40">
        <f t="shared" ca="1" si="201"/>
        <v>0.40022554752230771</v>
      </c>
      <c r="BX26" s="40">
        <f t="shared" ca="1" si="202"/>
        <v>2.273042429013898</v>
      </c>
      <c r="BY26" s="40">
        <f t="shared" ca="1" si="203"/>
        <v>1.9052844963454212</v>
      </c>
      <c r="BZ26" s="40">
        <f t="shared" ca="1" si="204"/>
        <v>4.7323944331764753</v>
      </c>
      <c r="CA26" s="40">
        <f t="shared" ca="1" si="205"/>
        <v>1.9052844963454212</v>
      </c>
      <c r="CB26" s="40">
        <f t="shared" ca="1" si="206"/>
        <v>2.6349396169351196</v>
      </c>
      <c r="CC26" s="40">
        <f t="shared" ca="1" si="207"/>
        <v>6.5964863145813464</v>
      </c>
      <c r="CD26" s="40">
        <f t="shared" ca="1" si="208"/>
        <v>2.6349396169351196</v>
      </c>
      <c r="CE26" s="40">
        <f t="shared" ca="1" si="209"/>
        <v>1.3996566681120062</v>
      </c>
    </row>
    <row r="27" spans="1:83" x14ac:dyDescent="0.25">
      <c r="A27" t="str">
        <f>PLANTILLA!D17</f>
        <v>Noel Fuster</v>
      </c>
      <c r="B27">
        <f>PLANTILLA!E17</f>
        <v>17</v>
      </c>
      <c r="C27" s="36">
        <f ca="1">PLANTILLA!F17</f>
        <v>39</v>
      </c>
      <c r="D27" s="240" t="str">
        <f>PLANTILLA!G17</f>
        <v>IMP</v>
      </c>
      <c r="E27" s="33">
        <v>42352</v>
      </c>
      <c r="F27" s="51">
        <f>PLANTILLA!Q17</f>
        <v>6</v>
      </c>
      <c r="G27" s="52">
        <f t="shared" si="141"/>
        <v>0.92582009977255142</v>
      </c>
      <c r="H27" s="52">
        <f t="shared" si="142"/>
        <v>0.99928545900129484</v>
      </c>
      <c r="I27" s="55">
        <f t="shared" ca="1" si="143"/>
        <v>1</v>
      </c>
      <c r="J27" s="42">
        <f>PLANTILLA!I17</f>
        <v>0.5</v>
      </c>
      <c r="K27" s="50">
        <f>PLANTILLA!X17</f>
        <v>0</v>
      </c>
      <c r="L27" s="50">
        <f>PLANTILLA!Y17</f>
        <v>4</v>
      </c>
      <c r="M27" s="50">
        <f>PLANTILLA!Z17</f>
        <v>2</v>
      </c>
      <c r="N27" s="50">
        <f>PLANTILLA!AA17</f>
        <v>2</v>
      </c>
      <c r="O27" s="50">
        <f>PLANTILLA!AB17</f>
        <v>3.0413333333333332</v>
      </c>
      <c r="P27" s="50">
        <f>PLANTILLA!AC17</f>
        <v>5</v>
      </c>
      <c r="Q27" s="50">
        <f>PLANTILLA!AD17</f>
        <v>2.5</v>
      </c>
      <c r="R27" s="50">
        <f t="shared" si="144"/>
        <v>1.6353333333333333</v>
      </c>
      <c r="S27" s="50">
        <f t="shared" si="145"/>
        <v>0.32500000000000001</v>
      </c>
      <c r="T27" s="50">
        <f t="shared" si="146"/>
        <v>0.23500000000000001</v>
      </c>
      <c r="U27" s="50">
        <f t="shared" ca="1" si="147"/>
        <v>2.8687708550437194</v>
      </c>
      <c r="V27" s="50">
        <f t="shared" ca="1" si="148"/>
        <v>3.0964125766508799</v>
      </c>
      <c r="W27" s="40">
        <f t="shared" ca="1" si="149"/>
        <v>1.626601085047126</v>
      </c>
      <c r="X27" s="40">
        <f t="shared" ca="1" si="150"/>
        <v>2.4728270341304004</v>
      </c>
      <c r="Y27" s="40">
        <f t="shared" ca="1" si="151"/>
        <v>1.626601085047126</v>
      </c>
      <c r="Z27" s="40">
        <f t="shared" ca="1" si="152"/>
        <v>2.3728913629831809</v>
      </c>
      <c r="AA27" s="40">
        <f t="shared" ca="1" si="153"/>
        <v>4.5986266724480247</v>
      </c>
      <c r="AB27" s="40">
        <f t="shared" ca="1" si="154"/>
        <v>1.1864456814915905</v>
      </c>
      <c r="AC27" s="40">
        <f t="shared" ca="1" si="155"/>
        <v>0.61847314804262998</v>
      </c>
      <c r="AD27" s="40">
        <f t="shared" ca="1" si="156"/>
        <v>1.7382808821853533</v>
      </c>
      <c r="AE27" s="40">
        <f t="shared" ca="1" si="157"/>
        <v>3.3248070841799215</v>
      </c>
      <c r="AF27" s="40">
        <f t="shared" ca="1" si="158"/>
        <v>0.86914044109267663</v>
      </c>
      <c r="AG27" s="40">
        <f t="shared" ca="1" si="159"/>
        <v>1.0004712688924897</v>
      </c>
      <c r="AH27" s="40">
        <f t="shared" ca="1" si="160"/>
        <v>4.2307365386521827</v>
      </c>
      <c r="AI27" s="40">
        <f t="shared" ca="1" si="161"/>
        <v>1.9038314423934821</v>
      </c>
      <c r="AJ27" s="40">
        <f t="shared" ca="1" si="162"/>
        <v>0.4339706542988202</v>
      </c>
      <c r="AK27" s="40">
        <f t="shared" ca="1" si="163"/>
        <v>1.5279924833994387</v>
      </c>
      <c r="AL27" s="40">
        <f t="shared" ca="1" si="164"/>
        <v>3.4673645110258104</v>
      </c>
      <c r="AM27" s="40">
        <f t="shared" ca="1" si="165"/>
        <v>3.2558276840932012</v>
      </c>
      <c r="AN27" s="40">
        <f t="shared" ca="1" si="166"/>
        <v>0.51747065429882022</v>
      </c>
      <c r="AO27" s="40">
        <f t="shared" ca="1" si="167"/>
        <v>0.64338048166503126</v>
      </c>
      <c r="AP27" s="40">
        <f t="shared" ca="1" si="168"/>
        <v>1.2416292015609667</v>
      </c>
      <c r="AQ27" s="40">
        <f t="shared" ca="1" si="169"/>
        <v>2.7315842434341264</v>
      </c>
      <c r="AR27" s="40">
        <f t="shared" ca="1" si="170"/>
        <v>0.62081460078048334</v>
      </c>
      <c r="AS27" s="40">
        <f t="shared" ca="1" si="171"/>
        <v>2.4531035787909357</v>
      </c>
      <c r="AT27" s="40">
        <f t="shared" ca="1" si="172"/>
        <v>0.47319480075157661</v>
      </c>
      <c r="AU27" s="40">
        <f t="shared" ca="1" si="173"/>
        <v>1.4053576150272713</v>
      </c>
      <c r="AV27" s="40">
        <f t="shared" ca="1" si="174"/>
        <v>0.2365974003757883</v>
      </c>
      <c r="AW27" s="40">
        <f t="shared" ca="1" si="175"/>
        <v>0.86914044109267663</v>
      </c>
      <c r="AX27" s="40">
        <f t="shared" ca="1" si="176"/>
        <v>1.8394506689792101</v>
      </c>
      <c r="AY27" s="40">
        <f t="shared" ca="1" si="177"/>
        <v>0.43457022054633831</v>
      </c>
      <c r="AZ27" s="40">
        <f t="shared" ca="1" si="178"/>
        <v>2.5986266724480251</v>
      </c>
      <c r="BA27" s="40">
        <f t="shared" ca="1" si="179"/>
        <v>0.92090988146268371</v>
      </c>
      <c r="BB27" s="40">
        <f t="shared" ca="1" si="180"/>
        <v>2.4169379631855286</v>
      </c>
      <c r="BC27" s="40">
        <f t="shared" ca="1" si="181"/>
        <v>0.46045494073134186</v>
      </c>
      <c r="BD27" s="40">
        <f t="shared" ca="1" si="182"/>
        <v>1.338200361682375</v>
      </c>
      <c r="BE27" s="40">
        <f t="shared" ca="1" si="183"/>
        <v>1.6003220820119124</v>
      </c>
      <c r="BF27" s="40">
        <f t="shared" ca="1" si="184"/>
        <v>2.2893900984267104</v>
      </c>
      <c r="BG27" s="40">
        <f t="shared" ca="1" si="185"/>
        <v>2.6381991118062942</v>
      </c>
      <c r="BH27" s="40">
        <f t="shared" ca="1" si="186"/>
        <v>0.87723036139330735</v>
      </c>
      <c r="BI27" s="40">
        <f t="shared" ca="1" si="187"/>
        <v>2.230333936137292</v>
      </c>
      <c r="BJ27" s="40">
        <f t="shared" ca="1" si="188"/>
        <v>1.2140374415262787</v>
      </c>
      <c r="BK27" s="40">
        <f t="shared" ca="1" si="189"/>
        <v>0.99007676220269758</v>
      </c>
      <c r="BL27" s="40">
        <f t="shared" ca="1" si="190"/>
        <v>2.4805077117195742</v>
      </c>
      <c r="BM27" s="40">
        <f t="shared" ca="1" si="191"/>
        <v>0.18927792030063062</v>
      </c>
      <c r="BN27" s="40">
        <f t="shared" ca="1" si="192"/>
        <v>0.82775280104064441</v>
      </c>
      <c r="BO27" s="40">
        <f t="shared" ca="1" si="193"/>
        <v>0.31270661372646569</v>
      </c>
      <c r="BP27" s="40">
        <f t="shared" ca="1" si="194"/>
        <v>0.79258113509664763</v>
      </c>
      <c r="BQ27" s="40">
        <f t="shared" ca="1" si="195"/>
        <v>3.6396552341014936</v>
      </c>
      <c r="BR27" s="40">
        <f t="shared" ca="1" si="196"/>
        <v>0.49139460078048341</v>
      </c>
      <c r="BS27" s="40">
        <f t="shared" ca="1" si="197"/>
        <v>1.306009974975239</v>
      </c>
      <c r="BT27" s="40">
        <f t="shared" ca="1" si="198"/>
        <v>1.122064908077318</v>
      </c>
      <c r="BU27" s="40">
        <f t="shared" ca="1" si="199"/>
        <v>1.639733430314704</v>
      </c>
      <c r="BV27" s="40">
        <f t="shared" ca="1" si="200"/>
        <v>2.5267482051743158</v>
      </c>
      <c r="BW27" s="40">
        <f t="shared" ca="1" si="201"/>
        <v>0.53871408085564099</v>
      </c>
      <c r="BX27" s="40">
        <f t="shared" ca="1" si="202"/>
        <v>1.0550424290138982</v>
      </c>
      <c r="BY27" s="40">
        <f t="shared" ca="1" si="203"/>
        <v>1.9952178296787544</v>
      </c>
      <c r="BZ27" s="40">
        <f t="shared" ca="1" si="204"/>
        <v>5.2404976331764761</v>
      </c>
      <c r="CA27" s="40">
        <f t="shared" ca="1" si="205"/>
        <v>1.9952178296787544</v>
      </c>
      <c r="CB27" s="40">
        <f t="shared" ca="1" si="206"/>
        <v>2.5468137502684529</v>
      </c>
      <c r="CC27" s="40">
        <f t="shared" ca="1" si="207"/>
        <v>6.9417719145813459</v>
      </c>
      <c r="CD27" s="40">
        <f t="shared" ca="1" si="208"/>
        <v>2.5468137502684529</v>
      </c>
      <c r="CE27" s="40">
        <f t="shared" ca="1" si="209"/>
        <v>0.64965666811200629</v>
      </c>
    </row>
    <row r="28" spans="1:83" x14ac:dyDescent="0.25">
      <c r="A28" t="str">
        <f>PLANTILLA!D4</f>
        <v>Marc Dolz</v>
      </c>
      <c r="B28">
        <f>PLANTILLA!E4</f>
        <v>17</v>
      </c>
      <c r="C28" s="36">
        <f ca="1">PLANTILLA!F4</f>
        <v>43</v>
      </c>
      <c r="D28" s="240" t="str">
        <f>PLANTILLA!G4</f>
        <v>POT</v>
      </c>
      <c r="E28" s="33">
        <v>42353</v>
      </c>
      <c r="F28" s="51">
        <f>PLANTILLA!Q4</f>
        <v>5</v>
      </c>
      <c r="G28" s="52">
        <f t="shared" si="141"/>
        <v>0.84515425472851657</v>
      </c>
      <c r="H28" s="52">
        <f t="shared" si="142"/>
        <v>0.92504826128926143</v>
      </c>
      <c r="I28" s="55">
        <f t="shared" ca="1" si="143"/>
        <v>1</v>
      </c>
      <c r="J28" s="42">
        <f>PLANTILLA!I4</f>
        <v>1</v>
      </c>
      <c r="K28" s="50">
        <f>PLANTILLA!X4</f>
        <v>0</v>
      </c>
      <c r="L28" s="50">
        <f>PLANTILLA!Y4</f>
        <v>4</v>
      </c>
      <c r="M28" s="50">
        <f>PLANTILLA!Z4</f>
        <v>4</v>
      </c>
      <c r="N28" s="50">
        <f>PLANTILLA!AA4</f>
        <v>3</v>
      </c>
      <c r="O28" s="50">
        <f>PLANTILLA!AB4</f>
        <v>4.2513333333333332</v>
      </c>
      <c r="P28" s="50">
        <f>PLANTILLA!AC4</f>
        <v>3</v>
      </c>
      <c r="Q28" s="50">
        <f>PLANTILLA!AD4</f>
        <v>0.4</v>
      </c>
      <c r="R28" s="50">
        <f t="shared" si="144"/>
        <v>1.9378333333333333</v>
      </c>
      <c r="S28" s="50">
        <f t="shared" si="145"/>
        <v>0.16200000000000001</v>
      </c>
      <c r="T28" s="50">
        <f t="shared" si="146"/>
        <v>0.17200000000000001</v>
      </c>
      <c r="U28" s="50">
        <f t="shared" ca="1" si="147"/>
        <v>1.1832159566199232</v>
      </c>
      <c r="V28" s="50">
        <f t="shared" ca="1" si="148"/>
        <v>1.295067565804966</v>
      </c>
      <c r="W28" s="40">
        <f t="shared" ca="1" si="149"/>
        <v>1.9770000000000001</v>
      </c>
      <c r="X28" s="40">
        <f t="shared" ca="1" si="150"/>
        <v>2.9910000000000001</v>
      </c>
      <c r="Y28" s="40">
        <f t="shared" ca="1" si="151"/>
        <v>1.9770000000000001</v>
      </c>
      <c r="Z28" s="40">
        <f t="shared" ca="1" si="152"/>
        <v>2.58</v>
      </c>
      <c r="AA28" s="40">
        <f t="shared" ca="1" si="153"/>
        <v>5</v>
      </c>
      <c r="AB28" s="40">
        <f t="shared" ca="1" si="154"/>
        <v>1.29</v>
      </c>
      <c r="AC28" s="40">
        <f t="shared" ca="1" si="155"/>
        <v>1.19</v>
      </c>
      <c r="AD28" s="40">
        <f t="shared" ca="1" si="156"/>
        <v>1.8900000000000001</v>
      </c>
      <c r="AE28" s="40">
        <f t="shared" ca="1" si="157"/>
        <v>3.6149999999999998</v>
      </c>
      <c r="AF28" s="40">
        <f t="shared" ca="1" si="158"/>
        <v>0.94500000000000006</v>
      </c>
      <c r="AG28" s="40">
        <f t="shared" ca="1" si="159"/>
        <v>1.925</v>
      </c>
      <c r="AH28" s="40">
        <f t="shared" ca="1" si="160"/>
        <v>4.6000000000000005</v>
      </c>
      <c r="AI28" s="40">
        <f t="shared" ca="1" si="161"/>
        <v>2.0699999999999998</v>
      </c>
      <c r="AJ28" s="40">
        <f t="shared" ca="1" si="162"/>
        <v>0.83500000000000008</v>
      </c>
      <c r="AK28" s="40">
        <f t="shared" ca="1" si="163"/>
        <v>2.3519999999999999</v>
      </c>
      <c r="AL28" s="40">
        <f t="shared" ca="1" si="164"/>
        <v>3.77</v>
      </c>
      <c r="AM28" s="40">
        <f t="shared" ca="1" si="165"/>
        <v>3.54</v>
      </c>
      <c r="AN28" s="40">
        <f t="shared" ca="1" si="166"/>
        <v>0.23380000000000001</v>
      </c>
      <c r="AO28" s="40">
        <f t="shared" ca="1" si="167"/>
        <v>0.84609599999999996</v>
      </c>
      <c r="AP28" s="40">
        <f t="shared" ca="1" si="168"/>
        <v>1.35</v>
      </c>
      <c r="AQ28" s="40">
        <f t="shared" ca="1" si="169"/>
        <v>2.9699999999999998</v>
      </c>
      <c r="AR28" s="40">
        <f t="shared" ca="1" si="170"/>
        <v>0.67500000000000004</v>
      </c>
      <c r="AS28" s="40">
        <f t="shared" ca="1" si="171"/>
        <v>4.72</v>
      </c>
      <c r="AT28" s="40">
        <f t="shared" ca="1" si="172"/>
        <v>0.68267333333333335</v>
      </c>
      <c r="AU28" s="40">
        <f t="shared" ca="1" si="173"/>
        <v>1.3221599999999998</v>
      </c>
      <c r="AV28" s="40">
        <f t="shared" ca="1" si="174"/>
        <v>0.34133666666666668</v>
      </c>
      <c r="AW28" s="40">
        <f t="shared" ca="1" si="175"/>
        <v>0.94500000000000006</v>
      </c>
      <c r="AX28" s="40">
        <f t="shared" ca="1" si="176"/>
        <v>2</v>
      </c>
      <c r="AY28" s="40">
        <f t="shared" ca="1" si="177"/>
        <v>0.47250000000000003</v>
      </c>
      <c r="AZ28" s="40">
        <f t="shared" ca="1" si="178"/>
        <v>5</v>
      </c>
      <c r="BA28" s="40">
        <f t="shared" ca="1" si="179"/>
        <v>1.3285873333333333</v>
      </c>
      <c r="BB28" s="40">
        <f t="shared" ca="1" si="180"/>
        <v>2.6307046666666669</v>
      </c>
      <c r="BC28" s="40">
        <f t="shared" ca="1" si="181"/>
        <v>0.66429366666666667</v>
      </c>
      <c r="BD28" s="40">
        <f t="shared" ca="1" si="182"/>
        <v>1.4549999999999998</v>
      </c>
      <c r="BE28" s="40">
        <f t="shared" ca="1" si="183"/>
        <v>1.7399999999999998</v>
      </c>
      <c r="BF28" s="40">
        <f t="shared" ca="1" si="184"/>
        <v>4.4050000000000002</v>
      </c>
      <c r="BG28" s="40">
        <f t="shared" ca="1" si="185"/>
        <v>3.95017</v>
      </c>
      <c r="BH28" s="40">
        <f t="shared" ca="1" si="186"/>
        <v>1.2655713333333332</v>
      </c>
      <c r="BI28" s="40">
        <f t="shared" ca="1" si="187"/>
        <v>2.4249999999999998</v>
      </c>
      <c r="BJ28" s="40">
        <f t="shared" ca="1" si="188"/>
        <v>1.32</v>
      </c>
      <c r="BK28" s="40">
        <f t="shared" ca="1" si="189"/>
        <v>1.905</v>
      </c>
      <c r="BL28" s="40">
        <f t="shared" ca="1" si="190"/>
        <v>3.7475180000000003</v>
      </c>
      <c r="BM28" s="40">
        <f t="shared" ca="1" si="191"/>
        <v>0.27306933333333333</v>
      </c>
      <c r="BN28" s="40">
        <f t="shared" ca="1" si="192"/>
        <v>0.89999999999999991</v>
      </c>
      <c r="BO28" s="40">
        <f t="shared" ca="1" si="193"/>
        <v>0.34</v>
      </c>
      <c r="BP28" s="40">
        <f t="shared" ca="1" si="194"/>
        <v>1.5249999999999999</v>
      </c>
      <c r="BQ28" s="40">
        <f t="shared" ca="1" si="195"/>
        <v>5.5018813333333334</v>
      </c>
      <c r="BR28" s="40">
        <f t="shared" ca="1" si="196"/>
        <v>0.70893000000000006</v>
      </c>
      <c r="BS28" s="40">
        <f t="shared" ca="1" si="197"/>
        <v>1.42</v>
      </c>
      <c r="BT28" s="40">
        <f t="shared" ca="1" si="198"/>
        <v>1.22</v>
      </c>
      <c r="BU28" s="40">
        <f t="shared" ca="1" si="199"/>
        <v>3.1550000000000002</v>
      </c>
      <c r="BV28" s="40">
        <f t="shared" ca="1" si="200"/>
        <v>3.8215073333333329</v>
      </c>
      <c r="BW28" s="40">
        <f t="shared" ca="1" si="201"/>
        <v>0.7771973333333333</v>
      </c>
      <c r="BX28" s="40">
        <f t="shared" ca="1" si="202"/>
        <v>2.0300000000000002</v>
      </c>
      <c r="BY28" s="40">
        <f t="shared" ca="1" si="203"/>
        <v>2.3968333333333334</v>
      </c>
      <c r="BZ28" s="40">
        <f t="shared" ca="1" si="204"/>
        <v>5.1834740000000004</v>
      </c>
      <c r="CA28" s="40">
        <f t="shared" ca="1" si="205"/>
        <v>2.3968333333333334</v>
      </c>
      <c r="CB28" s="40">
        <f t="shared" ca="1" si="206"/>
        <v>2.6696893333333334</v>
      </c>
      <c r="CC28" s="40">
        <f t="shared" ca="1" si="207"/>
        <v>5.9377420000000001</v>
      </c>
      <c r="CD28" s="40">
        <f t="shared" ca="1" si="208"/>
        <v>2.6696893333333334</v>
      </c>
      <c r="CE28" s="40">
        <f t="shared" ca="1" si="209"/>
        <v>1.25</v>
      </c>
    </row>
    <row r="29" spans="1:83" x14ac:dyDescent="0.25">
      <c r="A29" t="str">
        <f>PLANTILLA!D11</f>
        <v>Julio Calle</v>
      </c>
      <c r="B29">
        <f>PLANTILLA!E11</f>
        <v>17</v>
      </c>
      <c r="C29" s="36">
        <f ca="1">PLANTILLA!F11</f>
        <v>41</v>
      </c>
      <c r="D29" s="240" t="str">
        <f>PLANTILLA!G11</f>
        <v>POT</v>
      </c>
      <c r="E29" s="33">
        <v>42354</v>
      </c>
      <c r="F29" s="51">
        <f>PLANTILLA!Q11</f>
        <v>5</v>
      </c>
      <c r="G29" s="52">
        <f t="shared" ref="G29" si="210">(F29/7)^0.5</f>
        <v>0.84515425472851657</v>
      </c>
      <c r="H29" s="52">
        <f t="shared" ref="H29" si="211">IF(F29=7,1,((F29+0.99)/7)^0.5)</f>
        <v>0.92504826128926143</v>
      </c>
      <c r="I29" s="55">
        <f t="shared" ref="I29" ca="1" si="212">IF(TODAY()-E29&gt;335,1,((TODAY()-E29)^0.5)/336^0.5)</f>
        <v>1</v>
      </c>
      <c r="J29" s="42">
        <f>PLANTILLA!I11</f>
        <v>0.5</v>
      </c>
      <c r="K29" s="50">
        <f>PLANTILLA!X11</f>
        <v>0</v>
      </c>
      <c r="L29" s="50">
        <f>PLANTILLA!Y11</f>
        <v>3</v>
      </c>
      <c r="M29" s="50">
        <f>PLANTILLA!Z11</f>
        <v>4</v>
      </c>
      <c r="N29" s="50">
        <f>PLANTILLA!AA11</f>
        <v>4</v>
      </c>
      <c r="O29" s="50">
        <f>PLANTILLA!AB11</f>
        <v>3.0151111111111111</v>
      </c>
      <c r="P29" s="50">
        <f>PLANTILLA!AC11</f>
        <v>4</v>
      </c>
      <c r="Q29" s="50">
        <f>PLANTILLA!AD11</f>
        <v>1.3</v>
      </c>
      <c r="R29" s="50">
        <f t="shared" ref="R29" si="213">((2*(O29+1))+(L29+1))/8</f>
        <v>1.5037777777777777</v>
      </c>
      <c r="S29" s="50">
        <f t="shared" ref="S29" si="214">(0.5*P29+ 0.3*Q29)/10</f>
        <v>0.23900000000000002</v>
      </c>
      <c r="T29" s="50">
        <f t="shared" ref="T29" si="215">(0.4*L29+0.3*Q29)/10</f>
        <v>0.15900000000000003</v>
      </c>
      <c r="U29" s="50">
        <f t="shared" ref="U29" ca="1" si="216">IF(TODAY()-E29&gt;335,(Q29+1+(LOG(J29)*4/3))*(F29/7)^0.5,(Q29+((TODAY()-E29)^0.5)/(336^0.5)+(LOG(J29)*4/3))*(F29/7)^0.5)</f>
        <v>1.6046324103604939</v>
      </c>
      <c r="V29" s="50">
        <f t="shared" ref="V29" ca="1" si="217">IF(F29=7,U29,IF(TODAY()-E29&gt;335,(Q29+1+(LOG(J29)*4/3))*((F29+0.99)/7)^0.5,(Q29+((TODAY()-E29)^0.5)/(336^0.5)+(LOG(J29)*4/3))*((F29+0.99)/7)^0.5))</f>
        <v>1.7563213021854616</v>
      </c>
      <c r="W29" s="40">
        <f t="shared" ref="W29" ca="1" si="218">IF(TODAY()-E29&gt;335,((K29+1+(LOG(J29)*4/3))*0.597)+((L29+1+(LOG(J29)*4/3))*0.276),((K29+(((TODAY()-E29)^0.5)/(336^0.5))+(LOG(J29)*4/3))*0.597)+((L29+(((TODAY()-E29)^0.5)/(336^0.5))+(LOG(J29)*4/3))*0.276))</f>
        <v>1.3506010850471259</v>
      </c>
      <c r="X29" s="40">
        <f t="shared" ref="X29" ca="1" si="219">IF(TODAY()-E29&gt;335,((K29+1+(LOG(J29)*4/3))*0.866)+((L29+1+(LOG(J29)*4/3))*0.425),((K29+(((TODAY()-E29)^0.5)/(336^0.5))+(LOG(J29)*4/3))*0.866)+((L29+(((TODAY()-E29)^0.5)/(336^0.5))+(LOG(J29)*4/3))*0.425))</f>
        <v>2.0478270341304006</v>
      </c>
      <c r="Y29" s="40">
        <f t="shared" ref="Y29" ca="1" si="220">W29</f>
        <v>1.3506010850471259</v>
      </c>
      <c r="Z29" s="40">
        <f t="shared" ref="Z29" ca="1" si="221">IF(TODAY()-E29&gt;335,((L29+1+(LOG(J29)*4/3))*0.516),((L29+(((TODAY()-E29)^0.5)/(336^0.516))+(LOG(J29)*4/3))*0.516))</f>
        <v>1.8568913629831809</v>
      </c>
      <c r="AA29" s="40">
        <f t="shared" ref="AA29" ca="1" si="222">IF(TODAY()-E29&gt;335,((L29+1+(LOG(J29)*4/3))*1),((L29+(((TODAY()-E29)^0.5)/(336^0.5))+(LOG(J29)*4/3))*1))</f>
        <v>3.5986266724480251</v>
      </c>
      <c r="AB29" s="40">
        <f t="shared" ref="AB29" ca="1" si="223">Z29/2</f>
        <v>0.92844568149159046</v>
      </c>
      <c r="AC29" s="40">
        <f t="shared" ref="AC29" ca="1" si="224">IF(TODAY()-E29&gt;335,((M29+1+(LOG(J29)*4/3))*0.238),((M29+(((TODAY()-E29)^0.5)/(336^0.238))+(LOG(J29)*4/3))*0.238))</f>
        <v>1.0944731480426297</v>
      </c>
      <c r="AD29" s="40">
        <f t="shared" ref="AD29" ca="1" si="225">IF(TODAY()-E29&gt;335,((L29+1+(LOG(J29)*4/3))*0.378),((L29+(((TODAY()-E29)^0.5)/(336^0.516))+(LOG(J29)*4/3))*0.378))</f>
        <v>1.3602808821853536</v>
      </c>
      <c r="AE29" s="40">
        <f t="shared" ref="AE29" ca="1" si="226">IF(TODAY()-E29&gt;335,((L29+1+(LOG(J29)*4/3))*0.723),((L29+(((TODAY()-E29)^0.5)/(336^0.5))+(LOG(J29)*4/3))*0.723))</f>
        <v>2.6018070841799221</v>
      </c>
      <c r="AF29" s="40">
        <f t="shared" ref="AF29" ca="1" si="227">AD29/2</f>
        <v>0.6801404410926768</v>
      </c>
      <c r="AG29" s="40">
        <f t="shared" ref="AG29" ca="1" si="228">IF(TODAY()-E29&gt;335,((M29+1+(LOG(J29)*4/3))*0.385),((M29+(((TODAY()-E29)^0.5)/(336^0.238))+(LOG(J29)*4/3))*0.385))</f>
        <v>1.7704712688924895</v>
      </c>
      <c r="AH29" s="40">
        <f t="shared" ref="AH29" ca="1" si="229">IF(TODAY()-E29&gt;335,((L29+1+(LOG(J29)*4/3))*0.92),((L29+(((TODAY()-E29)^0.5)/(336^0.5))+(LOG(J29)*4/3))*0.92))</f>
        <v>3.3107365386521832</v>
      </c>
      <c r="AI29" s="40">
        <f t="shared" ref="AI29" ca="1" si="230">IF(TODAY()-E29&gt;335,((L29+1+(LOG(J29)*4/3))*0.414),((L29+(((TODAY()-E29)^0.5)/(336^0.414))+(LOG(J29)*4/3))*0.414))</f>
        <v>1.4898314423934824</v>
      </c>
      <c r="AJ29" s="40">
        <f t="shared" ref="AJ29" ca="1" si="231">IF(TODAY()-E29&gt;335,((M29+1+(LOG(J29)*4/3))*0.167),((M29+(((TODAY()-E29)^0.5)/(336^0.5))+(LOG(J29)*4/3))*0.167))</f>
        <v>0.76797065429882017</v>
      </c>
      <c r="AK29" s="40">
        <f t="shared" ref="AK29" ca="1" si="232">IF(TODAY()-E29&gt;335,((N29+1+(LOG(J29)*4/3))*0.588),((N29+(((TODAY()-E29)^0.5)/(336^0.5))+(LOG(J29)*4/3))*0.588))</f>
        <v>2.7039924833994382</v>
      </c>
      <c r="AL29" s="40">
        <f t="shared" ref="AL29" ca="1" si="233">IF(TODAY()-E29&gt;335,((L29+1+(LOG(J29)*4/3))*0.754),((L29+(((TODAY()-E29)^0.5)/(336^0.5))+(LOG(J29)*4/3))*0.754))</f>
        <v>2.7133645110258109</v>
      </c>
      <c r="AM29" s="40">
        <f t="shared" ref="AM29" ca="1" si="234">IF(TODAY()-E29&gt;335,((L29+1+(LOG(J29)*4/3))*0.708),((L29+(((TODAY()-E29)^0.5)/(336^0.414))+(LOG(J29)*4/3))*0.708))</f>
        <v>2.5478276840932015</v>
      </c>
      <c r="AN29" s="40">
        <f t="shared" ref="AN29" ca="1" si="235">IF(TODAY()-E29&gt;335,((Q29+1+(LOG(J29)*4/3))*0.167),((Q29+(((TODAY()-E29)^0.5)/(336^0.5))+(LOG(J29)*4/3))*0.167))</f>
        <v>0.3170706542988202</v>
      </c>
      <c r="AO29" s="40">
        <f t="shared" ref="AO29" ca="1" si="236">IF(TODAY()-E29&gt;335,((R29+1+(LOG(J29)*4/3))*0.288),((R29+(((TODAY()-E29)^0.5)/(336^0.5))+(LOG(J29)*4/3))*0.288))</f>
        <v>0.60549248166503111</v>
      </c>
      <c r="AP29" s="40">
        <f t="shared" ref="AP29" ca="1" si="237">IF(TODAY()-E29&gt;335,((L29+1+(LOG(J29)*4/3))*0.27),((L29+(((TODAY()-E29)^0.5)/(336^0.5))+(LOG(J29)*4/3))*0.27))</f>
        <v>0.97162920156096688</v>
      </c>
      <c r="AQ29" s="40">
        <f t="shared" ref="AQ29" ca="1" si="238">IF(TODAY()-E29&gt;335,((L29+1+(LOG(J29)*4/3))*0.594),((L29+(((TODAY()-E29)^0.5)/(336^0.5))+(LOG(J29)*4/3))*0.594))</f>
        <v>2.137584243434127</v>
      </c>
      <c r="AR29" s="40">
        <f t="shared" ref="AR29" ca="1" si="239">AP29/2</f>
        <v>0.48581460078048344</v>
      </c>
      <c r="AS29" s="40">
        <f t="shared" ref="AS29" ca="1" si="240">IF(TODAY()-E29&gt;335,((M29+1+(LOG(J29)*4/3))*0.944),((M29+(((TODAY()-E29)^0.5)/(336^0.5))+(LOG(J29)*4/3))*0.944))</f>
        <v>4.3411035787909347</v>
      </c>
      <c r="AT29" s="40">
        <f t="shared" ref="AT29" ca="1" si="241">IF(TODAY()-E29&gt;335,((O29+1+(LOG(J29)*4/3))*0.13),((O29+(((TODAY()-E29)^0.5)/(336^0.5))+(LOG(J29)*4/3))*0.13))</f>
        <v>0.46978591186268764</v>
      </c>
      <c r="AU29" s="40">
        <f t="shared" ref="AU29" ca="1" si="242">IF(TODAY()-E29&gt;335,((P29+1+(LOG(J29)*4/3))*0.173)+((O29+1+(LOG(J29)*4/3))*0.12),((P29+(((TODAY()-E29)^0.5)/(336^0.5))+(LOG(J29)*4/3))*0.173)+((O29+(((TODAY()-E29)^0.5)/(336^0.5))+(LOG(J29)*4/3))*0.12))</f>
        <v>1.2292109483606044</v>
      </c>
      <c r="AV29" s="40">
        <f t="shared" ref="AV29" ca="1" si="243">AT29/2</f>
        <v>0.23489295593134382</v>
      </c>
      <c r="AW29" s="40">
        <f t="shared" ref="AW29" ca="1" si="244">IF(TODAY()-E29&gt;335,((L29+1+(LOG(J29)*4/3))*0.189),((L29+(((TODAY()-E29)^0.5)/(336^0.5))+(LOG(J29)*4/3))*0.189))</f>
        <v>0.6801404410926768</v>
      </c>
      <c r="AX29" s="40">
        <f t="shared" ref="AX29" ca="1" si="245">IF(TODAY()-E29&gt;335,((L29+1+(LOG(J29)*4/3))*0.4),((L29+(((TODAY()-E29)^0.5)/(336^0.5))+(LOG(J29)*4/3))*0.4))</f>
        <v>1.4394506689792101</v>
      </c>
      <c r="AY29" s="40">
        <f t="shared" ref="AY29" ca="1" si="246">AW29/2</f>
        <v>0.3400702205463384</v>
      </c>
      <c r="AZ29" s="40">
        <f t="shared" ref="AZ29" ca="1" si="247">IF(TODAY()-E29&gt;335,((M29+1+(LOG(J29)*4/3))*1),((M29+(((TODAY()-E29)^0.5)/(336^0.5))+(LOG(J29)*4/3))*1))</f>
        <v>4.5986266724480247</v>
      </c>
      <c r="BA29" s="40">
        <f t="shared" ref="BA29" ca="1" si="248">IF(TODAY()-E29&gt;335,((O29+1+(LOG(J29)*4/3))*0.253),((O29+(((TODAY()-E29)^0.5)/(336^0.5))+(LOG(J29)*4/3))*0.253))</f>
        <v>0.91427565924046139</v>
      </c>
      <c r="BB29" s="40">
        <f t="shared" ref="BB29" ca="1" si="249">IF(TODAY()-E29&gt;335,((P29+1+(LOG(J29)*4/3))*0.21)+((O29+1+(LOG(J29)*4/3))*0.341),((P29+(((TODAY()-E29)^0.5)/(336^0.5))+(LOG(J29)*4/3))*0.21)+((O29+(((TODAY()-E29)^0.5)/(336^0.5))+(LOG(J29)*4/3))*0.341))</f>
        <v>2.1979961854077503</v>
      </c>
      <c r="BC29" s="40">
        <f t="shared" ref="BC29" ca="1" si="250">BA29/2</f>
        <v>0.4571378296202307</v>
      </c>
      <c r="BD29" s="40">
        <f t="shared" ref="BD29" ca="1" si="251">IF(TODAY()-E29&gt;335,((L29+1+(LOG(J29)*4/3))*0.291),((L29+(((TODAY()-E29)^0.5)/(336^0.5))+(LOG(J29)*4/3))*0.291))</f>
        <v>1.0472003616823753</v>
      </c>
      <c r="BE29" s="40">
        <f t="shared" ref="BE29" ca="1" si="252">IF(TODAY()-E29&gt;335,((L29+1+(LOG(J29)*4/3))*0.348),((L29+(((TODAY()-E29)^0.5)/(336^0.5))+(LOG(J29)*4/3))*0.348))</f>
        <v>1.2523220820119128</v>
      </c>
      <c r="BF29" s="40">
        <f t="shared" ref="BF29" ca="1" si="253">IF(TODAY()-E29&gt;335,((M29+1+(LOG(J29)*4/3))*0.881),((M29+(((TODAY()-E29)^0.5)/(336^0.5))+(LOG(J29)*4/3))*0.881))</f>
        <v>4.0513900984267099</v>
      </c>
      <c r="BG29" s="40">
        <f t="shared" ref="BG29" ca="1" si="254">IF(TODAY()-E29&gt;335,((N29+1+(LOG(J29)*4/3))*0.574)+((O29+1+(LOG(J29)*4/3))*0.315),((N29+(((TODAY()-E29)^0.5)/(336^0.5))+(LOG(J29)*4/3))*0.574)+((O29+(((TODAY()-E29)^0.5)/(336^0.5))+(LOG(J29)*4/3))*0.315))</f>
        <v>3.7779391118062939</v>
      </c>
      <c r="BH29" s="40">
        <f t="shared" ref="BH29" ca="1" si="255">IF(TODAY()-E29&gt;335,((O29+1+(LOG(J29)*4/3))*0.241),((O29+(((TODAY()-E29)^0.5)/(336^0.5))+(LOG(J29)*4/3))*0.241))</f>
        <v>0.87091080583775171</v>
      </c>
      <c r="BI29" s="40">
        <f t="shared" ref="BI29" ca="1" si="256">IF(TODAY()-E29&gt;335,((L29+1+(LOG(J29)*4/3))*0.485),((L29+(((TODAY()-E29)^0.5)/(336^0.5))+(LOG(J29)*4/3))*0.485))</f>
        <v>1.7453339361372922</v>
      </c>
      <c r="BJ29" s="40">
        <f t="shared" ref="BJ29" ca="1" si="257">IF(TODAY()-E29&gt;335,((L29+1+(LOG(J29)*4/3))*0.264),((L29+(((TODAY()-E29)^0.5)/(336^0.5))+(LOG(J29)*4/3))*0.264))</f>
        <v>0.95003744152627867</v>
      </c>
      <c r="BK29" s="40">
        <f t="shared" ref="BK29" ca="1" si="258">IF(TODAY()-E29&gt;335,((M29+1+(LOG(J29)*4/3))*0.381),((M29+(((TODAY()-E29)^0.5)/(336^0.5))+(LOG(J29)*4/3))*0.381))</f>
        <v>1.7520767622026974</v>
      </c>
      <c r="BL29" s="40">
        <f t="shared" ref="BL29" ca="1" si="259">IF(TODAY()-E29&gt;335,((N29+1+(LOG(J29)*4/3))*0.673)+((O29+1+(LOG(J29)*4/3))*0.201),((N29+(((TODAY()-E29)^0.5)/(336^0.5))+(LOG(J29)*4/3))*0.673)+((O29+(((TODAY()-E29)^0.5)/(336^0.5))+(LOG(J29)*4/3))*0.201))</f>
        <v>3.8212370450529072</v>
      </c>
      <c r="BM29" s="40">
        <f t="shared" ref="BM29" ca="1" si="260">IF(TODAY()-E29&gt;335,((O29+1+(LOG(J29)*4/3))*0.052),((O29+(((TODAY()-E29)^0.5)/(336^0.5))+(LOG(J29)*4/3))*0.052))</f>
        <v>0.18791436474507506</v>
      </c>
      <c r="BN29" s="40">
        <f t="shared" ref="BN29" ca="1" si="261">IF(TODAY()-E29&gt;335,((L29+1+(LOG(J29)*4/3))*0.18),((L29+(((TODAY()-E29)^0.5)/(336^0.5))+(LOG(J29)*4/3))*0.18))</f>
        <v>0.64775280104064448</v>
      </c>
      <c r="BO29" s="40">
        <f t="shared" ref="BO29" ca="1" si="262">IF(TODAY()-E29&gt;335,((L29+1+(LOG(J29)*4/3))*0.068),((L29+(((TODAY()-E29)^0.5)/(336^0.5))+(LOG(J29)*4/3))*0.068))</f>
        <v>0.24470661372646574</v>
      </c>
      <c r="BP29" s="40">
        <f t="shared" ref="BP29" ca="1" si="263">IF(TODAY()-E29&gt;335,((M29+1+(LOG(J29)*4/3))*0.305),((M29+(((TODAY()-E29)^0.5)/(336^0.5))+(LOG(J29)*4/3))*0.305))</f>
        <v>1.4025811350966475</v>
      </c>
      <c r="BQ29" s="40">
        <f t="shared" ref="BQ29" ca="1" si="264">IF(TODAY()-E29&gt;335,((N29+1+(LOG(J29)*4/3))*1)+((O29+1+(LOG(J29)*4/3))*0.286),((N29+(((TODAY()-E29)^0.5)/(336^0.5))+(LOG(J29)*4/3))*1)+((O29+(((TODAY()-E29)^0.5)/(336^0.5))+(LOG(J29)*4/3))*0.286))</f>
        <v>5.6321556785459377</v>
      </c>
      <c r="BR29" s="40">
        <f t="shared" ref="BR29" ca="1" si="265">IF(TODAY()-E29&gt;335,((O29+1+(LOG(J29)*4/3))*0.135),((O29+(((TODAY()-E29)^0.5)/(336^0.5))+(LOG(J29)*4/3))*0.135))</f>
        <v>0.48785460078048337</v>
      </c>
      <c r="BS29" s="40">
        <f t="shared" ref="BS29" ca="1" si="266">IF(TODAY()-E29&gt;335,((L29+1+(LOG(J29)*4/3))*0.284),((L29+(((TODAY()-E29)^0.5)/(336^0.5))+(LOG(J29)*4/3))*0.284))</f>
        <v>1.0220099749752392</v>
      </c>
      <c r="BT29" s="40">
        <f t="shared" ref="BT29" ca="1" si="267">IF(TODAY()-E29&gt;335,((L29+1+(LOG(J29)*4/3))*0.244),((L29+(((TODAY()-E29)^0.5)/(336^0.5))+(LOG(J29)*4/3))*0.244))</f>
        <v>0.87806490807731807</v>
      </c>
      <c r="BU29" s="40">
        <f t="shared" ref="BU29" ca="1" si="268">IF(TODAY()-E29&gt;335,((M29+1+(LOG(J29)*4/3))*0.631),((M29+(((TODAY()-E29)^0.5)/(336^0.5))+(LOG(J29)*4/3))*0.631))</f>
        <v>2.9017334303147035</v>
      </c>
      <c r="BV29" s="40">
        <f t="shared" ref="BV29" ca="1" si="269">IF(TODAY()-E29&gt;335,((N29+1+(LOG(J29)*4/3))*0.702)+((O29+1+(LOG(J29)*4/3))*0.193),((N29+(((TODAY()-E29)^0.5)/(336^0.5))+(LOG(J29)*4/3))*0.702)+((O29+(((TODAY()-E29)^0.5)/(336^0.5))+(LOG(J29)*4/3))*0.193))</f>
        <v>3.9256873162854262</v>
      </c>
      <c r="BW29" s="40">
        <f t="shared" ref="BW29" ca="1" si="270">IF(TODAY()-E29&gt;335,((O29+1+(LOG(J29)*4/3))*0.148),((O29+(((TODAY()-E29)^0.5)/(336^0.5))+(LOG(J29)*4/3))*0.148))</f>
        <v>0.53483319196675205</v>
      </c>
      <c r="BX29" s="40">
        <f t="shared" ref="BX29" ca="1" si="271">IF(TODAY()-E29&gt;335,((M29+1+(LOG(J29)*4/3))*0.406),((M29+(((TODAY()-E29)^0.5)/(336^0.5))+(LOG(J29)*4/3))*0.406))</f>
        <v>1.8670424290138981</v>
      </c>
      <c r="BY29" s="40">
        <f t="shared" ref="BY29" ca="1" si="272">IF(D29="TEC",IF(TODAY()-E29&gt;335,((N29+1+(LOG(J29)*4/3))*0.15)+((O29+1+(LOG(J29)*4/3))*0.324)+((P29+1+(LOG(J29)*4/3))*0.127),((N29+(((TODAY()-E29)^0.5)/(336^0.5))+(LOG(J29)*4/3))*0.15)+((O29+(((TODAY()-E29)^0.5)/(336^0.5))+(LOG(J29)*4/3))*0.324)+((P29+(((TODAY()-E29)^0.5)/(336^0.5))+(LOG(J29)*4/3))*0.127)),IF(TODAY()-E29&gt;335,((N29+1+(LOG(J29)*4/3))*0.144)+((O29+1+(LOG(J29)*4/3))*0.25)+((P29+1+(LOG(J29)*4/3))*0.127),((N29+(((TODAY()-E29)^0.5)/(336^0.5))+(LOG(J29)*4/3))*0.144)+((O29+(((TODAY()-E29)^0.5)/(336^0.5))+(LOG(J29)*4/3))*0.25)+((P29+(((TODAY()-E29)^0.5)/(336^0.5))+(LOG(J29)*4/3))*0.127)))</f>
        <v>2.1496622741231985</v>
      </c>
      <c r="BZ29" s="40">
        <f t="shared" ref="BZ29" ca="1" si="273">IF(D29="TEC",IF(TODAY()-E29&gt;335,((O29+1+(LOG(J29)*4/3))*0.543)+((P29+1+(LOG(J29)*4/3))*0.583),((O29+(((TODAY()-E29)^0.5)/(336^0.5))+(LOG(J29)*4/3))*0.543)+((P29+(((TODAY()-E29)^0.5)/(336^0.5))+(LOG(J29)*4/3))*0.583)),IF(TODAY()-E29&gt;335,((O29+1+(LOG(J29)*4/3))*0.543)+((P29+1+(LOG(J29)*4/3))*0.583),((O29+(((TODAY()-E29)^0.5)/(336^0.5))+(LOG(J29)*4/3))*0.543)+((P29+(((TODAY()-E29)^0.5)/(336^0.5))+(LOG(J29)*4/3))*0.583)))</f>
        <v>4.6432589665098094</v>
      </c>
      <c r="CA29" s="40">
        <f t="shared" ref="CA29" ca="1" si="274">BY29</f>
        <v>2.1496622741231985</v>
      </c>
      <c r="CB29" s="40">
        <f t="shared" ref="CB29" ca="1" si="275">IF(TODAY()-E29&gt;335,((P29+1+(LOG(J29)*4/3))*0.26)+((N29+1+(LOG(J29)*4/3))*0.221)+((O29+1+(LOG(J29)*4/3))*0.142),((P29+(((TODAY()-E29)^0.5)/(336^0.5))+(LOG(J29)*4/3))*0.26)+((N29+(((TODAY()-E29)^0.5)/(336^0.5))+(LOG(J29)*4/3))*0.221)+((P29+(((TODAY()-E29)^0.5)/(336^0.5))+(LOG(J29)*4/3))*0.142))</f>
        <v>2.7250901947128972</v>
      </c>
      <c r="CC29" s="40">
        <f t="shared" ref="CC29" ca="1" si="276">IF(TODAY()-E29&gt;335,((P29+1+(LOG(J29)*4/3))*1)+((O29+1+(LOG(J29)*4/3))*0.369),((P29+(((TODAY()-E29)^0.5)/(336^0.5))+(LOG(J29)*4/3))*1)+((O29+(((TODAY()-E29)^0.5)/(336^0.5))+(LOG(J29)*4/3))*0.369))</f>
        <v>5.9320959145813461</v>
      </c>
      <c r="CD29" s="40">
        <f t="shared" ref="CD29" ca="1" si="277">CB29</f>
        <v>2.7250901947128972</v>
      </c>
      <c r="CE29" s="40">
        <f t="shared" ref="CE29" ca="1" si="278">IF(TODAY()-E29&gt;335,((M29+1+(LOG(J29)*4/3))*0.25),((M29+(((TODAY()-E29)^0.5)/(336^0.5))+(LOG(J29)*4/3))*0.25))</f>
        <v>1.1496566681120062</v>
      </c>
    </row>
    <row r="30" spans="1:83" x14ac:dyDescent="0.25">
      <c r="C30" s="36"/>
      <c r="D30" s="240"/>
      <c r="E30" s="33"/>
      <c r="F30" s="51"/>
      <c r="G30" s="52"/>
      <c r="H30" s="52"/>
      <c r="I30" s="55"/>
      <c r="J30" s="42"/>
      <c r="K30" s="50"/>
      <c r="L30" s="50"/>
      <c r="M30" s="50"/>
      <c r="N30" s="50"/>
      <c r="O30" s="50"/>
      <c r="P30" s="50"/>
      <c r="Q30" s="50"/>
      <c r="R30" s="50"/>
      <c r="S30" s="50"/>
      <c r="T30" s="50"/>
      <c r="U30" s="50"/>
      <c r="V30" s="5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c r="BQ30" s="40"/>
      <c r="BR30" s="40"/>
      <c r="BS30" s="40"/>
      <c r="BT30" s="40"/>
      <c r="BU30" s="40"/>
      <c r="BV30" s="40"/>
      <c r="BW30" s="40"/>
      <c r="BX30" s="40"/>
      <c r="BY30" s="40"/>
      <c r="BZ30" s="40"/>
      <c r="CA30" s="40"/>
      <c r="CB30" s="40"/>
      <c r="CC30" s="40"/>
      <c r="CD30" s="40"/>
      <c r="CE30" s="40"/>
    </row>
    <row r="31" spans="1:83" x14ac:dyDescent="0.25">
      <c r="C31" s="36"/>
      <c r="D31" s="240"/>
      <c r="E31" s="33"/>
      <c r="F31" s="51"/>
      <c r="G31" s="52"/>
      <c r="H31" s="52"/>
      <c r="I31" s="55"/>
      <c r="J31" s="42"/>
      <c r="K31" s="50"/>
      <c r="L31" s="50"/>
      <c r="M31" s="50"/>
      <c r="N31" s="50"/>
      <c r="O31" s="50"/>
      <c r="P31" s="50"/>
      <c r="Q31" s="50"/>
      <c r="R31" s="50"/>
      <c r="S31" s="50"/>
      <c r="T31" s="50"/>
      <c r="U31" s="50"/>
      <c r="V31" s="5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row>
    <row r="32" spans="1:83" x14ac:dyDescent="0.25">
      <c r="C32" s="36"/>
      <c r="D32" s="240"/>
      <c r="E32" s="33"/>
      <c r="F32" s="51"/>
      <c r="G32" s="52"/>
      <c r="H32" s="52"/>
      <c r="I32" s="55"/>
      <c r="J32" s="42"/>
      <c r="K32" s="50"/>
      <c r="L32" s="50"/>
      <c r="M32" s="50"/>
      <c r="N32" s="50"/>
      <c r="O32" s="50"/>
      <c r="P32" s="50"/>
      <c r="Q32" s="50"/>
      <c r="R32" s="50"/>
      <c r="S32" s="50"/>
      <c r="T32" s="50"/>
      <c r="U32" s="50"/>
      <c r="V32" s="5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c r="BQ32" s="40"/>
      <c r="BR32" s="40"/>
      <c r="BS32" s="40"/>
      <c r="BT32" s="40"/>
      <c r="BU32" s="40"/>
      <c r="BV32" s="40"/>
      <c r="BW32" s="40"/>
      <c r="BX32" s="40"/>
      <c r="BY32" s="40"/>
      <c r="BZ32" s="40"/>
      <c r="CA32" s="40"/>
      <c r="CB32" s="40"/>
      <c r="CC32" s="40"/>
      <c r="CD32" s="40"/>
      <c r="CE32" s="40"/>
    </row>
    <row r="33" spans="1:83" x14ac:dyDescent="0.25">
      <c r="C33" s="36"/>
      <c r="D33" s="240"/>
      <c r="E33" s="33"/>
      <c r="F33" s="51"/>
      <c r="G33" s="52"/>
      <c r="H33" s="52"/>
      <c r="I33" s="55"/>
      <c r="J33" s="42"/>
      <c r="K33" s="50"/>
      <c r="L33" s="50"/>
      <c r="M33" s="50"/>
      <c r="N33" s="50"/>
      <c r="O33" s="50"/>
      <c r="P33" s="50"/>
      <c r="Q33" s="50"/>
      <c r="R33" s="50"/>
      <c r="S33" s="50"/>
      <c r="T33" s="50"/>
      <c r="U33" s="50"/>
      <c r="V33" s="5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c r="BQ33" s="40"/>
      <c r="BR33" s="40"/>
      <c r="BS33" s="40"/>
      <c r="BT33" s="40"/>
      <c r="BU33" s="40"/>
      <c r="BV33" s="40"/>
      <c r="BW33" s="40"/>
      <c r="BX33" s="40"/>
      <c r="BY33" s="40"/>
      <c r="BZ33" s="40"/>
      <c r="CA33" s="40"/>
      <c r="CB33" s="40"/>
      <c r="CC33" s="40"/>
      <c r="CD33" s="40"/>
      <c r="CE33" s="40"/>
    </row>
    <row r="36" spans="1:83" x14ac:dyDescent="0.25">
      <c r="M36" s="40"/>
      <c r="N36" s="40"/>
      <c r="AH36" s="40">
        <f ca="1">AG7*G7</f>
        <v>1.8696876002916012</v>
      </c>
      <c r="AI36" s="40">
        <f ca="1">AG7*H7</f>
        <v>2.0180504099073078</v>
      </c>
    </row>
    <row r="37" spans="1:83" ht="18.75" x14ac:dyDescent="0.3">
      <c r="A37" s="112" t="s">
        <v>171</v>
      </c>
      <c r="B37" s="112" t="s">
        <v>172</v>
      </c>
      <c r="C37" s="112"/>
      <c r="D37" s="113"/>
      <c r="Z37" s="40"/>
      <c r="AA37" s="40"/>
      <c r="BV37" s="40"/>
      <c r="BW37" s="40"/>
    </row>
    <row r="38" spans="1:83" x14ac:dyDescent="0.25">
      <c r="A38" s="114" t="s">
        <v>173</v>
      </c>
      <c r="B38" s="115">
        <v>1</v>
      </c>
      <c r="C38" s="117">
        <v>0.624</v>
      </c>
      <c r="D38" s="118">
        <v>0.245</v>
      </c>
      <c r="AH38" s="40">
        <f ca="1">AG8*G8</f>
        <v>4.1859910106577649</v>
      </c>
      <c r="AI38" s="40">
        <f ca="1">AG8*H8</f>
        <v>4.6753978039073063</v>
      </c>
    </row>
    <row r="39" spans="1:83" x14ac:dyDescent="0.25">
      <c r="A39" s="114" t="s">
        <v>174</v>
      </c>
      <c r="B39" s="115">
        <v>1</v>
      </c>
      <c r="C39" s="117">
        <v>1.002</v>
      </c>
      <c r="D39" s="118">
        <v>0.34</v>
      </c>
      <c r="AG39" s="127"/>
      <c r="AH39" s="128"/>
    </row>
    <row r="40" spans="1:83" x14ac:dyDescent="0.25">
      <c r="A40" s="114" t="s">
        <v>175</v>
      </c>
      <c r="B40" s="115">
        <v>1</v>
      </c>
      <c r="C40" s="117">
        <v>0.46800000000000003</v>
      </c>
      <c r="D40" s="118">
        <v>0.125</v>
      </c>
      <c r="Z40" s="40"/>
      <c r="AA40" s="40"/>
      <c r="AH40" s="129">
        <f ca="1">(AI36-AH38)/AI36</f>
        <v>-1.0742747505747561</v>
      </c>
      <c r="AI40" s="129">
        <f ca="1">(AH36-AI38)/AH36</f>
        <v>-1.500630481358554</v>
      </c>
      <c r="BV40" s="40"/>
      <c r="BW40" s="40"/>
    </row>
    <row r="41" spans="1:83" x14ac:dyDescent="0.25">
      <c r="A41" s="114" t="s">
        <v>176</v>
      </c>
      <c r="B41" s="115">
        <v>1</v>
      </c>
      <c r="C41" s="117">
        <v>0.877</v>
      </c>
      <c r="D41" s="118">
        <v>0.25</v>
      </c>
      <c r="W41" s="128"/>
    </row>
    <row r="42" spans="1:83" x14ac:dyDescent="0.25">
      <c r="A42" s="114" t="s">
        <v>177</v>
      </c>
      <c r="B42" s="115">
        <v>1</v>
      </c>
      <c r="C42" s="117">
        <v>0.59299999999999997</v>
      </c>
      <c r="D42" s="118">
        <v>0.19</v>
      </c>
      <c r="W42" s="128"/>
    </row>
    <row r="44" spans="1:83" x14ac:dyDescent="0.25">
      <c r="Z44" s="128"/>
      <c r="AA44" s="128"/>
      <c r="BV44" s="128"/>
      <c r="BW44" s="128"/>
    </row>
  </sheetData>
  <conditionalFormatting sqref="U3:V33">
    <cfRule type="cellIs" dxfId="33" priority="20" operator="greaterThan">
      <formula>15</formula>
    </cfRule>
  </conditionalFormatting>
  <conditionalFormatting sqref="R3:R33">
    <cfRule type="cellIs" dxfId="32" priority="19" operator="greaterThan">
      <formula>3.2</formula>
    </cfRule>
  </conditionalFormatting>
  <conditionalFormatting sqref="S3:T33">
    <cfRule type="cellIs" dxfId="31" priority="18" operator="greaterThan">
      <formula>0.6</formula>
    </cfRule>
  </conditionalFormatting>
  <conditionalFormatting sqref="AK3:AM33 AO3:BD33 BF3:CE33 W3:AI33">
    <cfRule type="cellIs" dxfId="30" priority="17" operator="greaterThan">
      <formula>12.5</formula>
    </cfRule>
  </conditionalFormatting>
  <conditionalFormatting sqref="J3:J33">
    <cfRule type="cellIs" dxfId="29" priority="14" operator="greaterThan">
      <formula>7</formula>
    </cfRule>
  </conditionalFormatting>
  <conditionalFormatting sqref="K3:Q33">
    <cfRule type="colorScale" priority="1615">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baseColWidth="10"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71" t="s">
        <v>251</v>
      </c>
      <c r="B1" s="271"/>
      <c r="C1" s="271"/>
      <c r="D1" s="271"/>
      <c r="F1" s="11" t="s">
        <v>3</v>
      </c>
      <c r="G1" s="11" t="s">
        <v>4</v>
      </c>
      <c r="H1" s="11" t="s">
        <v>5</v>
      </c>
      <c r="I1" s="37" t="s">
        <v>89</v>
      </c>
      <c r="J1" s="37" t="s">
        <v>7</v>
      </c>
      <c r="K1" s="37" t="s">
        <v>69</v>
      </c>
      <c r="L1" s="37" t="s">
        <v>198</v>
      </c>
      <c r="M1" s="37" t="s">
        <v>316</v>
      </c>
      <c r="N1" s="149" t="s">
        <v>199</v>
      </c>
      <c r="O1" s="149" t="s">
        <v>200</v>
      </c>
      <c r="P1" s="149" t="s">
        <v>311</v>
      </c>
      <c r="Q1" s="149" t="s">
        <v>127</v>
      </c>
      <c r="R1" s="150" t="s">
        <v>201</v>
      </c>
      <c r="S1" s="150" t="s">
        <v>202</v>
      </c>
      <c r="T1" s="150" t="s">
        <v>311</v>
      </c>
      <c r="U1" s="150" t="s">
        <v>127</v>
      </c>
    </row>
    <row r="2" spans="1:21" x14ac:dyDescent="0.25">
      <c r="A2" s="272" t="s">
        <v>252</v>
      </c>
      <c r="B2" s="273" t="s">
        <v>253</v>
      </c>
      <c r="C2" s="273" t="s">
        <v>254</v>
      </c>
      <c r="D2" s="273" t="s">
        <v>255</v>
      </c>
      <c r="F2" s="259" t="s">
        <v>405</v>
      </c>
      <c r="G2">
        <v>36</v>
      </c>
      <c r="H2">
        <v>92</v>
      </c>
      <c r="I2" s="121">
        <v>14.3</v>
      </c>
      <c r="J2" s="124">
        <v>4</v>
      </c>
      <c r="K2" s="76">
        <v>2448</v>
      </c>
      <c r="L2" s="76">
        <v>1000</v>
      </c>
      <c r="M2" s="143">
        <v>3</v>
      </c>
      <c r="N2" s="76">
        <v>325000</v>
      </c>
      <c r="O2" s="76">
        <f>L2+N2</f>
        <v>326000</v>
      </c>
      <c r="P2" s="151">
        <v>6.5</v>
      </c>
      <c r="Q2" s="208">
        <f>O2/P2</f>
        <v>50153.846153846156</v>
      </c>
      <c r="R2" s="76">
        <v>2375000</v>
      </c>
      <c r="S2" s="76">
        <f>R2+L2</f>
        <v>2376000</v>
      </c>
      <c r="T2" s="152">
        <f>P2</f>
        <v>6.5</v>
      </c>
      <c r="U2" s="208">
        <f>S2/T2</f>
        <v>365538.46153846156</v>
      </c>
    </row>
    <row r="3" spans="1:21" x14ac:dyDescent="0.25">
      <c r="A3" s="272"/>
      <c r="B3" s="273"/>
      <c r="C3" s="273"/>
      <c r="D3" s="273"/>
      <c r="F3" s="259" t="s">
        <v>406</v>
      </c>
      <c r="G3">
        <v>40</v>
      </c>
      <c r="H3">
        <v>26</v>
      </c>
      <c r="I3" s="121">
        <v>14.1</v>
      </c>
      <c r="J3" s="124">
        <v>5</v>
      </c>
      <c r="K3" s="76">
        <v>468</v>
      </c>
      <c r="L3" s="76">
        <v>410000</v>
      </c>
      <c r="M3" s="143">
        <v>3</v>
      </c>
      <c r="N3" s="76">
        <v>335000</v>
      </c>
      <c r="O3" s="76">
        <f>L3+N3</f>
        <v>745000</v>
      </c>
      <c r="P3" s="151">
        <v>8</v>
      </c>
      <c r="Q3" s="208">
        <f>O3/P3</f>
        <v>93125</v>
      </c>
      <c r="R3" s="76">
        <v>2390000</v>
      </c>
      <c r="S3" s="76">
        <f>R3+L3</f>
        <v>2800000</v>
      </c>
      <c r="T3" s="152">
        <f>P3</f>
        <v>8</v>
      </c>
      <c r="U3" s="208">
        <f>S3/T3</f>
        <v>350000</v>
      </c>
    </row>
    <row r="4" spans="1:21" x14ac:dyDescent="0.25">
      <c r="A4" s="204" t="s">
        <v>253</v>
      </c>
      <c r="B4" s="205" t="s">
        <v>256</v>
      </c>
      <c r="C4" s="205" t="s">
        <v>257</v>
      </c>
      <c r="D4" s="205" t="s">
        <v>257</v>
      </c>
      <c r="F4" s="259" t="s">
        <v>407</v>
      </c>
      <c r="G4">
        <v>35</v>
      </c>
      <c r="H4">
        <v>85</v>
      </c>
      <c r="I4" s="121">
        <v>18.2</v>
      </c>
      <c r="J4" s="124">
        <v>4</v>
      </c>
      <c r="K4" s="76">
        <v>14808</v>
      </c>
      <c r="L4" s="76">
        <v>1245000</v>
      </c>
      <c r="M4" s="143">
        <v>3</v>
      </c>
      <c r="N4" s="76">
        <v>259000</v>
      </c>
      <c r="O4" s="76">
        <f>L4+N4</f>
        <v>1504000</v>
      </c>
      <c r="P4" s="151">
        <v>6.5</v>
      </c>
      <c r="Q4" s="208">
        <f>O4/P4</f>
        <v>231384.61538461538</v>
      </c>
      <c r="R4" s="76">
        <v>1850000</v>
      </c>
      <c r="S4" s="76">
        <f>R4+L4</f>
        <v>3095000</v>
      </c>
      <c r="T4" s="152">
        <f>P4</f>
        <v>6.5</v>
      </c>
      <c r="U4" s="208">
        <f>S4/T4</f>
        <v>476153.84615384613</v>
      </c>
    </row>
    <row r="5" spans="1:21" x14ac:dyDescent="0.25">
      <c r="A5" s="206" t="s">
        <v>254</v>
      </c>
      <c r="B5" s="207" t="s">
        <v>258</v>
      </c>
      <c r="C5" s="207" t="s">
        <v>259</v>
      </c>
      <c r="D5" s="207" t="s">
        <v>257</v>
      </c>
      <c r="F5" s="259" t="s">
        <v>408</v>
      </c>
      <c r="G5">
        <v>36</v>
      </c>
      <c r="H5">
        <v>97</v>
      </c>
      <c r="I5" s="121">
        <v>14</v>
      </c>
      <c r="J5" s="124">
        <v>5</v>
      </c>
      <c r="K5" s="76">
        <v>4956</v>
      </c>
      <c r="L5" s="76">
        <v>405000</v>
      </c>
      <c r="M5" s="143">
        <v>3</v>
      </c>
      <c r="N5" s="153">
        <v>337500</v>
      </c>
      <c r="O5" s="76">
        <f>L5+N5</f>
        <v>742500</v>
      </c>
      <c r="P5" s="151">
        <v>8</v>
      </c>
      <c r="Q5" s="208">
        <f>O5/P5</f>
        <v>92812.5</v>
      </c>
      <c r="R5" s="76">
        <v>2400000</v>
      </c>
      <c r="S5" s="76">
        <f>R5+L5</f>
        <v>2805000</v>
      </c>
      <c r="T5" s="152">
        <f>P5</f>
        <v>8</v>
      </c>
      <c r="U5" s="208">
        <f>S5/T5</f>
        <v>350625</v>
      </c>
    </row>
    <row r="6" spans="1:21" x14ac:dyDescent="0.25">
      <c r="A6" s="204" t="s">
        <v>255</v>
      </c>
      <c r="B6" s="205" t="s">
        <v>260</v>
      </c>
      <c r="C6" s="205" t="s">
        <v>261</v>
      </c>
      <c r="D6" s="205" t="s">
        <v>262</v>
      </c>
      <c r="F6" s="259" t="s">
        <v>410</v>
      </c>
      <c r="G6">
        <v>40</v>
      </c>
      <c r="H6">
        <v>71</v>
      </c>
      <c r="I6" s="121">
        <v>15.3</v>
      </c>
      <c r="J6" s="124">
        <v>5</v>
      </c>
      <c r="K6" s="76">
        <v>840</v>
      </c>
      <c r="L6" s="76">
        <v>325000</v>
      </c>
      <c r="M6" s="143">
        <v>3</v>
      </c>
      <c r="N6" s="76">
        <v>305000</v>
      </c>
      <c r="O6" s="76">
        <f>L6+N6</f>
        <v>630000</v>
      </c>
      <c r="P6" s="151">
        <v>8</v>
      </c>
      <c r="Q6" s="208">
        <f>O6/P6</f>
        <v>78750</v>
      </c>
      <c r="R6" s="76">
        <v>2200000</v>
      </c>
      <c r="S6" s="76">
        <f>R6+L6</f>
        <v>2525000</v>
      </c>
      <c r="T6" s="152">
        <f>P6</f>
        <v>8</v>
      </c>
      <c r="U6" s="208">
        <f>S6/T6</f>
        <v>315625</v>
      </c>
    </row>
    <row r="7" spans="1:21" x14ac:dyDescent="0.25">
      <c r="A7" s="206" t="s">
        <v>263</v>
      </c>
      <c r="B7" s="207" t="s">
        <v>264</v>
      </c>
      <c r="C7" s="207" t="s">
        <v>265</v>
      </c>
      <c r="D7" s="207" t="s">
        <v>266</v>
      </c>
      <c r="I7" s="121">
        <v>0</v>
      </c>
      <c r="J7" s="124">
        <v>0</v>
      </c>
      <c r="K7" s="76"/>
      <c r="L7" s="76"/>
      <c r="M7" s="143">
        <v>3</v>
      </c>
      <c r="N7" s="76"/>
      <c r="O7" s="76">
        <f t="shared" ref="O7:O14" si="0">L7+N7</f>
        <v>0</v>
      </c>
      <c r="P7" s="151">
        <v>9</v>
      </c>
      <c r="Q7" s="208">
        <f t="shared" ref="Q7:Q14" si="1">O7/P7</f>
        <v>0</v>
      </c>
      <c r="R7" s="76"/>
      <c r="S7" s="76">
        <f t="shared" ref="S7:S14" si="2">R7+L7</f>
        <v>0</v>
      </c>
      <c r="T7" s="152">
        <f t="shared" ref="T7:T14" si="3">P7</f>
        <v>9</v>
      </c>
      <c r="U7" s="208">
        <f t="shared" ref="U7:U14" si="4">S7/T7</f>
        <v>0</v>
      </c>
    </row>
    <row r="8" spans="1:21" x14ac:dyDescent="0.25">
      <c r="A8" s="204" t="s">
        <v>267</v>
      </c>
      <c r="B8" s="205" t="s">
        <v>268</v>
      </c>
      <c r="C8" s="205" t="s">
        <v>269</v>
      </c>
      <c r="D8" s="205" t="s">
        <v>270</v>
      </c>
      <c r="F8" s="259" t="s">
        <v>409</v>
      </c>
      <c r="G8">
        <v>38</v>
      </c>
      <c r="H8">
        <v>105</v>
      </c>
      <c r="I8" s="121">
        <v>17.8</v>
      </c>
      <c r="J8" s="124">
        <v>4</v>
      </c>
      <c r="K8" s="76">
        <v>1080</v>
      </c>
      <c r="L8" s="76">
        <v>320000</v>
      </c>
      <c r="M8" s="143">
        <v>3</v>
      </c>
      <c r="N8" s="76">
        <v>269000</v>
      </c>
      <c r="O8" s="76">
        <f t="shared" si="0"/>
        <v>589000</v>
      </c>
      <c r="P8" s="151">
        <v>6.5</v>
      </c>
      <c r="Q8" s="208">
        <f t="shared" si="1"/>
        <v>90615.38461538461</v>
      </c>
      <c r="R8" s="76">
        <v>1900000</v>
      </c>
      <c r="S8" s="76">
        <f t="shared" si="2"/>
        <v>2220000</v>
      </c>
      <c r="T8" s="152">
        <f t="shared" si="3"/>
        <v>6.5</v>
      </c>
      <c r="U8" s="208">
        <f t="shared" si="4"/>
        <v>341538.46153846156</v>
      </c>
    </row>
    <row r="9" spans="1:21" x14ac:dyDescent="0.25">
      <c r="A9" s="206" t="s">
        <v>271</v>
      </c>
      <c r="B9" s="207" t="s">
        <v>272</v>
      </c>
      <c r="C9" s="207" t="s">
        <v>273</v>
      </c>
      <c r="D9" s="207" t="s">
        <v>274</v>
      </c>
      <c r="F9" s="259" t="s">
        <v>411</v>
      </c>
      <c r="G9">
        <v>40</v>
      </c>
      <c r="H9">
        <v>43</v>
      </c>
      <c r="I9" s="121">
        <v>33.4</v>
      </c>
      <c r="J9" s="124">
        <v>4</v>
      </c>
      <c r="K9" s="76">
        <f>470*1.2</f>
        <v>564</v>
      </c>
      <c r="L9" s="76">
        <v>920000</v>
      </c>
      <c r="M9" s="143">
        <v>3</v>
      </c>
      <c r="N9" s="76">
        <v>125000</v>
      </c>
      <c r="O9" s="76">
        <f t="shared" si="0"/>
        <v>1045000</v>
      </c>
      <c r="P9" s="151">
        <v>6.5</v>
      </c>
      <c r="Q9" s="208">
        <f t="shared" si="1"/>
        <v>160769.23076923078</v>
      </c>
      <c r="R9" s="76">
        <v>1050000</v>
      </c>
      <c r="S9" s="76">
        <f t="shared" si="2"/>
        <v>1970000</v>
      </c>
      <c r="T9" s="152">
        <f t="shared" si="3"/>
        <v>6.5</v>
      </c>
      <c r="U9" s="208">
        <f t="shared" si="4"/>
        <v>303076.92307692306</v>
      </c>
    </row>
    <row r="10" spans="1:21" x14ac:dyDescent="0.25">
      <c r="A10" s="204" t="s">
        <v>275</v>
      </c>
      <c r="B10" s="205" t="s">
        <v>276</v>
      </c>
      <c r="C10" s="205" t="s">
        <v>277</v>
      </c>
      <c r="D10" s="205" t="s">
        <v>278</v>
      </c>
      <c r="F10" s="259" t="s">
        <v>412</v>
      </c>
      <c r="G10">
        <v>38</v>
      </c>
      <c r="H10">
        <v>73</v>
      </c>
      <c r="I10" s="121">
        <v>15.5</v>
      </c>
      <c r="J10" s="124">
        <v>4</v>
      </c>
      <c r="K10" s="76">
        <v>1280</v>
      </c>
      <c r="L10" s="76">
        <v>10000</v>
      </c>
      <c r="M10" s="143">
        <v>3</v>
      </c>
      <c r="N10" s="76">
        <v>305000</v>
      </c>
      <c r="O10" s="76">
        <f t="shared" si="0"/>
        <v>315000</v>
      </c>
      <c r="P10" s="151">
        <v>6.5</v>
      </c>
      <c r="Q10" s="208">
        <f t="shared" si="1"/>
        <v>48461.538461538461</v>
      </c>
      <c r="R10" s="76">
        <v>2200000</v>
      </c>
      <c r="S10" s="76">
        <f t="shared" si="2"/>
        <v>2210000</v>
      </c>
      <c r="T10" s="152">
        <f t="shared" si="3"/>
        <v>6.5</v>
      </c>
      <c r="U10" s="208">
        <f t="shared" si="4"/>
        <v>340000</v>
      </c>
    </row>
    <row r="11" spans="1:21" x14ac:dyDescent="0.25">
      <c r="A11" s="206" t="s">
        <v>279</v>
      </c>
      <c r="B11" s="207" t="s">
        <v>280</v>
      </c>
      <c r="C11" s="207" t="s">
        <v>281</v>
      </c>
      <c r="D11" s="207" t="s">
        <v>282</v>
      </c>
      <c r="F11" s="259" t="s">
        <v>413</v>
      </c>
      <c r="G11">
        <v>38</v>
      </c>
      <c r="H11">
        <v>33</v>
      </c>
      <c r="I11" s="121">
        <v>16.7</v>
      </c>
      <c r="J11" s="124">
        <v>4</v>
      </c>
      <c r="K11" s="76">
        <v>1224</v>
      </c>
      <c r="L11" s="76">
        <v>10000</v>
      </c>
      <c r="M11" s="143">
        <v>3</v>
      </c>
      <c r="N11" s="153">
        <v>283000</v>
      </c>
      <c r="O11" s="76">
        <f t="shared" si="0"/>
        <v>293000</v>
      </c>
      <c r="P11" s="151">
        <v>6.5</v>
      </c>
      <c r="Q11" s="208">
        <f t="shared" si="1"/>
        <v>45076.923076923078</v>
      </c>
      <c r="R11" s="76">
        <v>2005000</v>
      </c>
      <c r="S11" s="76">
        <f t="shared" si="2"/>
        <v>2015000</v>
      </c>
      <c r="T11" s="152">
        <f t="shared" si="3"/>
        <v>6.5</v>
      </c>
      <c r="U11" s="208">
        <f t="shared" si="4"/>
        <v>310000</v>
      </c>
    </row>
    <row r="12" spans="1:21" x14ac:dyDescent="0.25">
      <c r="A12" s="204" t="s">
        <v>283</v>
      </c>
      <c r="B12" s="205" t="s">
        <v>284</v>
      </c>
      <c r="C12" s="205" t="s">
        <v>285</v>
      </c>
      <c r="D12" s="205" t="s">
        <v>286</v>
      </c>
      <c r="F12" s="259" t="s">
        <v>414</v>
      </c>
      <c r="G12">
        <v>38</v>
      </c>
      <c r="H12">
        <v>106</v>
      </c>
      <c r="I12" s="121">
        <v>15.1</v>
      </c>
      <c r="J12" s="124">
        <v>4</v>
      </c>
      <c r="K12" s="76">
        <v>1368</v>
      </c>
      <c r="L12" s="76">
        <v>5000</v>
      </c>
      <c r="M12" s="143">
        <v>3</v>
      </c>
      <c r="N12" s="76">
        <v>315000</v>
      </c>
      <c r="O12" s="76">
        <f t="shared" si="0"/>
        <v>320000</v>
      </c>
      <c r="P12" s="151">
        <v>6.5</v>
      </c>
      <c r="Q12" s="208">
        <f t="shared" si="1"/>
        <v>49230.769230769234</v>
      </c>
      <c r="R12" s="76">
        <v>2242290</v>
      </c>
      <c r="S12" s="76">
        <f t="shared" si="2"/>
        <v>2247290</v>
      </c>
      <c r="T12" s="152">
        <f t="shared" si="3"/>
        <v>6.5</v>
      </c>
      <c r="U12" s="208">
        <f t="shared" si="4"/>
        <v>345736.92307692306</v>
      </c>
    </row>
    <row r="13" spans="1:21" x14ac:dyDescent="0.25">
      <c r="A13" s="206" t="s">
        <v>287</v>
      </c>
      <c r="B13" s="207" t="s">
        <v>288</v>
      </c>
      <c r="C13" s="207" t="s">
        <v>289</v>
      </c>
      <c r="D13" s="207" t="s">
        <v>290</v>
      </c>
      <c r="F13" s="259" t="s">
        <v>431</v>
      </c>
      <c r="G13">
        <v>58</v>
      </c>
      <c r="H13">
        <v>49</v>
      </c>
      <c r="I13" s="121">
        <v>16</v>
      </c>
      <c r="J13" s="124">
        <v>4</v>
      </c>
      <c r="K13" s="76">
        <v>300</v>
      </c>
      <c r="L13" s="76">
        <v>125000</v>
      </c>
      <c r="M13" s="143">
        <v>3</v>
      </c>
      <c r="N13" s="76">
        <v>296000</v>
      </c>
      <c r="O13" s="76">
        <f t="shared" si="0"/>
        <v>421000</v>
      </c>
      <c r="P13" s="151">
        <v>6.5</v>
      </c>
      <c r="Q13" s="208">
        <f t="shared" si="1"/>
        <v>64769.230769230766</v>
      </c>
      <c r="R13" s="76">
        <v>2105000</v>
      </c>
      <c r="S13" s="76">
        <f t="shared" si="2"/>
        <v>2230000</v>
      </c>
      <c r="T13" s="152">
        <f t="shared" si="3"/>
        <v>6.5</v>
      </c>
      <c r="U13" s="208">
        <f t="shared" si="4"/>
        <v>343076.92307692306</v>
      </c>
    </row>
    <row r="14" spans="1:21" x14ac:dyDescent="0.25">
      <c r="A14" s="204" t="s">
        <v>291</v>
      </c>
      <c r="B14" s="205" t="s">
        <v>292</v>
      </c>
      <c r="C14" s="205" t="s">
        <v>293</v>
      </c>
      <c r="D14" s="205" t="s">
        <v>294</v>
      </c>
      <c r="I14" s="121">
        <v>0</v>
      </c>
      <c r="J14" s="124">
        <v>0</v>
      </c>
      <c r="K14" s="76"/>
      <c r="L14" s="76"/>
      <c r="M14" s="143">
        <v>3</v>
      </c>
      <c r="N14" s="76"/>
      <c r="O14" s="76">
        <f t="shared" si="0"/>
        <v>0</v>
      </c>
      <c r="P14" s="151">
        <v>9</v>
      </c>
      <c r="Q14" s="208">
        <f t="shared" si="1"/>
        <v>0</v>
      </c>
      <c r="R14" s="76"/>
      <c r="S14" s="76">
        <f t="shared" si="2"/>
        <v>0</v>
      </c>
      <c r="T14" s="152">
        <f t="shared" si="3"/>
        <v>9</v>
      </c>
      <c r="U14" s="208">
        <f t="shared" si="4"/>
        <v>0</v>
      </c>
    </row>
    <row r="15" spans="1:21" x14ac:dyDescent="0.25">
      <c r="A15" s="206" t="s">
        <v>295</v>
      </c>
      <c r="B15" s="207" t="s">
        <v>296</v>
      </c>
      <c r="C15" s="207" t="s">
        <v>297</v>
      </c>
      <c r="D15" s="207" t="s">
        <v>298</v>
      </c>
      <c r="I15" s="121">
        <v>0</v>
      </c>
      <c r="J15" s="124">
        <v>0</v>
      </c>
      <c r="K15" s="76"/>
      <c r="L15" s="76"/>
      <c r="M15" s="143">
        <v>3</v>
      </c>
      <c r="N15" s="76"/>
      <c r="O15" s="76">
        <f t="shared" ref="O15:O46" si="5">L15+N15</f>
        <v>0</v>
      </c>
      <c r="P15" s="151">
        <v>9</v>
      </c>
      <c r="Q15" s="208">
        <f t="shared" ref="Q15:Q46" si="6">O15/P15</f>
        <v>0</v>
      </c>
      <c r="R15" s="76"/>
      <c r="S15" s="76">
        <f t="shared" ref="S15:S46" si="7">R15+L15</f>
        <v>0</v>
      </c>
      <c r="T15" s="152">
        <f t="shared" ref="T15:T46" si="8">P15</f>
        <v>9</v>
      </c>
      <c r="U15" s="208">
        <f t="shared" ref="U15:U46" si="9">S15/T15</f>
        <v>0</v>
      </c>
    </row>
    <row r="16" spans="1:21" x14ac:dyDescent="0.25">
      <c r="A16" s="204" t="s">
        <v>299</v>
      </c>
      <c r="B16" s="205" t="s">
        <v>300</v>
      </c>
      <c r="C16" s="205" t="s">
        <v>301</v>
      </c>
      <c r="D16" s="205" t="s">
        <v>302</v>
      </c>
      <c r="I16" s="121">
        <v>0</v>
      </c>
      <c r="J16" s="124">
        <v>0</v>
      </c>
      <c r="K16" s="76"/>
      <c r="L16" s="76"/>
      <c r="M16" s="143">
        <v>3</v>
      </c>
      <c r="N16" s="153"/>
      <c r="O16" s="76">
        <f t="shared" si="5"/>
        <v>0</v>
      </c>
      <c r="P16" s="151">
        <v>9</v>
      </c>
      <c r="Q16" s="208">
        <f t="shared" si="6"/>
        <v>0</v>
      </c>
      <c r="R16" s="76"/>
      <c r="S16" s="76">
        <f t="shared" si="7"/>
        <v>0</v>
      </c>
      <c r="T16" s="152">
        <f t="shared" si="8"/>
        <v>9</v>
      </c>
      <c r="U16" s="208">
        <f t="shared" si="9"/>
        <v>0</v>
      </c>
    </row>
    <row r="17" spans="1:21" x14ac:dyDescent="0.25">
      <c r="A17" s="206" t="s">
        <v>303</v>
      </c>
      <c r="B17" s="207" t="s">
        <v>304</v>
      </c>
      <c r="C17" s="207" t="s">
        <v>305</v>
      </c>
      <c r="D17" s="207" t="s">
        <v>306</v>
      </c>
      <c r="I17" s="121">
        <v>0</v>
      </c>
      <c r="J17" s="124">
        <v>0</v>
      </c>
      <c r="K17" s="76"/>
      <c r="L17" s="76"/>
      <c r="M17" s="143">
        <v>3</v>
      </c>
      <c r="N17" s="76"/>
      <c r="O17" s="76">
        <f t="shared" si="5"/>
        <v>0</v>
      </c>
      <c r="P17" s="151">
        <v>9</v>
      </c>
      <c r="Q17" s="208">
        <f t="shared" si="6"/>
        <v>0</v>
      </c>
      <c r="R17" s="76"/>
      <c r="S17" s="76">
        <f t="shared" si="7"/>
        <v>0</v>
      </c>
      <c r="T17" s="152">
        <f t="shared" si="8"/>
        <v>9</v>
      </c>
      <c r="U17" s="208">
        <f t="shared" si="9"/>
        <v>0</v>
      </c>
    </row>
    <row r="18" spans="1:21" x14ac:dyDescent="0.25">
      <c r="A18" s="204" t="s">
        <v>307</v>
      </c>
      <c r="B18" s="205" t="s">
        <v>308</v>
      </c>
      <c r="C18" s="205" t="s">
        <v>309</v>
      </c>
      <c r="D18" s="205" t="s">
        <v>310</v>
      </c>
      <c r="I18" s="121">
        <v>0</v>
      </c>
      <c r="J18" s="124">
        <v>0</v>
      </c>
      <c r="K18" s="76"/>
      <c r="L18" s="76"/>
      <c r="M18" s="143">
        <v>3</v>
      </c>
      <c r="N18" s="76"/>
      <c r="O18" s="76">
        <f t="shared" si="5"/>
        <v>0</v>
      </c>
      <c r="P18" s="151">
        <v>9</v>
      </c>
      <c r="Q18" s="208">
        <f t="shared" si="6"/>
        <v>0</v>
      </c>
      <c r="R18" s="76"/>
      <c r="S18" s="76">
        <f t="shared" si="7"/>
        <v>0</v>
      </c>
      <c r="T18" s="152">
        <f t="shared" si="8"/>
        <v>9</v>
      </c>
      <c r="U18" s="208">
        <f t="shared" si="9"/>
        <v>0</v>
      </c>
    </row>
    <row r="19" spans="1:21" x14ac:dyDescent="0.25">
      <c r="I19" s="121">
        <v>0</v>
      </c>
      <c r="J19" s="124">
        <v>0</v>
      </c>
      <c r="K19" s="76"/>
      <c r="L19" s="76"/>
      <c r="M19" s="143">
        <v>3</v>
      </c>
      <c r="N19" s="76"/>
      <c r="O19" s="76">
        <f t="shared" si="5"/>
        <v>0</v>
      </c>
      <c r="P19" s="151">
        <v>9</v>
      </c>
      <c r="Q19" s="208">
        <f t="shared" si="6"/>
        <v>0</v>
      </c>
      <c r="R19" s="76"/>
      <c r="S19" s="76">
        <f t="shared" si="7"/>
        <v>0</v>
      </c>
      <c r="T19" s="152">
        <f t="shared" si="8"/>
        <v>9</v>
      </c>
      <c r="U19" s="208">
        <f t="shared" si="9"/>
        <v>0</v>
      </c>
    </row>
    <row r="20" spans="1:21" x14ac:dyDescent="0.25">
      <c r="A20" s="11" t="s">
        <v>249</v>
      </c>
      <c r="B20" s="11" t="s">
        <v>250</v>
      </c>
      <c r="I20" s="121">
        <v>0</v>
      </c>
      <c r="J20" s="124">
        <v>0</v>
      </c>
      <c r="K20" s="76"/>
      <c r="L20" s="76"/>
      <c r="M20" s="143">
        <v>3</v>
      </c>
      <c r="N20" s="76"/>
      <c r="O20" s="76">
        <f t="shared" si="5"/>
        <v>0</v>
      </c>
      <c r="P20" s="151">
        <v>9</v>
      </c>
      <c r="Q20" s="208">
        <f t="shared" si="6"/>
        <v>0</v>
      </c>
      <c r="R20" s="76"/>
      <c r="S20" s="76">
        <f t="shared" si="7"/>
        <v>0</v>
      </c>
      <c r="T20" s="152">
        <f t="shared" si="8"/>
        <v>9</v>
      </c>
      <c r="U20" s="208">
        <f t="shared" si="9"/>
        <v>0</v>
      </c>
    </row>
    <row r="21" spans="1:21" x14ac:dyDescent="0.25">
      <c r="A21" s="238" t="s">
        <v>248</v>
      </c>
      <c r="B21" s="238">
        <v>2</v>
      </c>
      <c r="I21" s="121">
        <v>0</v>
      </c>
      <c r="J21" s="124">
        <v>0</v>
      </c>
      <c r="K21" s="76"/>
      <c r="L21" s="76"/>
      <c r="M21" s="143">
        <v>3</v>
      </c>
      <c r="N21" s="153"/>
      <c r="O21" s="76">
        <f t="shared" si="5"/>
        <v>0</v>
      </c>
      <c r="P21" s="151">
        <v>9</v>
      </c>
      <c r="Q21" s="208">
        <f t="shared" si="6"/>
        <v>0</v>
      </c>
      <c r="R21" s="76"/>
      <c r="S21" s="76">
        <f t="shared" si="7"/>
        <v>0</v>
      </c>
      <c r="T21" s="152">
        <f t="shared" si="8"/>
        <v>9</v>
      </c>
      <c r="U21" s="208">
        <f t="shared" si="9"/>
        <v>0</v>
      </c>
    </row>
    <row r="22" spans="1:21" x14ac:dyDescent="0.25">
      <c r="A22" s="238" t="s">
        <v>247</v>
      </c>
      <c r="B22" s="238">
        <v>1.5</v>
      </c>
      <c r="I22" s="121">
        <v>0</v>
      </c>
      <c r="J22" s="124">
        <v>0</v>
      </c>
      <c r="K22" s="76"/>
      <c r="L22" s="76"/>
      <c r="M22" s="143">
        <v>3</v>
      </c>
      <c r="N22" s="76"/>
      <c r="O22" s="76">
        <f t="shared" si="5"/>
        <v>0</v>
      </c>
      <c r="P22" s="151">
        <v>9</v>
      </c>
      <c r="Q22" s="208">
        <f t="shared" si="6"/>
        <v>0</v>
      </c>
      <c r="R22" s="76"/>
      <c r="S22" s="76">
        <f t="shared" si="7"/>
        <v>0</v>
      </c>
      <c r="T22" s="152">
        <f t="shared" si="8"/>
        <v>9</v>
      </c>
      <c r="U22" s="208">
        <f t="shared" si="9"/>
        <v>0</v>
      </c>
    </row>
    <row r="23" spans="1:21" x14ac:dyDescent="0.25">
      <c r="A23" s="238" t="s">
        <v>246</v>
      </c>
      <c r="B23" s="238">
        <v>1.5</v>
      </c>
      <c r="I23" s="121">
        <v>0</v>
      </c>
      <c r="J23" s="124">
        <v>0</v>
      </c>
      <c r="K23" s="76"/>
      <c r="L23" s="76"/>
      <c r="M23" s="143">
        <v>3</v>
      </c>
      <c r="N23" s="76"/>
      <c r="O23" s="76">
        <f t="shared" si="5"/>
        <v>0</v>
      </c>
      <c r="P23" s="151">
        <v>9</v>
      </c>
      <c r="Q23" s="208">
        <f t="shared" si="6"/>
        <v>0</v>
      </c>
      <c r="R23" s="76"/>
      <c r="S23" s="76">
        <f t="shared" si="7"/>
        <v>0</v>
      </c>
      <c r="T23" s="152">
        <f t="shared" si="8"/>
        <v>9</v>
      </c>
      <c r="U23" s="208">
        <f t="shared" si="9"/>
        <v>0</v>
      </c>
    </row>
    <row r="24" spans="1:21" x14ac:dyDescent="0.25">
      <c r="A24" s="238" t="s">
        <v>243</v>
      </c>
      <c r="B24" s="238">
        <v>1.5</v>
      </c>
      <c r="I24" s="121">
        <v>0</v>
      </c>
      <c r="J24" s="124">
        <v>0</v>
      </c>
      <c r="K24" s="76"/>
      <c r="L24" s="76"/>
      <c r="M24" s="143">
        <v>3</v>
      </c>
      <c r="N24" s="76"/>
      <c r="O24" s="76">
        <f t="shared" si="5"/>
        <v>0</v>
      </c>
      <c r="P24" s="151">
        <v>9</v>
      </c>
      <c r="Q24" s="208">
        <f t="shared" si="6"/>
        <v>0</v>
      </c>
      <c r="R24" s="76"/>
      <c r="S24" s="76">
        <f t="shared" si="7"/>
        <v>0</v>
      </c>
      <c r="T24" s="152">
        <f t="shared" si="8"/>
        <v>9</v>
      </c>
      <c r="U24" s="208">
        <f t="shared" si="9"/>
        <v>0</v>
      </c>
    </row>
    <row r="25" spans="1:21" x14ac:dyDescent="0.25">
      <c r="A25" s="238" t="s">
        <v>244</v>
      </c>
      <c r="B25" s="238">
        <v>1.5</v>
      </c>
      <c r="I25" s="121">
        <v>0</v>
      </c>
      <c r="J25" s="124">
        <v>0</v>
      </c>
      <c r="K25" s="76"/>
      <c r="L25" s="76"/>
      <c r="M25" s="143">
        <v>3</v>
      </c>
      <c r="N25" s="76"/>
      <c r="O25" s="76">
        <f t="shared" si="5"/>
        <v>0</v>
      </c>
      <c r="P25" s="151">
        <v>9</v>
      </c>
      <c r="Q25" s="208">
        <f t="shared" si="6"/>
        <v>0</v>
      </c>
      <c r="R25" s="76"/>
      <c r="S25" s="76">
        <f t="shared" si="7"/>
        <v>0</v>
      </c>
      <c r="T25" s="152">
        <f t="shared" si="8"/>
        <v>9</v>
      </c>
      <c r="U25" s="208">
        <f t="shared" si="9"/>
        <v>0</v>
      </c>
    </row>
    <row r="26" spans="1:21" x14ac:dyDescent="0.25">
      <c r="A26" s="238" t="s">
        <v>245</v>
      </c>
      <c r="B26" s="238">
        <v>1.5</v>
      </c>
      <c r="I26" s="121">
        <v>0</v>
      </c>
      <c r="J26" s="124">
        <v>0</v>
      </c>
      <c r="K26" s="76"/>
      <c r="L26" s="76"/>
      <c r="M26" s="143">
        <v>3</v>
      </c>
      <c r="N26" s="153"/>
      <c r="O26" s="76">
        <f t="shared" si="5"/>
        <v>0</v>
      </c>
      <c r="P26" s="151">
        <v>9</v>
      </c>
      <c r="Q26" s="208">
        <f t="shared" si="6"/>
        <v>0</v>
      </c>
      <c r="R26" s="76"/>
      <c r="S26" s="76">
        <f t="shared" si="7"/>
        <v>0</v>
      </c>
      <c r="T26" s="152">
        <f t="shared" si="8"/>
        <v>9</v>
      </c>
      <c r="U26" s="208">
        <f t="shared" si="9"/>
        <v>0</v>
      </c>
    </row>
    <row r="27" spans="1:21" x14ac:dyDescent="0.25">
      <c r="A27" s="238"/>
      <c r="B27" s="238"/>
      <c r="I27" s="121">
        <v>0</v>
      </c>
      <c r="J27" s="124">
        <v>0</v>
      </c>
      <c r="K27" s="76"/>
      <c r="L27" s="76"/>
      <c r="M27" s="143">
        <v>3</v>
      </c>
      <c r="N27" s="76"/>
      <c r="O27" s="76">
        <f t="shared" si="5"/>
        <v>0</v>
      </c>
      <c r="P27" s="151">
        <v>9</v>
      </c>
      <c r="Q27" s="208">
        <f t="shared" si="6"/>
        <v>0</v>
      </c>
      <c r="R27" s="76"/>
      <c r="S27" s="76">
        <f t="shared" si="7"/>
        <v>0</v>
      </c>
      <c r="T27" s="152">
        <f t="shared" si="8"/>
        <v>9</v>
      </c>
      <c r="U27" s="208">
        <f t="shared" si="9"/>
        <v>0</v>
      </c>
    </row>
    <row r="28" spans="1:21" x14ac:dyDescent="0.25">
      <c r="A28" s="11" t="s">
        <v>312</v>
      </c>
      <c r="B28" s="11" t="s">
        <v>313</v>
      </c>
      <c r="I28" s="121">
        <v>0</v>
      </c>
      <c r="J28" s="124">
        <v>0</v>
      </c>
      <c r="K28" s="76"/>
      <c r="L28" s="76"/>
      <c r="M28" s="143">
        <v>3</v>
      </c>
      <c r="N28" s="76"/>
      <c r="O28" s="76">
        <f t="shared" si="5"/>
        <v>0</v>
      </c>
      <c r="P28" s="151">
        <v>9</v>
      </c>
      <c r="Q28" s="208">
        <f t="shared" si="6"/>
        <v>0</v>
      </c>
      <c r="R28" s="76"/>
      <c r="S28" s="76">
        <f t="shared" si="7"/>
        <v>0</v>
      </c>
      <c r="T28" s="152">
        <f t="shared" si="8"/>
        <v>9</v>
      </c>
      <c r="U28" s="208">
        <f t="shared" si="9"/>
        <v>0</v>
      </c>
    </row>
    <row r="29" spans="1:21" x14ac:dyDescent="0.25">
      <c r="A29" s="238" t="s">
        <v>146</v>
      </c>
      <c r="B29" s="42">
        <v>9.5</v>
      </c>
      <c r="I29" s="121">
        <v>0</v>
      </c>
      <c r="J29" s="124">
        <v>0</v>
      </c>
      <c r="K29" s="76"/>
      <c r="L29" s="76"/>
      <c r="M29" s="143">
        <v>3</v>
      </c>
      <c r="N29" s="76"/>
      <c r="O29" s="76">
        <f t="shared" si="5"/>
        <v>0</v>
      </c>
      <c r="P29" s="151">
        <v>9</v>
      </c>
      <c r="Q29" s="208">
        <f t="shared" si="6"/>
        <v>0</v>
      </c>
      <c r="R29" s="76"/>
      <c r="S29" s="76">
        <f t="shared" si="7"/>
        <v>0</v>
      </c>
      <c r="T29" s="152">
        <f t="shared" si="8"/>
        <v>9</v>
      </c>
      <c r="U29" s="208">
        <f t="shared" si="9"/>
        <v>0</v>
      </c>
    </row>
    <row r="30" spans="1:21" x14ac:dyDescent="0.25">
      <c r="A30" s="238" t="s">
        <v>107</v>
      </c>
      <c r="B30" s="42">
        <v>8</v>
      </c>
      <c r="I30" s="121">
        <v>0</v>
      </c>
      <c r="J30" s="124">
        <v>0</v>
      </c>
      <c r="K30" s="76"/>
      <c r="L30" s="76"/>
      <c r="M30" s="143">
        <v>3</v>
      </c>
      <c r="N30" s="76"/>
      <c r="O30" s="76">
        <f t="shared" si="5"/>
        <v>0</v>
      </c>
      <c r="P30" s="151">
        <v>9</v>
      </c>
      <c r="Q30" s="208">
        <f t="shared" si="6"/>
        <v>0</v>
      </c>
      <c r="R30" s="76"/>
      <c r="S30" s="76">
        <f t="shared" si="7"/>
        <v>0</v>
      </c>
      <c r="T30" s="152">
        <f t="shared" si="8"/>
        <v>9</v>
      </c>
      <c r="U30" s="208">
        <f t="shared" si="9"/>
        <v>0</v>
      </c>
    </row>
    <row r="31" spans="1:21" x14ac:dyDescent="0.25">
      <c r="A31" s="238" t="s">
        <v>108</v>
      </c>
      <c r="B31" s="42">
        <f>B30-1.5</f>
        <v>6.5</v>
      </c>
      <c r="I31" s="121">
        <v>0</v>
      </c>
      <c r="J31" s="124">
        <v>0</v>
      </c>
      <c r="K31" s="76"/>
      <c r="L31" s="76"/>
      <c r="M31" s="143">
        <v>3</v>
      </c>
      <c r="N31" s="153"/>
      <c r="O31" s="76">
        <f t="shared" si="5"/>
        <v>0</v>
      </c>
      <c r="P31" s="151">
        <v>9</v>
      </c>
      <c r="Q31" s="208">
        <f t="shared" si="6"/>
        <v>0</v>
      </c>
      <c r="R31" s="76"/>
      <c r="S31" s="76">
        <f t="shared" si="7"/>
        <v>0</v>
      </c>
      <c r="T31" s="152">
        <f t="shared" si="8"/>
        <v>9</v>
      </c>
      <c r="U31" s="208">
        <f t="shared" si="9"/>
        <v>0</v>
      </c>
    </row>
    <row r="32" spans="1:21" x14ac:dyDescent="0.25">
      <c r="A32" s="238" t="s">
        <v>109</v>
      </c>
      <c r="B32" s="42">
        <f t="shared" ref="B32" si="10">B31-1.5</f>
        <v>5</v>
      </c>
      <c r="I32" s="121">
        <v>0</v>
      </c>
      <c r="J32" s="124">
        <v>0</v>
      </c>
      <c r="K32" s="76"/>
      <c r="L32" s="76"/>
      <c r="M32" s="143">
        <v>3</v>
      </c>
      <c r="N32" s="76"/>
      <c r="O32" s="76">
        <f t="shared" si="5"/>
        <v>0</v>
      </c>
      <c r="P32" s="151">
        <v>9</v>
      </c>
      <c r="Q32" s="208">
        <f t="shared" si="6"/>
        <v>0</v>
      </c>
      <c r="R32" s="76"/>
      <c r="S32" s="76">
        <f t="shared" si="7"/>
        <v>0</v>
      </c>
      <c r="T32" s="152">
        <f t="shared" si="8"/>
        <v>9</v>
      </c>
      <c r="U32" s="208">
        <f t="shared" si="9"/>
        <v>0</v>
      </c>
    </row>
    <row r="33" spans="1:21" x14ac:dyDescent="0.25">
      <c r="A33" s="238" t="s">
        <v>110</v>
      </c>
      <c r="B33" s="42">
        <f>2+1.5</f>
        <v>3.5</v>
      </c>
      <c r="I33" s="121">
        <v>0</v>
      </c>
      <c r="J33" s="124">
        <v>0</v>
      </c>
      <c r="K33" s="76"/>
      <c r="L33" s="76"/>
      <c r="M33" s="143">
        <v>3</v>
      </c>
      <c r="N33" s="76"/>
      <c r="O33" s="76">
        <f t="shared" si="5"/>
        <v>0</v>
      </c>
      <c r="P33" s="151">
        <v>9</v>
      </c>
      <c r="Q33" s="208">
        <f t="shared" si="6"/>
        <v>0</v>
      </c>
      <c r="R33" s="76"/>
      <c r="S33" s="76">
        <f t="shared" si="7"/>
        <v>0</v>
      </c>
      <c r="T33" s="152">
        <f t="shared" si="8"/>
        <v>9</v>
      </c>
      <c r="U33" s="208">
        <f t="shared" si="9"/>
        <v>0</v>
      </c>
    </row>
    <row r="34" spans="1:21" x14ac:dyDescent="0.25">
      <c r="A34" s="238" t="s">
        <v>315</v>
      </c>
      <c r="B34" s="42">
        <v>2</v>
      </c>
      <c r="I34" s="121">
        <v>0</v>
      </c>
      <c r="J34" s="124">
        <v>0</v>
      </c>
      <c r="K34" s="76"/>
      <c r="L34" s="76"/>
      <c r="M34" s="143">
        <v>3</v>
      </c>
      <c r="N34" s="76"/>
      <c r="O34" s="76">
        <f t="shared" si="5"/>
        <v>0</v>
      </c>
      <c r="P34" s="151">
        <v>9</v>
      </c>
      <c r="Q34" s="208">
        <f t="shared" si="6"/>
        <v>0</v>
      </c>
      <c r="R34" s="76"/>
      <c r="S34" s="76">
        <f t="shared" si="7"/>
        <v>0</v>
      </c>
      <c r="T34" s="152">
        <f t="shared" si="8"/>
        <v>9</v>
      </c>
      <c r="U34" s="208">
        <f t="shared" si="9"/>
        <v>0</v>
      </c>
    </row>
    <row r="35" spans="1:21" x14ac:dyDescent="0.25">
      <c r="A35" s="238" t="s">
        <v>314</v>
      </c>
      <c r="B35" s="42">
        <v>1</v>
      </c>
      <c r="I35" s="121">
        <v>0</v>
      </c>
      <c r="J35" s="124">
        <v>0</v>
      </c>
      <c r="K35" s="76"/>
      <c r="L35" s="76"/>
      <c r="M35" s="143">
        <v>3</v>
      </c>
      <c r="N35" s="76"/>
      <c r="O35" s="76">
        <f t="shared" si="5"/>
        <v>0</v>
      </c>
      <c r="P35" s="151">
        <v>9</v>
      </c>
      <c r="Q35" s="208">
        <f t="shared" si="6"/>
        <v>0</v>
      </c>
      <c r="R35" s="76"/>
      <c r="S35" s="76">
        <f t="shared" si="7"/>
        <v>0</v>
      </c>
      <c r="T35" s="152">
        <f t="shared" si="8"/>
        <v>9</v>
      </c>
      <c r="U35" s="208">
        <f t="shared" si="9"/>
        <v>0</v>
      </c>
    </row>
    <row r="36" spans="1:21" x14ac:dyDescent="0.25">
      <c r="I36" s="121">
        <v>0</v>
      </c>
      <c r="J36" s="124">
        <v>0</v>
      </c>
      <c r="K36" s="76"/>
      <c r="L36" s="76"/>
      <c r="M36" s="143">
        <v>3</v>
      </c>
      <c r="N36" s="153"/>
      <c r="O36" s="76">
        <f t="shared" si="5"/>
        <v>0</v>
      </c>
      <c r="P36" s="151">
        <v>9</v>
      </c>
      <c r="Q36" s="208">
        <f t="shared" si="6"/>
        <v>0</v>
      </c>
      <c r="R36" s="76"/>
      <c r="S36" s="76">
        <f t="shared" si="7"/>
        <v>0</v>
      </c>
      <c r="T36" s="152">
        <f t="shared" si="8"/>
        <v>9</v>
      </c>
      <c r="U36" s="208">
        <f t="shared" si="9"/>
        <v>0</v>
      </c>
    </row>
    <row r="37" spans="1:21" x14ac:dyDescent="0.25">
      <c r="I37" s="121">
        <v>0</v>
      </c>
      <c r="J37" s="124">
        <v>0</v>
      </c>
      <c r="K37" s="76"/>
      <c r="L37" s="76"/>
      <c r="M37" s="143">
        <v>3</v>
      </c>
      <c r="N37" s="76"/>
      <c r="O37" s="76">
        <f t="shared" si="5"/>
        <v>0</v>
      </c>
      <c r="P37" s="151">
        <v>9</v>
      </c>
      <c r="Q37" s="208">
        <f t="shared" si="6"/>
        <v>0</v>
      </c>
      <c r="R37" s="76"/>
      <c r="S37" s="76">
        <f t="shared" si="7"/>
        <v>0</v>
      </c>
      <c r="T37" s="152">
        <f t="shared" si="8"/>
        <v>9</v>
      </c>
      <c r="U37" s="208">
        <f t="shared" si="9"/>
        <v>0</v>
      </c>
    </row>
    <row r="38" spans="1:21" x14ac:dyDescent="0.25">
      <c r="I38" s="121">
        <v>0</v>
      </c>
      <c r="J38" s="124">
        <v>0</v>
      </c>
      <c r="K38" s="76"/>
      <c r="L38" s="76"/>
      <c r="M38" s="143">
        <v>3</v>
      </c>
      <c r="N38" s="76"/>
      <c r="O38" s="76">
        <f t="shared" si="5"/>
        <v>0</v>
      </c>
      <c r="P38" s="151">
        <v>9</v>
      </c>
      <c r="Q38" s="208">
        <f t="shared" si="6"/>
        <v>0</v>
      </c>
      <c r="R38" s="76"/>
      <c r="S38" s="76">
        <f t="shared" si="7"/>
        <v>0</v>
      </c>
      <c r="T38" s="152">
        <f t="shared" si="8"/>
        <v>9</v>
      </c>
      <c r="U38" s="208">
        <f t="shared" si="9"/>
        <v>0</v>
      </c>
    </row>
    <row r="39" spans="1:21" x14ac:dyDescent="0.25">
      <c r="I39" s="121">
        <v>0</v>
      </c>
      <c r="J39" s="124">
        <v>0</v>
      </c>
      <c r="K39" s="76"/>
      <c r="L39" s="76"/>
      <c r="M39" s="143">
        <v>3</v>
      </c>
      <c r="N39" s="76"/>
      <c r="O39" s="76">
        <f t="shared" si="5"/>
        <v>0</v>
      </c>
      <c r="P39" s="151">
        <v>9</v>
      </c>
      <c r="Q39" s="208">
        <f t="shared" si="6"/>
        <v>0</v>
      </c>
      <c r="R39" s="76"/>
      <c r="S39" s="76">
        <f t="shared" si="7"/>
        <v>0</v>
      </c>
      <c r="T39" s="152">
        <f t="shared" si="8"/>
        <v>9</v>
      </c>
      <c r="U39" s="208">
        <f t="shared" si="9"/>
        <v>0</v>
      </c>
    </row>
    <row r="40" spans="1:21" x14ac:dyDescent="0.25">
      <c r="I40" s="121">
        <v>0</v>
      </c>
      <c r="J40" s="124">
        <v>0</v>
      </c>
      <c r="K40" s="76"/>
      <c r="L40" s="76"/>
      <c r="M40" s="143">
        <v>3</v>
      </c>
      <c r="N40" s="76"/>
      <c r="O40" s="76">
        <f t="shared" si="5"/>
        <v>0</v>
      </c>
      <c r="P40" s="151">
        <v>9</v>
      </c>
      <c r="Q40" s="208">
        <f t="shared" si="6"/>
        <v>0</v>
      </c>
      <c r="R40" s="76"/>
      <c r="S40" s="76">
        <f t="shared" si="7"/>
        <v>0</v>
      </c>
      <c r="T40" s="152">
        <f t="shared" si="8"/>
        <v>9</v>
      </c>
      <c r="U40" s="208">
        <f t="shared" si="9"/>
        <v>0</v>
      </c>
    </row>
    <row r="41" spans="1:21" x14ac:dyDescent="0.25">
      <c r="I41" s="121">
        <v>0</v>
      </c>
      <c r="J41" s="124">
        <v>0</v>
      </c>
      <c r="K41" s="76"/>
      <c r="L41" s="76"/>
      <c r="M41" s="143">
        <v>3</v>
      </c>
      <c r="N41" s="153"/>
      <c r="O41" s="76">
        <f t="shared" si="5"/>
        <v>0</v>
      </c>
      <c r="P41" s="151">
        <v>9</v>
      </c>
      <c r="Q41" s="208">
        <f t="shared" si="6"/>
        <v>0</v>
      </c>
      <c r="R41" s="76"/>
      <c r="S41" s="76">
        <f t="shared" si="7"/>
        <v>0</v>
      </c>
      <c r="T41" s="152">
        <f t="shared" si="8"/>
        <v>9</v>
      </c>
      <c r="U41" s="208">
        <f t="shared" si="9"/>
        <v>0</v>
      </c>
    </row>
    <row r="42" spans="1:21" x14ac:dyDescent="0.25">
      <c r="I42" s="121">
        <v>0</v>
      </c>
      <c r="J42" s="124">
        <v>0</v>
      </c>
      <c r="K42" s="76"/>
      <c r="L42" s="76"/>
      <c r="M42" s="143">
        <v>3</v>
      </c>
      <c r="N42" s="76"/>
      <c r="O42" s="76">
        <f t="shared" si="5"/>
        <v>0</v>
      </c>
      <c r="P42" s="151">
        <v>9</v>
      </c>
      <c r="Q42" s="208">
        <f t="shared" si="6"/>
        <v>0</v>
      </c>
      <c r="R42" s="76"/>
      <c r="S42" s="76">
        <f t="shared" si="7"/>
        <v>0</v>
      </c>
      <c r="T42" s="152">
        <f t="shared" si="8"/>
        <v>9</v>
      </c>
      <c r="U42" s="208">
        <f t="shared" si="9"/>
        <v>0</v>
      </c>
    </row>
    <row r="43" spans="1:21" x14ac:dyDescent="0.25">
      <c r="I43" s="121">
        <v>0</v>
      </c>
      <c r="J43" s="124">
        <v>0</v>
      </c>
      <c r="K43" s="76"/>
      <c r="L43" s="76"/>
      <c r="M43" s="143">
        <v>3</v>
      </c>
      <c r="N43" s="76"/>
      <c r="O43" s="76">
        <f t="shared" si="5"/>
        <v>0</v>
      </c>
      <c r="P43" s="151">
        <v>9</v>
      </c>
      <c r="Q43" s="208">
        <f t="shared" si="6"/>
        <v>0</v>
      </c>
      <c r="R43" s="76"/>
      <c r="S43" s="76">
        <f t="shared" si="7"/>
        <v>0</v>
      </c>
      <c r="T43" s="152">
        <f t="shared" si="8"/>
        <v>9</v>
      </c>
      <c r="U43" s="208">
        <f t="shared" si="9"/>
        <v>0</v>
      </c>
    </row>
    <row r="44" spans="1:21" x14ac:dyDescent="0.25">
      <c r="I44" s="121">
        <v>0</v>
      </c>
      <c r="J44" s="124">
        <v>0</v>
      </c>
      <c r="K44" s="76"/>
      <c r="L44" s="76"/>
      <c r="M44" s="143">
        <v>3</v>
      </c>
      <c r="N44" s="76"/>
      <c r="O44" s="76">
        <f t="shared" si="5"/>
        <v>0</v>
      </c>
      <c r="P44" s="151">
        <v>9</v>
      </c>
      <c r="Q44" s="208">
        <f t="shared" si="6"/>
        <v>0</v>
      </c>
      <c r="R44" s="76"/>
      <c r="S44" s="76">
        <f t="shared" si="7"/>
        <v>0</v>
      </c>
      <c r="T44" s="152">
        <f t="shared" si="8"/>
        <v>9</v>
      </c>
      <c r="U44" s="208">
        <f t="shared" si="9"/>
        <v>0</v>
      </c>
    </row>
    <row r="45" spans="1:21" x14ac:dyDescent="0.25">
      <c r="I45" s="121">
        <v>0</v>
      </c>
      <c r="J45" s="124">
        <v>0</v>
      </c>
      <c r="K45" s="76"/>
      <c r="L45" s="76"/>
      <c r="M45" s="143">
        <v>3</v>
      </c>
      <c r="N45" s="76"/>
      <c r="O45" s="76">
        <f t="shared" si="5"/>
        <v>0</v>
      </c>
      <c r="P45" s="151">
        <v>9</v>
      </c>
      <c r="Q45" s="208">
        <f t="shared" si="6"/>
        <v>0</v>
      </c>
      <c r="R45" s="76"/>
      <c r="S45" s="76">
        <f t="shared" si="7"/>
        <v>0</v>
      </c>
      <c r="T45" s="152">
        <f t="shared" si="8"/>
        <v>9</v>
      </c>
      <c r="U45" s="208">
        <f t="shared" si="9"/>
        <v>0</v>
      </c>
    </row>
    <row r="46" spans="1:21" x14ac:dyDescent="0.25">
      <c r="I46" s="121">
        <v>0</v>
      </c>
      <c r="J46" s="124">
        <v>0</v>
      </c>
      <c r="K46" s="76"/>
      <c r="L46" s="76"/>
      <c r="M46" s="143">
        <v>3</v>
      </c>
      <c r="N46" s="76"/>
      <c r="O46" s="76">
        <f t="shared" si="5"/>
        <v>0</v>
      </c>
      <c r="P46" s="151">
        <v>9</v>
      </c>
      <c r="Q46" s="208">
        <f t="shared" si="6"/>
        <v>0</v>
      </c>
      <c r="R46" s="76"/>
      <c r="S46" s="76">
        <f t="shared" si="7"/>
        <v>0</v>
      </c>
      <c r="T46" s="152">
        <f t="shared" si="8"/>
        <v>9</v>
      </c>
      <c r="U46" s="208">
        <f t="shared" si="9"/>
        <v>0</v>
      </c>
    </row>
    <row r="47" spans="1:21" x14ac:dyDescent="0.25">
      <c r="I47" s="121">
        <v>0</v>
      </c>
      <c r="J47" s="124">
        <v>0</v>
      </c>
      <c r="K47" s="76"/>
      <c r="L47" s="76"/>
      <c r="M47" s="143">
        <v>3</v>
      </c>
      <c r="N47" s="153"/>
      <c r="O47" s="76">
        <f t="shared" ref="O47:O76" si="11">L47+N47</f>
        <v>0</v>
      </c>
      <c r="P47" s="151">
        <v>9</v>
      </c>
      <c r="Q47" s="208">
        <f t="shared" ref="Q47:Q76" si="12">O47/P47</f>
        <v>0</v>
      </c>
      <c r="R47" s="76"/>
      <c r="S47" s="76">
        <f t="shared" ref="S47:S76" si="13">R47+L47</f>
        <v>0</v>
      </c>
      <c r="T47" s="152">
        <f t="shared" ref="T47:T76" si="14">P47</f>
        <v>9</v>
      </c>
      <c r="U47" s="208">
        <f t="shared" ref="U47:U76" si="15">S47/T47</f>
        <v>0</v>
      </c>
    </row>
    <row r="48" spans="1:21" x14ac:dyDescent="0.25">
      <c r="I48" s="121">
        <v>0</v>
      </c>
      <c r="J48" s="124">
        <v>0</v>
      </c>
      <c r="K48" s="76"/>
      <c r="L48" s="76"/>
      <c r="M48" s="143">
        <v>3</v>
      </c>
      <c r="N48" s="76"/>
      <c r="O48" s="76">
        <f t="shared" si="11"/>
        <v>0</v>
      </c>
      <c r="P48" s="151">
        <v>9</v>
      </c>
      <c r="Q48" s="208">
        <f t="shared" si="12"/>
        <v>0</v>
      </c>
      <c r="R48" s="76"/>
      <c r="S48" s="76">
        <f t="shared" si="13"/>
        <v>0</v>
      </c>
      <c r="T48" s="152">
        <f t="shared" si="14"/>
        <v>9</v>
      </c>
      <c r="U48" s="208">
        <f t="shared" si="15"/>
        <v>0</v>
      </c>
    </row>
    <row r="49" spans="1:21" x14ac:dyDescent="0.25">
      <c r="I49" s="121">
        <v>0</v>
      </c>
      <c r="J49" s="124">
        <v>0</v>
      </c>
      <c r="K49" s="76"/>
      <c r="L49" s="76"/>
      <c r="M49" s="143">
        <v>3</v>
      </c>
      <c r="N49" s="76"/>
      <c r="O49" s="76">
        <f t="shared" si="11"/>
        <v>0</v>
      </c>
      <c r="P49" s="151">
        <v>9</v>
      </c>
      <c r="Q49" s="208">
        <f t="shared" si="12"/>
        <v>0</v>
      </c>
      <c r="R49" s="76"/>
      <c r="S49" s="76">
        <f t="shared" si="13"/>
        <v>0</v>
      </c>
      <c r="T49" s="152">
        <f t="shared" si="14"/>
        <v>9</v>
      </c>
      <c r="U49" s="208">
        <f t="shared" si="15"/>
        <v>0</v>
      </c>
    </row>
    <row r="50" spans="1:21" x14ac:dyDescent="0.25">
      <c r="A50" s="33"/>
      <c r="I50" s="121">
        <v>0</v>
      </c>
      <c r="J50" s="124">
        <v>0</v>
      </c>
      <c r="K50" s="76"/>
      <c r="L50" s="76"/>
      <c r="M50" s="143">
        <v>3</v>
      </c>
      <c r="N50" s="76"/>
      <c r="O50" s="76">
        <f t="shared" si="11"/>
        <v>0</v>
      </c>
      <c r="P50" s="151">
        <v>9</v>
      </c>
      <c r="Q50" s="208">
        <f t="shared" si="12"/>
        <v>0</v>
      </c>
      <c r="R50" s="76"/>
      <c r="S50" s="76">
        <f t="shared" si="13"/>
        <v>0</v>
      </c>
      <c r="T50" s="152">
        <f t="shared" si="14"/>
        <v>9</v>
      </c>
      <c r="U50" s="208">
        <f t="shared" si="15"/>
        <v>0</v>
      </c>
    </row>
    <row r="51" spans="1:21" x14ac:dyDescent="0.25">
      <c r="A51" s="33"/>
      <c r="I51" s="121">
        <v>0</v>
      </c>
      <c r="J51" s="124">
        <v>0</v>
      </c>
      <c r="K51" s="76"/>
      <c r="L51" s="76"/>
      <c r="M51" s="143">
        <v>3</v>
      </c>
      <c r="N51" s="76"/>
      <c r="O51" s="76">
        <f t="shared" si="11"/>
        <v>0</v>
      </c>
      <c r="P51" s="151">
        <v>9</v>
      </c>
      <c r="Q51" s="208">
        <f t="shared" si="12"/>
        <v>0</v>
      </c>
      <c r="R51" s="76"/>
      <c r="S51" s="76">
        <f t="shared" si="13"/>
        <v>0</v>
      </c>
      <c r="T51" s="152">
        <f t="shared" si="14"/>
        <v>9</v>
      </c>
      <c r="U51" s="208">
        <f t="shared" si="15"/>
        <v>0</v>
      </c>
    </row>
    <row r="52" spans="1:21" x14ac:dyDescent="0.25">
      <c r="A52" s="33"/>
      <c r="I52" s="121">
        <v>0</v>
      </c>
      <c r="J52" s="124">
        <v>0</v>
      </c>
      <c r="K52" s="76"/>
      <c r="L52" s="76"/>
      <c r="M52" s="143">
        <v>3</v>
      </c>
      <c r="N52" s="153"/>
      <c r="O52" s="76">
        <f t="shared" si="11"/>
        <v>0</v>
      </c>
      <c r="P52" s="151">
        <v>9</v>
      </c>
      <c r="Q52" s="208">
        <f t="shared" si="12"/>
        <v>0</v>
      </c>
      <c r="R52" s="76"/>
      <c r="S52" s="76">
        <f t="shared" si="13"/>
        <v>0</v>
      </c>
      <c r="T52" s="152">
        <f t="shared" si="14"/>
        <v>9</v>
      </c>
      <c r="U52" s="208">
        <f t="shared" si="15"/>
        <v>0</v>
      </c>
    </row>
    <row r="53" spans="1:21" x14ac:dyDescent="0.25">
      <c r="I53" s="121">
        <v>0</v>
      </c>
      <c r="J53" s="124">
        <v>0</v>
      </c>
      <c r="K53" s="76"/>
      <c r="L53" s="76"/>
      <c r="M53" s="143">
        <v>3</v>
      </c>
      <c r="N53" s="76"/>
      <c r="O53" s="76">
        <f t="shared" si="11"/>
        <v>0</v>
      </c>
      <c r="P53" s="151">
        <v>9</v>
      </c>
      <c r="Q53" s="208">
        <f t="shared" si="12"/>
        <v>0</v>
      </c>
      <c r="R53" s="76"/>
      <c r="S53" s="76">
        <f t="shared" si="13"/>
        <v>0</v>
      </c>
      <c r="T53" s="152">
        <f t="shared" si="14"/>
        <v>9</v>
      </c>
      <c r="U53" s="208">
        <f t="shared" si="15"/>
        <v>0</v>
      </c>
    </row>
    <row r="54" spans="1:21" x14ac:dyDescent="0.25">
      <c r="I54" s="121">
        <v>0</v>
      </c>
      <c r="J54" s="124">
        <v>0</v>
      </c>
      <c r="K54" s="76"/>
      <c r="L54" s="76"/>
      <c r="M54" s="143">
        <v>3</v>
      </c>
      <c r="N54" s="76"/>
      <c r="O54" s="76">
        <f t="shared" si="11"/>
        <v>0</v>
      </c>
      <c r="P54" s="151">
        <v>9</v>
      </c>
      <c r="Q54" s="208">
        <f t="shared" si="12"/>
        <v>0</v>
      </c>
      <c r="R54" s="76"/>
      <c r="S54" s="76">
        <f t="shared" si="13"/>
        <v>0</v>
      </c>
      <c r="T54" s="152">
        <f t="shared" si="14"/>
        <v>9</v>
      </c>
      <c r="U54" s="208">
        <f t="shared" si="15"/>
        <v>0</v>
      </c>
    </row>
    <row r="55" spans="1:21" x14ac:dyDescent="0.25">
      <c r="I55" s="121">
        <v>0</v>
      </c>
      <c r="J55" s="124">
        <v>0</v>
      </c>
      <c r="K55" s="76"/>
      <c r="L55" s="76"/>
      <c r="M55" s="143">
        <v>3</v>
      </c>
      <c r="N55" s="76"/>
      <c r="O55" s="76">
        <f t="shared" si="11"/>
        <v>0</v>
      </c>
      <c r="P55" s="151">
        <v>9</v>
      </c>
      <c r="Q55" s="208">
        <f t="shared" si="12"/>
        <v>0</v>
      </c>
      <c r="R55" s="76"/>
      <c r="S55" s="76">
        <f t="shared" si="13"/>
        <v>0</v>
      </c>
      <c r="T55" s="152">
        <f t="shared" si="14"/>
        <v>9</v>
      </c>
      <c r="U55" s="208">
        <f t="shared" si="15"/>
        <v>0</v>
      </c>
    </row>
    <row r="56" spans="1:21" x14ac:dyDescent="0.25">
      <c r="I56" s="121">
        <v>0</v>
      </c>
      <c r="J56" s="124">
        <v>0</v>
      </c>
      <c r="K56" s="76"/>
      <c r="L56" s="76"/>
      <c r="M56" s="143">
        <v>3</v>
      </c>
      <c r="N56" s="76"/>
      <c r="O56" s="76">
        <f t="shared" si="11"/>
        <v>0</v>
      </c>
      <c r="P56" s="151">
        <v>9</v>
      </c>
      <c r="Q56" s="208">
        <f t="shared" si="12"/>
        <v>0</v>
      </c>
      <c r="R56" s="76"/>
      <c r="S56" s="76">
        <f t="shared" si="13"/>
        <v>0</v>
      </c>
      <c r="T56" s="152">
        <f t="shared" si="14"/>
        <v>9</v>
      </c>
      <c r="U56" s="208">
        <f t="shared" si="15"/>
        <v>0</v>
      </c>
    </row>
    <row r="57" spans="1:21" x14ac:dyDescent="0.25">
      <c r="A57" s="33"/>
      <c r="I57" s="121">
        <v>0</v>
      </c>
      <c r="J57" s="124">
        <v>0</v>
      </c>
      <c r="K57" s="76"/>
      <c r="L57" s="76"/>
      <c r="M57" s="143">
        <v>3</v>
      </c>
      <c r="N57" s="76"/>
      <c r="O57" s="76">
        <f t="shared" si="11"/>
        <v>0</v>
      </c>
      <c r="P57" s="151">
        <v>9</v>
      </c>
      <c r="Q57" s="208">
        <f t="shared" si="12"/>
        <v>0</v>
      </c>
      <c r="R57" s="76"/>
      <c r="S57" s="76">
        <f t="shared" si="13"/>
        <v>0</v>
      </c>
      <c r="T57" s="152">
        <f t="shared" si="14"/>
        <v>9</v>
      </c>
      <c r="U57" s="208">
        <f t="shared" si="15"/>
        <v>0</v>
      </c>
    </row>
    <row r="58" spans="1:21" x14ac:dyDescent="0.25">
      <c r="A58" s="33"/>
      <c r="I58" s="121">
        <v>0</v>
      </c>
      <c r="J58" s="124">
        <v>0</v>
      </c>
      <c r="K58" s="76"/>
      <c r="L58" s="76"/>
      <c r="M58" s="143">
        <v>3</v>
      </c>
      <c r="N58" s="153"/>
      <c r="O58" s="76">
        <f t="shared" si="11"/>
        <v>0</v>
      </c>
      <c r="P58" s="151">
        <v>9</v>
      </c>
      <c r="Q58" s="208">
        <f t="shared" si="12"/>
        <v>0</v>
      </c>
      <c r="R58" s="76"/>
      <c r="S58" s="76">
        <f t="shared" si="13"/>
        <v>0</v>
      </c>
      <c r="T58" s="152">
        <f t="shared" si="14"/>
        <v>9</v>
      </c>
      <c r="U58" s="208">
        <f t="shared" si="15"/>
        <v>0</v>
      </c>
    </row>
    <row r="59" spans="1:21" x14ac:dyDescent="0.25">
      <c r="A59" s="33"/>
      <c r="I59" s="121">
        <v>0</v>
      </c>
      <c r="J59" s="124">
        <v>0</v>
      </c>
      <c r="K59" s="76"/>
      <c r="L59" s="76"/>
      <c r="M59" s="143">
        <v>3</v>
      </c>
      <c r="N59" s="76"/>
      <c r="O59" s="76">
        <f t="shared" si="11"/>
        <v>0</v>
      </c>
      <c r="P59" s="151">
        <v>9</v>
      </c>
      <c r="Q59" s="208">
        <f t="shared" si="12"/>
        <v>0</v>
      </c>
      <c r="R59" s="76"/>
      <c r="S59" s="76">
        <f t="shared" si="13"/>
        <v>0</v>
      </c>
      <c r="T59" s="152">
        <f t="shared" si="14"/>
        <v>9</v>
      </c>
      <c r="U59" s="208">
        <f t="shared" si="15"/>
        <v>0</v>
      </c>
    </row>
    <row r="60" spans="1:21" x14ac:dyDescent="0.25">
      <c r="I60" s="121">
        <v>0</v>
      </c>
      <c r="J60" s="124">
        <v>0</v>
      </c>
      <c r="K60" s="76"/>
      <c r="L60" s="76"/>
      <c r="M60" s="143">
        <v>3</v>
      </c>
      <c r="N60" s="76"/>
      <c r="O60" s="76">
        <f t="shared" si="11"/>
        <v>0</v>
      </c>
      <c r="P60" s="151">
        <v>9</v>
      </c>
      <c r="Q60" s="208">
        <f t="shared" si="12"/>
        <v>0</v>
      </c>
      <c r="R60" s="76"/>
      <c r="S60" s="76">
        <f t="shared" si="13"/>
        <v>0</v>
      </c>
      <c r="T60" s="152">
        <f t="shared" si="14"/>
        <v>9</v>
      </c>
      <c r="U60" s="208">
        <f t="shared" si="15"/>
        <v>0</v>
      </c>
    </row>
    <row r="61" spans="1:21" x14ac:dyDescent="0.25">
      <c r="I61" s="121">
        <v>0</v>
      </c>
      <c r="J61" s="124">
        <v>0</v>
      </c>
      <c r="K61" s="76"/>
      <c r="L61" s="76"/>
      <c r="M61" s="143">
        <v>3</v>
      </c>
      <c r="N61" s="76"/>
      <c r="O61" s="76">
        <f t="shared" si="11"/>
        <v>0</v>
      </c>
      <c r="P61" s="151">
        <v>9</v>
      </c>
      <c r="Q61" s="208">
        <f t="shared" si="12"/>
        <v>0</v>
      </c>
      <c r="R61" s="76"/>
      <c r="S61" s="76">
        <f t="shared" si="13"/>
        <v>0</v>
      </c>
      <c r="T61" s="152">
        <f t="shared" si="14"/>
        <v>9</v>
      </c>
      <c r="U61" s="208">
        <f t="shared" si="15"/>
        <v>0</v>
      </c>
    </row>
    <row r="62" spans="1:21" x14ac:dyDescent="0.25">
      <c r="I62" s="121">
        <v>0</v>
      </c>
      <c r="J62" s="124">
        <v>0</v>
      </c>
      <c r="K62" s="76"/>
      <c r="L62" s="76"/>
      <c r="M62" s="143">
        <v>3</v>
      </c>
      <c r="N62" s="76"/>
      <c r="O62" s="76">
        <f t="shared" si="11"/>
        <v>0</v>
      </c>
      <c r="P62" s="151">
        <v>9</v>
      </c>
      <c r="Q62" s="208">
        <f t="shared" si="12"/>
        <v>0</v>
      </c>
      <c r="R62" s="76"/>
      <c r="S62" s="76">
        <f t="shared" si="13"/>
        <v>0</v>
      </c>
      <c r="T62" s="152">
        <f t="shared" si="14"/>
        <v>9</v>
      </c>
      <c r="U62" s="208">
        <f t="shared" si="15"/>
        <v>0</v>
      </c>
    </row>
    <row r="63" spans="1:21" x14ac:dyDescent="0.25">
      <c r="I63" s="121">
        <v>0</v>
      </c>
      <c r="J63" s="124">
        <v>0</v>
      </c>
      <c r="K63" s="76"/>
      <c r="L63" s="76"/>
      <c r="M63" s="143">
        <v>3</v>
      </c>
      <c r="N63" s="153"/>
      <c r="O63" s="76">
        <f t="shared" si="11"/>
        <v>0</v>
      </c>
      <c r="P63" s="151">
        <v>9</v>
      </c>
      <c r="Q63" s="208">
        <f t="shared" si="12"/>
        <v>0</v>
      </c>
      <c r="R63" s="76"/>
      <c r="S63" s="76">
        <f t="shared" si="13"/>
        <v>0</v>
      </c>
      <c r="T63" s="152">
        <f t="shared" si="14"/>
        <v>9</v>
      </c>
      <c r="U63" s="208">
        <f t="shared" si="15"/>
        <v>0</v>
      </c>
    </row>
    <row r="64" spans="1:21" x14ac:dyDescent="0.25">
      <c r="I64" s="121">
        <v>0</v>
      </c>
      <c r="J64" s="124">
        <v>0</v>
      </c>
      <c r="K64" s="76"/>
      <c r="L64" s="76"/>
      <c r="M64" s="143">
        <v>3</v>
      </c>
      <c r="N64" s="76"/>
      <c r="O64" s="76">
        <f t="shared" si="11"/>
        <v>0</v>
      </c>
      <c r="P64" s="151">
        <v>9</v>
      </c>
      <c r="Q64" s="208">
        <f t="shared" si="12"/>
        <v>0</v>
      </c>
      <c r="R64" s="76"/>
      <c r="S64" s="76">
        <f t="shared" si="13"/>
        <v>0</v>
      </c>
      <c r="T64" s="152">
        <f t="shared" si="14"/>
        <v>9</v>
      </c>
      <c r="U64" s="208">
        <f t="shared" si="15"/>
        <v>0</v>
      </c>
    </row>
    <row r="65" spans="9:21" x14ac:dyDescent="0.25">
      <c r="I65" s="121">
        <v>0</v>
      </c>
      <c r="J65" s="124">
        <v>0</v>
      </c>
      <c r="K65" s="76"/>
      <c r="L65" s="76"/>
      <c r="M65" s="143">
        <v>3</v>
      </c>
      <c r="N65" s="76"/>
      <c r="O65" s="76">
        <f t="shared" si="11"/>
        <v>0</v>
      </c>
      <c r="P65" s="151">
        <v>9</v>
      </c>
      <c r="Q65" s="208">
        <f t="shared" si="12"/>
        <v>0</v>
      </c>
      <c r="R65" s="76"/>
      <c r="S65" s="76">
        <f t="shared" si="13"/>
        <v>0</v>
      </c>
      <c r="T65" s="152">
        <f t="shared" si="14"/>
        <v>9</v>
      </c>
      <c r="U65" s="208">
        <f t="shared" si="15"/>
        <v>0</v>
      </c>
    </row>
    <row r="66" spans="9:21" x14ac:dyDescent="0.25">
      <c r="I66" s="121">
        <v>0</v>
      </c>
      <c r="J66" s="124">
        <v>0</v>
      </c>
      <c r="K66" s="76"/>
      <c r="L66" s="76"/>
      <c r="M66" s="143">
        <v>3</v>
      </c>
      <c r="N66" s="76"/>
      <c r="O66" s="76">
        <f t="shared" si="11"/>
        <v>0</v>
      </c>
      <c r="P66" s="151">
        <v>9</v>
      </c>
      <c r="Q66" s="208">
        <f t="shared" si="12"/>
        <v>0</v>
      </c>
      <c r="R66" s="76"/>
      <c r="S66" s="76">
        <f t="shared" si="13"/>
        <v>0</v>
      </c>
      <c r="T66" s="152">
        <f t="shared" si="14"/>
        <v>9</v>
      </c>
      <c r="U66" s="208">
        <f t="shared" si="15"/>
        <v>0</v>
      </c>
    </row>
    <row r="67" spans="9:21" x14ac:dyDescent="0.25">
      <c r="I67" s="121">
        <v>0</v>
      </c>
      <c r="J67" s="124">
        <v>0</v>
      </c>
      <c r="K67" s="76"/>
      <c r="L67" s="76"/>
      <c r="M67" s="143">
        <v>3</v>
      </c>
      <c r="N67" s="76"/>
      <c r="O67" s="76">
        <f t="shared" si="11"/>
        <v>0</v>
      </c>
      <c r="P67" s="151">
        <v>9</v>
      </c>
      <c r="Q67" s="208">
        <f t="shared" si="12"/>
        <v>0</v>
      </c>
      <c r="R67" s="76"/>
      <c r="S67" s="76">
        <f t="shared" si="13"/>
        <v>0</v>
      </c>
      <c r="T67" s="152">
        <f t="shared" si="14"/>
        <v>9</v>
      </c>
      <c r="U67" s="208">
        <f t="shared" si="15"/>
        <v>0</v>
      </c>
    </row>
    <row r="68" spans="9:21" x14ac:dyDescent="0.25">
      <c r="I68" s="121">
        <v>0</v>
      </c>
      <c r="J68" s="124">
        <v>0</v>
      </c>
      <c r="K68" s="76"/>
      <c r="L68" s="76"/>
      <c r="M68" s="143">
        <v>3</v>
      </c>
      <c r="N68" s="76"/>
      <c r="O68" s="76">
        <f t="shared" si="11"/>
        <v>0</v>
      </c>
      <c r="P68" s="151">
        <v>9</v>
      </c>
      <c r="Q68" s="208">
        <f t="shared" si="12"/>
        <v>0</v>
      </c>
      <c r="R68" s="76"/>
      <c r="S68" s="76">
        <f t="shared" si="13"/>
        <v>0</v>
      </c>
      <c r="T68" s="152">
        <f t="shared" si="14"/>
        <v>9</v>
      </c>
      <c r="U68" s="208">
        <f t="shared" si="15"/>
        <v>0</v>
      </c>
    </row>
    <row r="69" spans="9:21" x14ac:dyDescent="0.25">
      <c r="I69" s="121">
        <v>0</v>
      </c>
      <c r="J69" s="124">
        <v>0</v>
      </c>
      <c r="K69" s="76"/>
      <c r="L69" s="76"/>
      <c r="M69" s="143">
        <v>3</v>
      </c>
      <c r="N69" s="153"/>
      <c r="O69" s="76">
        <f t="shared" si="11"/>
        <v>0</v>
      </c>
      <c r="P69" s="151">
        <v>9</v>
      </c>
      <c r="Q69" s="208">
        <f t="shared" si="12"/>
        <v>0</v>
      </c>
      <c r="R69" s="76"/>
      <c r="S69" s="76">
        <f t="shared" si="13"/>
        <v>0</v>
      </c>
      <c r="T69" s="152">
        <f t="shared" si="14"/>
        <v>9</v>
      </c>
      <c r="U69" s="208">
        <f t="shared" si="15"/>
        <v>0</v>
      </c>
    </row>
    <row r="70" spans="9:21" x14ac:dyDescent="0.25">
      <c r="I70" s="121">
        <v>0</v>
      </c>
      <c r="J70" s="124">
        <v>0</v>
      </c>
      <c r="K70" s="76"/>
      <c r="L70" s="76"/>
      <c r="M70" s="143">
        <v>3</v>
      </c>
      <c r="N70" s="76"/>
      <c r="O70" s="76">
        <f t="shared" si="11"/>
        <v>0</v>
      </c>
      <c r="P70" s="151">
        <v>9</v>
      </c>
      <c r="Q70" s="208">
        <f t="shared" si="12"/>
        <v>0</v>
      </c>
      <c r="R70" s="76"/>
      <c r="S70" s="76">
        <f t="shared" si="13"/>
        <v>0</v>
      </c>
      <c r="T70" s="152">
        <f t="shared" si="14"/>
        <v>9</v>
      </c>
      <c r="U70" s="208">
        <f t="shared" si="15"/>
        <v>0</v>
      </c>
    </row>
    <row r="71" spans="9:21" x14ac:dyDescent="0.25">
      <c r="I71" s="121">
        <v>0</v>
      </c>
      <c r="J71" s="124">
        <v>0</v>
      </c>
      <c r="K71" s="76"/>
      <c r="L71" s="76"/>
      <c r="M71" s="143">
        <v>3</v>
      </c>
      <c r="N71" s="76"/>
      <c r="O71" s="76">
        <f t="shared" si="11"/>
        <v>0</v>
      </c>
      <c r="P71" s="151">
        <v>9</v>
      </c>
      <c r="Q71" s="208">
        <f t="shared" si="12"/>
        <v>0</v>
      </c>
      <c r="R71" s="76"/>
      <c r="S71" s="76">
        <f t="shared" si="13"/>
        <v>0</v>
      </c>
      <c r="T71" s="152">
        <f t="shared" si="14"/>
        <v>9</v>
      </c>
      <c r="U71" s="208">
        <f t="shared" si="15"/>
        <v>0</v>
      </c>
    </row>
    <row r="72" spans="9:21" x14ac:dyDescent="0.25">
      <c r="I72" s="121">
        <v>0</v>
      </c>
      <c r="J72" s="124">
        <v>0</v>
      </c>
      <c r="K72" s="76"/>
      <c r="L72" s="76"/>
      <c r="M72" s="143">
        <v>3</v>
      </c>
      <c r="N72" s="76"/>
      <c r="O72" s="76">
        <f t="shared" si="11"/>
        <v>0</v>
      </c>
      <c r="P72" s="151">
        <v>9</v>
      </c>
      <c r="Q72" s="208">
        <f t="shared" si="12"/>
        <v>0</v>
      </c>
      <c r="R72" s="76"/>
      <c r="S72" s="76">
        <f t="shared" si="13"/>
        <v>0</v>
      </c>
      <c r="T72" s="152">
        <f t="shared" si="14"/>
        <v>9</v>
      </c>
      <c r="U72" s="208">
        <f t="shared" si="15"/>
        <v>0</v>
      </c>
    </row>
    <row r="73" spans="9:21" x14ac:dyDescent="0.25">
      <c r="I73" s="121">
        <v>0</v>
      </c>
      <c r="J73" s="124">
        <v>0</v>
      </c>
      <c r="K73" s="76"/>
      <c r="L73" s="76"/>
      <c r="M73" s="143">
        <v>3</v>
      </c>
      <c r="N73" s="76"/>
      <c r="O73" s="76">
        <f t="shared" si="11"/>
        <v>0</v>
      </c>
      <c r="P73" s="151">
        <v>9</v>
      </c>
      <c r="Q73" s="208">
        <f t="shared" si="12"/>
        <v>0</v>
      </c>
      <c r="R73" s="76"/>
      <c r="S73" s="76">
        <f t="shared" si="13"/>
        <v>0</v>
      </c>
      <c r="T73" s="152">
        <f t="shared" si="14"/>
        <v>9</v>
      </c>
      <c r="U73" s="208">
        <f t="shared" si="15"/>
        <v>0</v>
      </c>
    </row>
    <row r="74" spans="9:21" x14ac:dyDescent="0.25">
      <c r="I74" s="121">
        <v>0</v>
      </c>
      <c r="J74" s="124">
        <v>0</v>
      </c>
      <c r="K74" s="76"/>
      <c r="L74" s="76"/>
      <c r="M74" s="143">
        <v>3</v>
      </c>
      <c r="N74" s="153"/>
      <c r="O74" s="76">
        <f t="shared" si="11"/>
        <v>0</v>
      </c>
      <c r="P74" s="151">
        <v>9</v>
      </c>
      <c r="Q74" s="208">
        <f t="shared" si="12"/>
        <v>0</v>
      </c>
      <c r="R74" s="76"/>
      <c r="S74" s="76">
        <f t="shared" si="13"/>
        <v>0</v>
      </c>
      <c r="T74" s="152">
        <f t="shared" si="14"/>
        <v>9</v>
      </c>
      <c r="U74" s="208">
        <f t="shared" si="15"/>
        <v>0</v>
      </c>
    </row>
    <row r="75" spans="9:21" x14ac:dyDescent="0.25">
      <c r="I75" s="121">
        <v>0</v>
      </c>
      <c r="J75" s="124">
        <v>0</v>
      </c>
      <c r="K75" s="76"/>
      <c r="L75" s="76"/>
      <c r="M75" s="143">
        <v>3</v>
      </c>
      <c r="N75" s="76"/>
      <c r="O75" s="76">
        <f t="shared" si="11"/>
        <v>0</v>
      </c>
      <c r="P75" s="151">
        <v>9</v>
      </c>
      <c r="Q75" s="208">
        <f t="shared" si="12"/>
        <v>0</v>
      </c>
      <c r="R75" s="76"/>
      <c r="S75" s="76">
        <f t="shared" si="13"/>
        <v>0</v>
      </c>
      <c r="T75" s="152">
        <f t="shared" si="14"/>
        <v>9</v>
      </c>
      <c r="U75" s="208">
        <f t="shared" si="15"/>
        <v>0</v>
      </c>
    </row>
    <row r="76" spans="9:21" x14ac:dyDescent="0.25">
      <c r="I76" s="121">
        <v>0</v>
      </c>
      <c r="J76" s="124">
        <v>0</v>
      </c>
      <c r="K76" s="76"/>
      <c r="L76" s="76"/>
      <c r="M76" s="143">
        <v>3</v>
      </c>
      <c r="N76" s="76"/>
      <c r="O76" s="76">
        <f t="shared" si="11"/>
        <v>0</v>
      </c>
      <c r="P76" s="151">
        <v>9</v>
      </c>
      <c r="Q76" s="208">
        <f t="shared" si="12"/>
        <v>0</v>
      </c>
      <c r="R76" s="76"/>
      <c r="S76" s="76">
        <f t="shared" si="13"/>
        <v>0</v>
      </c>
      <c r="T76" s="152">
        <f t="shared" si="14"/>
        <v>9</v>
      </c>
      <c r="U76" s="208">
        <f t="shared" si="15"/>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Resistencia</vt:lpstr>
      <vt:lpstr>Amortización</vt:lpstr>
      <vt:lpstr>TL_v1</vt:lpstr>
      <vt:lpstr>CA_v1</vt:lpstr>
      <vt:lpstr>Planning_Entrenador</vt:lpstr>
      <vt:lpstr>PLANTILLA</vt:lpstr>
      <vt:lpstr>CAPITAN</vt:lpstr>
      <vt:lpstr>Evaluacion Jugadores</vt:lpstr>
      <vt:lpstr>CambioENTRENADOR</vt:lpstr>
      <vt:lpstr>Rendimiento_ENTRENAMIENTO</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2017-12-13T16:45:57Z</dcterms:modified>
</cp:coreProperties>
</file>